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6555" windowHeight="8430" activeTab="0"/>
  </bookViews>
  <sheets>
    <sheet name="k3-08" sheetId="1" r:id="rId1"/>
  </sheets>
  <definedNames>
    <definedName name="_xlnm.Print_Titles" localSheetId="0">'k3-08'!$2:$7</definedName>
  </definedNames>
  <calcPr fullCalcOnLoad="1"/>
</workbook>
</file>

<file path=xl/sharedStrings.xml><?xml version="1.0" encoding="utf-8"?>
<sst xmlns="http://schemas.openxmlformats.org/spreadsheetml/2006/main" count="363" uniqueCount="211">
  <si>
    <t>【農家】</t>
  </si>
  <si>
    <t>　（８）農業従事者（自営農業に従事した年齢別世帯員数）</t>
  </si>
  <si>
    <t>ア　　総農家</t>
  </si>
  <si>
    <t>単位：人</t>
  </si>
  <si>
    <t>男</t>
  </si>
  <si>
    <t>女</t>
  </si>
  <si>
    <t>平</t>
  </si>
  <si>
    <t>均年</t>
  </si>
  <si>
    <t>齢</t>
  </si>
  <si>
    <t>農業</t>
  </si>
  <si>
    <t>農業地域</t>
  </si>
  <si>
    <t>計</t>
  </si>
  <si>
    <t>15歳</t>
  </si>
  <si>
    <t>75歳</t>
  </si>
  <si>
    <t>小計</t>
  </si>
  <si>
    <t>～</t>
  </si>
  <si>
    <t>20～29</t>
  </si>
  <si>
    <t>30～39</t>
  </si>
  <si>
    <t>40～49</t>
  </si>
  <si>
    <t>50～59</t>
  </si>
  <si>
    <t>60～64</t>
  </si>
  <si>
    <t>65～69</t>
  </si>
  <si>
    <t>70～74</t>
  </si>
  <si>
    <t>男女計</t>
  </si>
  <si>
    <t>地域</t>
  </si>
  <si>
    <t>19歳</t>
  </si>
  <si>
    <t>以上</t>
  </si>
  <si>
    <t>県計</t>
  </si>
  <si>
    <t>01</t>
  </si>
  <si>
    <t>千葉市</t>
  </si>
  <si>
    <t>02</t>
  </si>
  <si>
    <t>　　中央区</t>
  </si>
  <si>
    <t>03</t>
  </si>
  <si>
    <t>‐</t>
  </si>
  <si>
    <t>　　花見川区</t>
  </si>
  <si>
    <t>04</t>
  </si>
  <si>
    <t>　　稲毛区</t>
  </si>
  <si>
    <t>05</t>
  </si>
  <si>
    <t>　　若葉区</t>
  </si>
  <si>
    <t>06</t>
  </si>
  <si>
    <t>　　緑区</t>
  </si>
  <si>
    <t>07</t>
  </si>
  <si>
    <t>　　美浜区</t>
  </si>
  <si>
    <t>08</t>
  </si>
  <si>
    <t>銚子市</t>
  </si>
  <si>
    <t>09</t>
  </si>
  <si>
    <t>市川市</t>
  </si>
  <si>
    <t>10</t>
  </si>
  <si>
    <t>船橋市</t>
  </si>
  <si>
    <t>11</t>
  </si>
  <si>
    <t>館山市</t>
  </si>
  <si>
    <t>12</t>
  </si>
  <si>
    <t>木更津市</t>
  </si>
  <si>
    <t>13</t>
  </si>
  <si>
    <t>松戸市</t>
  </si>
  <si>
    <t>14</t>
  </si>
  <si>
    <t>野田市</t>
  </si>
  <si>
    <t>15</t>
  </si>
  <si>
    <t>佐原市</t>
  </si>
  <si>
    <t>16</t>
  </si>
  <si>
    <t>茂原市</t>
  </si>
  <si>
    <t>17</t>
  </si>
  <si>
    <t>成田市</t>
  </si>
  <si>
    <t>18</t>
  </si>
  <si>
    <t>佐倉市</t>
  </si>
  <si>
    <t>19</t>
  </si>
  <si>
    <t>東金市</t>
  </si>
  <si>
    <t>20</t>
  </si>
  <si>
    <t>八日市場市</t>
  </si>
  <si>
    <t>21</t>
  </si>
  <si>
    <t>旭   市</t>
  </si>
  <si>
    <t>22</t>
  </si>
  <si>
    <t>習志野市</t>
  </si>
  <si>
    <t>23</t>
  </si>
  <si>
    <t>柏   市</t>
  </si>
  <si>
    <t>24</t>
  </si>
  <si>
    <t>勝浦市</t>
  </si>
  <si>
    <t>25</t>
  </si>
  <si>
    <t>市原市</t>
  </si>
  <si>
    <t>26</t>
  </si>
  <si>
    <t>流山市</t>
  </si>
  <si>
    <t>27</t>
  </si>
  <si>
    <t>八千代市</t>
  </si>
  <si>
    <t>28</t>
  </si>
  <si>
    <t>我孫子市</t>
  </si>
  <si>
    <t>29</t>
  </si>
  <si>
    <t>鴨川市</t>
  </si>
  <si>
    <t>30</t>
  </si>
  <si>
    <t>鎌ヶ谷市</t>
  </si>
  <si>
    <t>31</t>
  </si>
  <si>
    <t>君津市</t>
  </si>
  <si>
    <t>32</t>
  </si>
  <si>
    <t>富津市</t>
  </si>
  <si>
    <t>33</t>
  </si>
  <si>
    <t>浦安市</t>
  </si>
  <si>
    <t>34</t>
  </si>
  <si>
    <t>四街道市</t>
  </si>
  <si>
    <t>35</t>
  </si>
  <si>
    <t>袖ヶ浦市</t>
  </si>
  <si>
    <t>36</t>
  </si>
  <si>
    <t>八街市</t>
  </si>
  <si>
    <t>37</t>
  </si>
  <si>
    <t>印西市</t>
  </si>
  <si>
    <t>38</t>
  </si>
  <si>
    <t>東葛飾郡</t>
  </si>
  <si>
    <t>関宿町</t>
  </si>
  <si>
    <t>39</t>
  </si>
  <si>
    <t>沼南町</t>
  </si>
  <si>
    <t>40</t>
  </si>
  <si>
    <t>印旛郡</t>
  </si>
  <si>
    <t>酒々井町</t>
  </si>
  <si>
    <t>41</t>
  </si>
  <si>
    <t>富里町</t>
  </si>
  <si>
    <t>42</t>
  </si>
  <si>
    <t>印旛村</t>
  </si>
  <si>
    <t>43</t>
  </si>
  <si>
    <t>白井町</t>
  </si>
  <si>
    <t>44</t>
  </si>
  <si>
    <t>本埜村</t>
  </si>
  <si>
    <t>45</t>
  </si>
  <si>
    <t>栄   町</t>
  </si>
  <si>
    <t>46</t>
  </si>
  <si>
    <t>香取郡</t>
  </si>
  <si>
    <t>下総町</t>
  </si>
  <si>
    <t>47</t>
  </si>
  <si>
    <t>神崎町</t>
  </si>
  <si>
    <t>48</t>
  </si>
  <si>
    <t>大栄町</t>
  </si>
  <si>
    <t>49</t>
  </si>
  <si>
    <t>小見川町</t>
  </si>
  <si>
    <t>50</t>
  </si>
  <si>
    <t>山田町</t>
  </si>
  <si>
    <t>51</t>
  </si>
  <si>
    <t>栗源町</t>
  </si>
  <si>
    <t>52</t>
  </si>
  <si>
    <t>多古町</t>
  </si>
  <si>
    <t>53</t>
  </si>
  <si>
    <t>干潟町</t>
  </si>
  <si>
    <t>54</t>
  </si>
  <si>
    <t>東庄町</t>
  </si>
  <si>
    <t>55</t>
  </si>
  <si>
    <t>海上郡</t>
  </si>
  <si>
    <t>海上町</t>
  </si>
  <si>
    <t>56</t>
  </si>
  <si>
    <t>飯岡町</t>
  </si>
  <si>
    <t>57</t>
  </si>
  <si>
    <t>匝瑳郡</t>
  </si>
  <si>
    <t>光   町</t>
  </si>
  <si>
    <t>58</t>
  </si>
  <si>
    <t>野栄町</t>
  </si>
  <si>
    <t>59</t>
  </si>
  <si>
    <t>山武郡</t>
  </si>
  <si>
    <t>大網白里町</t>
  </si>
  <si>
    <t>60</t>
  </si>
  <si>
    <t>九十九里町</t>
  </si>
  <si>
    <t>61</t>
  </si>
  <si>
    <t>成東町</t>
  </si>
  <si>
    <t>62</t>
  </si>
  <si>
    <t>山武町</t>
  </si>
  <si>
    <t>63</t>
  </si>
  <si>
    <t>蓮沼村</t>
  </si>
  <si>
    <t>64</t>
  </si>
  <si>
    <t>松尾町</t>
  </si>
  <si>
    <t>65</t>
  </si>
  <si>
    <t>横芝町</t>
  </si>
  <si>
    <t>66</t>
  </si>
  <si>
    <t>芝山町</t>
  </si>
  <si>
    <t>67</t>
  </si>
  <si>
    <t>長生郡</t>
  </si>
  <si>
    <t>一宮町</t>
  </si>
  <si>
    <t>68</t>
  </si>
  <si>
    <t>睦沢町</t>
  </si>
  <si>
    <t>69</t>
  </si>
  <si>
    <t>長生村</t>
  </si>
  <si>
    <t>70</t>
  </si>
  <si>
    <t>白子町</t>
  </si>
  <si>
    <t>71</t>
  </si>
  <si>
    <t>長柄町</t>
  </si>
  <si>
    <t>72</t>
  </si>
  <si>
    <t>長南町</t>
  </si>
  <si>
    <t>73</t>
  </si>
  <si>
    <t>夷隅郡</t>
  </si>
  <si>
    <t>大多喜町</t>
  </si>
  <si>
    <t>74</t>
  </si>
  <si>
    <t>夷隅町</t>
  </si>
  <si>
    <t>75</t>
  </si>
  <si>
    <t>御宿町</t>
  </si>
  <si>
    <t>76</t>
  </si>
  <si>
    <t>大原町</t>
  </si>
  <si>
    <t>77</t>
  </si>
  <si>
    <t>岬   町</t>
  </si>
  <si>
    <t>78</t>
  </si>
  <si>
    <t>安房郡</t>
  </si>
  <si>
    <t>富浦町</t>
  </si>
  <si>
    <t>79</t>
  </si>
  <si>
    <t>富山町</t>
  </si>
  <si>
    <t>80</t>
  </si>
  <si>
    <t>鋸南町</t>
  </si>
  <si>
    <t>81</t>
  </si>
  <si>
    <t>三芳村</t>
  </si>
  <si>
    <t>82</t>
  </si>
  <si>
    <t>白浜町</t>
  </si>
  <si>
    <t>83</t>
  </si>
  <si>
    <t>千倉町</t>
  </si>
  <si>
    <t>84</t>
  </si>
  <si>
    <t>丸山町</t>
  </si>
  <si>
    <t>85</t>
  </si>
  <si>
    <t>和田町</t>
  </si>
  <si>
    <t>86</t>
  </si>
  <si>
    <t>天津小湊町</t>
  </si>
  <si>
    <t>87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</si>
</sst>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[Red]#,##0"/>
    <numFmt numFmtId="178" formatCode="#,##0.0"/>
    <numFmt numFmtId="179" formatCode="0_ "/>
    <numFmt numFmtId="180" formatCode="0.0000000000_ "/>
    <numFmt numFmtId="181" formatCode="0.0_ "/>
    <numFmt numFmtId="182" formatCode="0.0_);[Red]\(0.0\)"/>
    <numFmt numFmtId="183" formatCode="#,##0.0;[Red]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8"/>
      <name val="ＭＳ Ｐ明朝"/>
      <family val="1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3" fillId="0" borderId="1" xfId="16" applyFont="1" applyBorder="1" applyAlignment="1">
      <alignment horizontal="distributed" vertical="center"/>
    </xf>
    <xf numFmtId="38" fontId="3" fillId="0" borderId="1" xfId="16" applyFont="1" applyBorder="1" applyAlignment="1">
      <alignment horizontal="left" vertical="center"/>
    </xf>
    <xf numFmtId="38" fontId="3" fillId="0" borderId="2" xfId="16" applyFont="1" applyBorder="1" applyAlignment="1">
      <alignment horizontal="right" vertical="center"/>
    </xf>
    <xf numFmtId="38" fontId="3" fillId="0" borderId="2" xfId="16" applyFont="1" applyBorder="1" applyAlignment="1">
      <alignment horizontal="distributed" vertical="center"/>
    </xf>
    <xf numFmtId="38" fontId="3" fillId="0" borderId="3" xfId="16" applyFont="1" applyBorder="1" applyAlignment="1">
      <alignment horizontal="distributed" vertical="center"/>
    </xf>
    <xf numFmtId="38" fontId="3" fillId="0" borderId="0" xfId="16" applyFont="1" applyAlignment="1">
      <alignment vertical="center"/>
    </xf>
    <xf numFmtId="38" fontId="5" fillId="0" borderId="0" xfId="16" applyFont="1" applyAlignment="1">
      <alignment horizontal="center" vertical="center"/>
    </xf>
    <xf numFmtId="38" fontId="3" fillId="0" borderId="0" xfId="16" applyFont="1" applyAlignment="1">
      <alignment horizontal="center" vertical="center"/>
    </xf>
    <xf numFmtId="38" fontId="3" fillId="0" borderId="0" xfId="16" applyFont="1" applyAlignment="1">
      <alignment horizontal="distributed" vertical="center"/>
    </xf>
    <xf numFmtId="38" fontId="3" fillId="0" borderId="4" xfId="16" applyFont="1" applyBorder="1" applyAlignment="1">
      <alignment vertical="center"/>
    </xf>
    <xf numFmtId="38" fontId="3" fillId="0" borderId="5" xfId="16" applyFont="1" applyBorder="1" applyAlignment="1">
      <alignment horizontal="distributed" vertical="center"/>
    </xf>
    <xf numFmtId="38" fontId="6" fillId="0" borderId="0" xfId="16" applyFont="1" applyAlignment="1">
      <alignment vertical="center"/>
    </xf>
    <xf numFmtId="38" fontId="6" fillId="0" borderId="0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center" vertical="center"/>
    </xf>
    <xf numFmtId="38" fontId="6" fillId="0" borderId="7" xfId="16" applyFont="1" applyBorder="1" applyAlignment="1">
      <alignment horizontal="center" vertical="center"/>
    </xf>
    <xf numFmtId="38" fontId="3" fillId="0" borderId="0" xfId="16" applyFont="1" applyBorder="1" applyAlignment="1">
      <alignment horizontal="distributed" vertical="center"/>
    </xf>
    <xf numFmtId="38" fontId="3" fillId="0" borderId="6" xfId="16" applyFont="1" applyBorder="1" applyAlignment="1">
      <alignment horizontal="center" vertical="center"/>
    </xf>
    <xf numFmtId="38" fontId="3" fillId="0" borderId="0" xfId="16" applyFont="1" applyAlignment="1">
      <alignment horizontal="right" vertical="center"/>
    </xf>
    <xf numFmtId="38" fontId="3" fillId="0" borderId="7" xfId="16" applyFont="1" applyBorder="1" applyAlignment="1">
      <alignment horizontal="center" vertical="center"/>
    </xf>
    <xf numFmtId="38" fontId="3" fillId="0" borderId="0" xfId="16" applyFont="1" applyBorder="1" applyAlignment="1">
      <alignment horizontal="left" vertical="center"/>
    </xf>
    <xf numFmtId="38" fontId="6" fillId="0" borderId="0" xfId="16" applyFont="1" applyBorder="1" applyAlignment="1">
      <alignment horizontal="center" vertical="center"/>
    </xf>
    <xf numFmtId="38" fontId="3" fillId="0" borderId="8" xfId="16" applyFont="1" applyBorder="1" applyAlignment="1">
      <alignment vertical="center"/>
    </xf>
    <xf numFmtId="38" fontId="3" fillId="0" borderId="8" xfId="16" applyFont="1" applyBorder="1" applyAlignment="1">
      <alignment horizontal="distributed" vertical="center"/>
    </xf>
    <xf numFmtId="38" fontId="3" fillId="0" borderId="9" xfId="16" applyFont="1" applyBorder="1" applyAlignment="1">
      <alignment horizontal="center" vertical="center"/>
    </xf>
    <xf numFmtId="38" fontId="3" fillId="0" borderId="10" xfId="16" applyFont="1" applyBorder="1" applyAlignment="1">
      <alignment horizontal="center" vertical="center"/>
    </xf>
    <xf numFmtId="38" fontId="3" fillId="0" borderId="0" xfId="16" applyFont="1" applyBorder="1" applyAlignment="1">
      <alignment vertical="center"/>
    </xf>
    <xf numFmtId="38" fontId="3" fillId="0" borderId="11" xfId="16" applyFont="1" applyBorder="1" applyAlignment="1">
      <alignment horizontal="distributed" vertical="center"/>
    </xf>
    <xf numFmtId="38" fontId="4" fillId="0" borderId="0" xfId="16" applyFont="1" applyAlignment="1">
      <alignment vertical="center"/>
    </xf>
    <xf numFmtId="38" fontId="4" fillId="0" borderId="0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center" vertical="center"/>
    </xf>
    <xf numFmtId="38" fontId="4" fillId="0" borderId="7" xfId="16" applyFont="1" applyBorder="1" applyAlignment="1">
      <alignment horizontal="center" vertical="center"/>
    </xf>
    <xf numFmtId="38" fontId="3" fillId="0" borderId="12" xfId="16" applyFont="1" applyBorder="1" applyAlignment="1">
      <alignment horizontal="distributed" vertical="center"/>
    </xf>
    <xf numFmtId="38" fontId="3" fillId="0" borderId="3" xfId="16" applyFont="1" applyBorder="1" applyAlignment="1">
      <alignment horizontal="left" vertical="center"/>
    </xf>
    <xf numFmtId="38" fontId="3" fillId="0" borderId="13" xfId="16" applyFont="1" applyBorder="1" applyAlignment="1">
      <alignment horizontal="distributed" vertical="center"/>
    </xf>
    <xf numFmtId="38" fontId="3" fillId="0" borderId="14" xfId="16" applyFont="1" applyBorder="1" applyAlignment="1">
      <alignment horizontal="distributed" vertical="center"/>
    </xf>
    <xf numFmtId="176" fontId="6" fillId="0" borderId="0" xfId="16" applyNumberFormat="1" applyFont="1" applyAlignment="1">
      <alignment vertical="center"/>
    </xf>
    <xf numFmtId="176" fontId="3" fillId="0" borderId="0" xfId="16" applyNumberFormat="1" applyFont="1" applyAlignment="1">
      <alignment vertical="center"/>
    </xf>
    <xf numFmtId="176" fontId="3" fillId="0" borderId="8" xfId="16" applyNumberFormat="1" applyFont="1" applyBorder="1" applyAlignment="1">
      <alignment vertical="center"/>
    </xf>
    <xf numFmtId="176" fontId="3" fillId="0" borderId="0" xfId="16" applyNumberFormat="1" applyFont="1" applyBorder="1" applyAlignment="1">
      <alignment vertical="center"/>
    </xf>
    <xf numFmtId="176" fontId="4" fillId="0" borderId="0" xfId="16" applyNumberFormat="1" applyFont="1" applyAlignment="1">
      <alignment vertical="center"/>
    </xf>
    <xf numFmtId="38" fontId="3" fillId="0" borderId="15" xfId="16" applyFont="1" applyBorder="1" applyAlignment="1">
      <alignment horizontal="right" vertical="center"/>
    </xf>
    <xf numFmtId="38" fontId="3" fillId="0" borderId="16" xfId="16" applyFont="1" applyBorder="1" applyAlignment="1">
      <alignment horizontal="distributed" vertical="center"/>
    </xf>
    <xf numFmtId="38" fontId="3" fillId="0" borderId="0" xfId="16" applyFont="1" applyAlignment="1" quotePrefix="1">
      <alignment vertical="center"/>
    </xf>
    <xf numFmtId="176" fontId="3" fillId="0" borderId="0" xfId="16" applyNumberFormat="1" applyFont="1" applyAlignment="1">
      <alignment horizontal="right" vertical="center"/>
    </xf>
    <xf numFmtId="38" fontId="3" fillId="0" borderId="17" xfId="16" applyFont="1" applyBorder="1" applyAlignment="1">
      <alignment horizontal="centerContinuous" vertical="center"/>
    </xf>
    <xf numFmtId="38" fontId="3" fillId="0" borderId="7" xfId="16" applyFont="1" applyBorder="1" applyAlignment="1">
      <alignment horizontal="distributed" vertical="center"/>
    </xf>
    <xf numFmtId="38" fontId="3" fillId="0" borderId="4" xfId="16" applyFont="1" applyBorder="1" applyAlignment="1">
      <alignment horizontal="distributed" vertical="center"/>
    </xf>
    <xf numFmtId="38" fontId="3" fillId="0" borderId="18" xfId="16" applyFont="1" applyBorder="1" applyAlignment="1">
      <alignment horizontal="distributed" vertical="center"/>
    </xf>
    <xf numFmtId="38" fontId="3" fillId="0" borderId="19" xfId="16" applyFont="1" applyBorder="1" applyAlignment="1">
      <alignment horizontal="distributed" vertical="center"/>
    </xf>
    <xf numFmtId="38" fontId="3" fillId="0" borderId="20" xfId="16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38" fontId="3" fillId="0" borderId="22" xfId="16" applyFont="1" applyBorder="1" applyAlignment="1">
      <alignment horizontal="distributed" vertical="center"/>
    </xf>
    <xf numFmtId="38" fontId="3" fillId="0" borderId="10" xfId="16" applyFont="1" applyBorder="1" applyAlignment="1">
      <alignment horizontal="distributed" vertical="center"/>
    </xf>
    <xf numFmtId="38" fontId="3" fillId="0" borderId="23" xfId="16" applyFont="1" applyBorder="1" applyAlignment="1">
      <alignment horizontal="distributed" vertical="center"/>
    </xf>
    <xf numFmtId="38" fontId="7" fillId="0" borderId="0" xfId="16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4"/>
  <sheetViews>
    <sheetView tabSelected="1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1" sqref="A1"/>
    </sheetView>
  </sheetViews>
  <sheetFormatPr defaultColWidth="9.00390625" defaultRowHeight="13.5" customHeight="1"/>
  <cols>
    <col min="1" max="1" width="1.625" style="7" customWidth="1"/>
    <col min="2" max="2" width="10.625" style="10" customWidth="1"/>
    <col min="3" max="3" width="4.125" style="9" customWidth="1"/>
    <col min="4" max="5" width="7.625" style="7" customWidth="1"/>
    <col min="6" max="14" width="6.125" style="7" customWidth="1"/>
    <col min="15" max="15" width="7.625" style="7" customWidth="1"/>
    <col min="16" max="24" width="6.125" style="7" customWidth="1"/>
    <col min="25" max="27" width="6.625" style="7" customWidth="1"/>
    <col min="28" max="28" width="4.125" style="9" customWidth="1"/>
    <col min="29" max="16384" width="9.00390625" style="7" customWidth="1"/>
  </cols>
  <sheetData>
    <row r="1" ht="13.5" customHeight="1">
      <c r="A1" s="57" t="s">
        <v>0</v>
      </c>
    </row>
    <row r="2" spans="2:3" ht="18" customHeight="1">
      <c r="B2" s="1" t="s">
        <v>1</v>
      </c>
      <c r="C2" s="8"/>
    </row>
    <row r="3" spans="2:27" ht="12.75" customHeight="1" thickBot="1">
      <c r="B3" s="7"/>
      <c r="C3" s="8"/>
      <c r="D3" s="7" t="s">
        <v>2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9" t="s">
        <v>3</v>
      </c>
      <c r="Y3" s="10"/>
      <c r="Z3" s="10"/>
      <c r="AA3" s="10"/>
    </row>
    <row r="4" spans="1:28" ht="12.75" customHeight="1" thickTop="1">
      <c r="A4" s="11"/>
      <c r="B4" s="48"/>
      <c r="C4" s="49"/>
      <c r="D4" s="12"/>
      <c r="E4" s="50"/>
      <c r="F4" s="43"/>
      <c r="G4" s="43"/>
      <c r="H4" s="43"/>
      <c r="I4" s="43" t="s">
        <v>4</v>
      </c>
      <c r="J4" s="43"/>
      <c r="K4" s="43"/>
      <c r="L4" s="43"/>
      <c r="M4" s="43"/>
      <c r="N4" s="51"/>
      <c r="O4" s="43"/>
      <c r="P4" s="43"/>
      <c r="Q4" s="43"/>
      <c r="R4" s="43"/>
      <c r="S4" s="43" t="s">
        <v>5</v>
      </c>
      <c r="T4" s="43"/>
      <c r="U4" s="43"/>
      <c r="V4" s="43"/>
      <c r="W4" s="43"/>
      <c r="X4" s="43"/>
      <c r="Y4" s="50" t="s">
        <v>6</v>
      </c>
      <c r="Z4" s="43" t="s">
        <v>7</v>
      </c>
      <c r="AA4" s="56" t="s">
        <v>8</v>
      </c>
      <c r="AB4" s="12" t="s">
        <v>9</v>
      </c>
    </row>
    <row r="5" spans="1:28" ht="12.75" customHeight="1">
      <c r="A5" s="17"/>
      <c r="B5" s="52" t="s">
        <v>10</v>
      </c>
      <c r="C5" s="53"/>
      <c r="D5" s="46" t="s">
        <v>11</v>
      </c>
      <c r="E5" s="3"/>
      <c r="F5" s="3" t="s">
        <v>12</v>
      </c>
      <c r="G5" s="3"/>
      <c r="H5" s="3"/>
      <c r="I5" s="3"/>
      <c r="J5" s="3"/>
      <c r="K5" s="3"/>
      <c r="L5" s="3"/>
      <c r="M5" s="2"/>
      <c r="N5" s="2" t="s">
        <v>13</v>
      </c>
      <c r="O5" s="34"/>
      <c r="P5" s="3" t="s">
        <v>12</v>
      </c>
      <c r="Q5" s="3"/>
      <c r="R5" s="3"/>
      <c r="S5" s="3"/>
      <c r="T5" s="3"/>
      <c r="U5" s="3"/>
      <c r="V5" s="3"/>
      <c r="W5" s="2"/>
      <c r="X5" s="35" t="s">
        <v>13</v>
      </c>
      <c r="Y5" s="2"/>
      <c r="Z5" s="2"/>
      <c r="AA5" s="28"/>
      <c r="AB5" s="47"/>
    </row>
    <row r="6" spans="1:28" ht="12.75" customHeight="1">
      <c r="A6" s="52"/>
      <c r="B6" s="52"/>
      <c r="C6" s="53"/>
      <c r="D6" s="46"/>
      <c r="E6" s="2" t="s">
        <v>14</v>
      </c>
      <c r="F6" s="9" t="s">
        <v>15</v>
      </c>
      <c r="G6" s="2" t="s">
        <v>16</v>
      </c>
      <c r="H6" s="2" t="s">
        <v>17</v>
      </c>
      <c r="I6" s="2" t="s">
        <v>18</v>
      </c>
      <c r="J6" s="2" t="s">
        <v>19</v>
      </c>
      <c r="K6" s="2" t="s">
        <v>20</v>
      </c>
      <c r="L6" s="2" t="s">
        <v>21</v>
      </c>
      <c r="M6" s="2" t="s">
        <v>22</v>
      </c>
      <c r="N6" s="6"/>
      <c r="O6" s="6" t="s">
        <v>14</v>
      </c>
      <c r="P6" s="9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2" t="s">
        <v>20</v>
      </c>
      <c r="V6" s="2" t="s">
        <v>21</v>
      </c>
      <c r="W6" s="2" t="s">
        <v>22</v>
      </c>
      <c r="X6" s="10"/>
      <c r="Y6" s="2" t="s">
        <v>23</v>
      </c>
      <c r="Z6" s="2" t="s">
        <v>4</v>
      </c>
      <c r="AA6" s="28" t="s">
        <v>5</v>
      </c>
      <c r="AB6" s="47" t="s">
        <v>24</v>
      </c>
    </row>
    <row r="7" spans="1:28" ht="12.75" customHeight="1">
      <c r="A7" s="24"/>
      <c r="B7" s="24"/>
      <c r="C7" s="54"/>
      <c r="D7" s="5"/>
      <c r="E7" s="4"/>
      <c r="F7" s="4" t="s">
        <v>25</v>
      </c>
      <c r="G7" s="4"/>
      <c r="H7" s="4"/>
      <c r="I7" s="4"/>
      <c r="J7" s="4"/>
      <c r="K7" s="4"/>
      <c r="L7" s="4"/>
      <c r="M7" s="5"/>
      <c r="N7" s="5" t="s">
        <v>26</v>
      </c>
      <c r="O7" s="42"/>
      <c r="P7" s="4" t="s">
        <v>25</v>
      </c>
      <c r="Q7" s="4"/>
      <c r="R7" s="4"/>
      <c r="S7" s="4"/>
      <c r="T7" s="4"/>
      <c r="U7" s="4"/>
      <c r="V7" s="4"/>
      <c r="W7" s="5"/>
      <c r="X7" s="36" t="s">
        <v>26</v>
      </c>
      <c r="Y7" s="5"/>
      <c r="Z7" s="5"/>
      <c r="AA7" s="33"/>
      <c r="AB7" s="55"/>
    </row>
    <row r="8" spans="2:28" s="29" customFormat="1" ht="15" customHeight="1">
      <c r="B8" s="30" t="s">
        <v>27</v>
      </c>
      <c r="C8" s="31" t="s">
        <v>28</v>
      </c>
      <c r="D8" s="29">
        <v>252058</v>
      </c>
      <c r="E8" s="29">
        <v>135652</v>
      </c>
      <c r="F8" s="29">
        <v>1703</v>
      </c>
      <c r="G8" s="29">
        <v>9449</v>
      </c>
      <c r="H8" s="29">
        <v>14530</v>
      </c>
      <c r="I8" s="29">
        <v>27969</v>
      </c>
      <c r="J8" s="29">
        <v>26383</v>
      </c>
      <c r="K8" s="29">
        <v>13208</v>
      </c>
      <c r="L8" s="29">
        <v>15109</v>
      </c>
      <c r="M8" s="29">
        <v>14750</v>
      </c>
      <c r="N8" s="29">
        <v>12551</v>
      </c>
      <c r="O8" s="29">
        <v>116406</v>
      </c>
      <c r="P8" s="29">
        <v>705</v>
      </c>
      <c r="Q8" s="29">
        <v>4055</v>
      </c>
      <c r="R8" s="29">
        <v>9746</v>
      </c>
      <c r="S8" s="29">
        <v>21229</v>
      </c>
      <c r="T8" s="29">
        <v>22962</v>
      </c>
      <c r="U8" s="29">
        <v>13783</v>
      </c>
      <c r="V8" s="29">
        <v>16172</v>
      </c>
      <c r="W8" s="29">
        <v>14838</v>
      </c>
      <c r="X8" s="29">
        <v>12916</v>
      </c>
      <c r="Y8" s="41">
        <v>55.6</v>
      </c>
      <c r="Z8" s="41">
        <v>54.1</v>
      </c>
      <c r="AA8" s="41">
        <v>57.4</v>
      </c>
      <c r="AB8" s="32" t="s">
        <v>28</v>
      </c>
    </row>
    <row r="9" spans="2:28" s="13" customFormat="1" ht="7.5" customHeight="1">
      <c r="B9" s="14"/>
      <c r="C9" s="15"/>
      <c r="Y9" s="37"/>
      <c r="Z9" s="37"/>
      <c r="AA9" s="37"/>
      <c r="AB9" s="16"/>
    </row>
    <row r="10" spans="2:28" ht="13.5" customHeight="1">
      <c r="B10" s="17" t="s">
        <v>29</v>
      </c>
      <c r="C10" s="18" t="s">
        <v>30</v>
      </c>
      <c r="D10" s="7">
        <v>8429</v>
      </c>
      <c r="E10" s="7">
        <v>4487</v>
      </c>
      <c r="F10" s="7">
        <v>49</v>
      </c>
      <c r="G10" s="7">
        <v>255</v>
      </c>
      <c r="H10" s="7">
        <v>457</v>
      </c>
      <c r="I10" s="7">
        <f>358+499</f>
        <v>857</v>
      </c>
      <c r="J10" s="7">
        <f>447+368</f>
        <v>815</v>
      </c>
      <c r="K10" s="7">
        <v>467</v>
      </c>
      <c r="L10" s="7">
        <v>554</v>
      </c>
      <c r="M10" s="7">
        <v>491</v>
      </c>
      <c r="N10" s="7">
        <v>542</v>
      </c>
      <c r="O10" s="7">
        <v>3942</v>
      </c>
      <c r="P10" s="7">
        <v>24</v>
      </c>
      <c r="Q10" s="7">
        <f>54+59</f>
        <v>113</v>
      </c>
      <c r="R10" s="7">
        <f>97+164</f>
        <v>261</v>
      </c>
      <c r="S10" s="7">
        <f>264+370</f>
        <v>634</v>
      </c>
      <c r="T10" s="7">
        <f>374+369</f>
        <v>743</v>
      </c>
      <c r="U10" s="7">
        <v>536</v>
      </c>
      <c r="V10" s="7">
        <v>555</v>
      </c>
      <c r="W10" s="7">
        <v>525</v>
      </c>
      <c r="X10" s="7">
        <v>551</v>
      </c>
      <c r="Y10" s="38">
        <v>57.3</v>
      </c>
      <c r="Z10" s="38">
        <v>55.8</v>
      </c>
      <c r="AA10" s="38">
        <v>59.2</v>
      </c>
      <c r="AB10" s="20" t="s">
        <v>30</v>
      </c>
    </row>
    <row r="11" spans="2:28" ht="13.5" customHeight="1">
      <c r="B11" s="21" t="s">
        <v>31</v>
      </c>
      <c r="C11" s="18" t="s">
        <v>32</v>
      </c>
      <c r="D11" s="7">
        <v>525</v>
      </c>
      <c r="E11" s="7">
        <v>282</v>
      </c>
      <c r="F11" s="7">
        <v>1</v>
      </c>
      <c r="G11" s="7">
        <v>24</v>
      </c>
      <c r="H11" s="7">
        <v>22</v>
      </c>
      <c r="I11" s="7">
        <f>21+25</f>
        <v>46</v>
      </c>
      <c r="J11" s="7">
        <f>34+19</f>
        <v>53</v>
      </c>
      <c r="K11" s="7">
        <v>24</v>
      </c>
      <c r="L11" s="7">
        <v>30</v>
      </c>
      <c r="M11" s="7">
        <v>40</v>
      </c>
      <c r="N11" s="7">
        <v>42</v>
      </c>
      <c r="O11" s="7">
        <v>243</v>
      </c>
      <c r="P11" s="19" t="s">
        <v>33</v>
      </c>
      <c r="Q11" s="7">
        <f>3+4</f>
        <v>7</v>
      </c>
      <c r="R11" s="7">
        <v>11</v>
      </c>
      <c r="S11" s="7">
        <f>22+24</f>
        <v>46</v>
      </c>
      <c r="T11" s="44">
        <v>40</v>
      </c>
      <c r="U11" s="7">
        <v>34</v>
      </c>
      <c r="V11" s="7">
        <v>30</v>
      </c>
      <c r="W11" s="7">
        <v>39</v>
      </c>
      <c r="X11" s="7">
        <v>36</v>
      </c>
      <c r="Y11" s="38">
        <v>58</v>
      </c>
      <c r="Z11" s="38">
        <v>56.3</v>
      </c>
      <c r="AA11" s="38">
        <v>59.8</v>
      </c>
      <c r="AB11" s="20" t="s">
        <v>32</v>
      </c>
    </row>
    <row r="12" spans="2:28" ht="13.5" customHeight="1">
      <c r="B12" s="21" t="s">
        <v>34</v>
      </c>
      <c r="C12" s="18" t="s">
        <v>35</v>
      </c>
      <c r="D12" s="7">
        <v>1563</v>
      </c>
      <c r="E12" s="7">
        <v>818</v>
      </c>
      <c r="F12" s="7">
        <v>14</v>
      </c>
      <c r="G12" s="7">
        <v>49</v>
      </c>
      <c r="H12" s="7">
        <v>98</v>
      </c>
      <c r="I12" s="7">
        <f>76+85</f>
        <v>161</v>
      </c>
      <c r="J12" s="7">
        <f>72+57</f>
        <v>129</v>
      </c>
      <c r="K12" s="7">
        <v>87</v>
      </c>
      <c r="L12" s="7">
        <v>97</v>
      </c>
      <c r="M12" s="7">
        <v>94</v>
      </c>
      <c r="N12" s="7">
        <v>89</v>
      </c>
      <c r="O12" s="7">
        <v>745</v>
      </c>
      <c r="P12" s="7">
        <v>7</v>
      </c>
      <c r="Q12" s="7">
        <f>10+10</f>
        <v>20</v>
      </c>
      <c r="R12" s="7">
        <v>74</v>
      </c>
      <c r="S12" s="7">
        <f>58+60</f>
        <v>118</v>
      </c>
      <c r="T12" s="7">
        <v>140</v>
      </c>
      <c r="U12" s="7">
        <v>101</v>
      </c>
      <c r="V12" s="7">
        <v>107</v>
      </c>
      <c r="W12" s="7">
        <v>86</v>
      </c>
      <c r="X12" s="7">
        <v>92</v>
      </c>
      <c r="Y12" s="38">
        <v>56.1</v>
      </c>
      <c r="Z12" s="38">
        <v>54.7</v>
      </c>
      <c r="AA12" s="38">
        <v>57.8</v>
      </c>
      <c r="AB12" s="20" t="s">
        <v>35</v>
      </c>
    </row>
    <row r="13" spans="2:28" ht="13.5" customHeight="1">
      <c r="B13" s="21" t="s">
        <v>36</v>
      </c>
      <c r="C13" s="18" t="s">
        <v>37</v>
      </c>
      <c r="D13" s="7">
        <v>580</v>
      </c>
      <c r="E13" s="7">
        <v>300</v>
      </c>
      <c r="F13" s="7">
        <v>3</v>
      </c>
      <c r="G13" s="7">
        <v>14</v>
      </c>
      <c r="H13" s="7">
        <v>28</v>
      </c>
      <c r="I13" s="7">
        <f>18+30</f>
        <v>48</v>
      </c>
      <c r="J13" s="7">
        <f>35+15</f>
        <v>50</v>
      </c>
      <c r="K13" s="7">
        <v>32</v>
      </c>
      <c r="L13" s="7">
        <v>45</v>
      </c>
      <c r="M13" s="7">
        <v>38</v>
      </c>
      <c r="N13" s="7">
        <v>42</v>
      </c>
      <c r="O13" s="7">
        <v>280</v>
      </c>
      <c r="P13" s="7">
        <v>1</v>
      </c>
      <c r="Q13" s="7">
        <f>4+0</f>
        <v>4</v>
      </c>
      <c r="R13" s="7">
        <v>19</v>
      </c>
      <c r="S13" s="7">
        <f>18+25</f>
        <v>43</v>
      </c>
      <c r="T13" s="7">
        <v>43</v>
      </c>
      <c r="U13" s="7">
        <v>44</v>
      </c>
      <c r="V13" s="7">
        <v>40</v>
      </c>
      <c r="W13" s="7">
        <v>40</v>
      </c>
      <c r="X13" s="7">
        <v>46</v>
      </c>
      <c r="Y13" s="38">
        <v>58.9</v>
      </c>
      <c r="Z13" s="38">
        <v>57.5</v>
      </c>
      <c r="AA13" s="38">
        <v>60.5</v>
      </c>
      <c r="AB13" s="20" t="s">
        <v>37</v>
      </c>
    </row>
    <row r="14" spans="2:28" ht="13.5" customHeight="1">
      <c r="B14" s="21" t="s">
        <v>38</v>
      </c>
      <c r="C14" s="18" t="s">
        <v>39</v>
      </c>
      <c r="D14" s="7">
        <v>3372</v>
      </c>
      <c r="E14" s="7">
        <v>1817</v>
      </c>
      <c r="F14" s="7">
        <v>23</v>
      </c>
      <c r="G14" s="7">
        <v>89</v>
      </c>
      <c r="H14" s="7">
        <v>178</v>
      </c>
      <c r="I14" s="7">
        <f>138+218</f>
        <v>356</v>
      </c>
      <c r="J14" s="7">
        <f>173+163</f>
        <v>336</v>
      </c>
      <c r="K14" s="7">
        <v>206</v>
      </c>
      <c r="L14" s="7">
        <v>220</v>
      </c>
      <c r="M14" s="7">
        <v>188</v>
      </c>
      <c r="N14" s="7">
        <v>221</v>
      </c>
      <c r="O14" s="7">
        <v>1555</v>
      </c>
      <c r="P14" s="7">
        <v>11</v>
      </c>
      <c r="Q14" s="7">
        <v>43</v>
      </c>
      <c r="R14" s="7">
        <v>87</v>
      </c>
      <c r="S14" s="7">
        <f>85+160</f>
        <v>245</v>
      </c>
      <c r="T14" s="7">
        <v>295</v>
      </c>
      <c r="U14" s="7">
        <v>215</v>
      </c>
      <c r="V14" s="7">
        <v>225</v>
      </c>
      <c r="W14" s="7">
        <v>206</v>
      </c>
      <c r="X14" s="7">
        <v>228</v>
      </c>
      <c r="Y14" s="38">
        <v>57.7</v>
      </c>
      <c r="Z14" s="38">
        <v>56</v>
      </c>
      <c r="AA14" s="38">
        <v>59.7</v>
      </c>
      <c r="AB14" s="20" t="s">
        <v>39</v>
      </c>
    </row>
    <row r="15" spans="2:28" ht="13.5" customHeight="1">
      <c r="B15" s="21" t="s">
        <v>40</v>
      </c>
      <c r="C15" s="18" t="s">
        <v>41</v>
      </c>
      <c r="D15" s="7">
        <v>2389</v>
      </c>
      <c r="E15" s="7">
        <v>1270</v>
      </c>
      <c r="F15" s="7">
        <v>8</v>
      </c>
      <c r="G15" s="7">
        <v>79</v>
      </c>
      <c r="H15" s="7">
        <v>131</v>
      </c>
      <c r="I15" s="7">
        <f>105+141</f>
        <v>246</v>
      </c>
      <c r="J15" s="7">
        <f>133+114</f>
        <v>247</v>
      </c>
      <c r="K15" s="7">
        <v>118</v>
      </c>
      <c r="L15" s="7">
        <v>162</v>
      </c>
      <c r="M15" s="7">
        <v>131</v>
      </c>
      <c r="N15" s="7">
        <v>148</v>
      </c>
      <c r="O15" s="7">
        <v>1119</v>
      </c>
      <c r="P15" s="7">
        <v>5</v>
      </c>
      <c r="Q15" s="7">
        <f>15+24</f>
        <v>39</v>
      </c>
      <c r="R15" s="7">
        <v>70</v>
      </c>
      <c r="S15" s="7">
        <f>81+101</f>
        <v>182</v>
      </c>
      <c r="T15" s="7">
        <v>225</v>
      </c>
      <c r="U15" s="7">
        <v>142</v>
      </c>
      <c r="V15" s="7">
        <v>153</v>
      </c>
      <c r="W15" s="7">
        <v>154</v>
      </c>
      <c r="X15" s="7">
        <v>149</v>
      </c>
      <c r="Y15" s="38">
        <v>57.1</v>
      </c>
      <c r="Z15" s="38">
        <v>55.6</v>
      </c>
      <c r="AA15" s="38">
        <v>58.8</v>
      </c>
      <c r="AB15" s="20" t="s">
        <v>41</v>
      </c>
    </row>
    <row r="16" spans="2:28" ht="13.5" customHeight="1">
      <c r="B16" s="21" t="s">
        <v>42</v>
      </c>
      <c r="C16" s="18" t="s">
        <v>43</v>
      </c>
      <c r="D16" s="19" t="s">
        <v>33</v>
      </c>
      <c r="E16" s="19" t="s">
        <v>33</v>
      </c>
      <c r="F16" s="19" t="s">
        <v>33</v>
      </c>
      <c r="G16" s="19" t="s">
        <v>33</v>
      </c>
      <c r="H16" s="19" t="s">
        <v>33</v>
      </c>
      <c r="I16" s="19" t="s">
        <v>33</v>
      </c>
      <c r="J16" s="19" t="s">
        <v>33</v>
      </c>
      <c r="K16" s="19" t="s">
        <v>33</v>
      </c>
      <c r="L16" s="19" t="s">
        <v>33</v>
      </c>
      <c r="M16" s="19" t="s">
        <v>33</v>
      </c>
      <c r="N16" s="19" t="s">
        <v>33</v>
      </c>
      <c r="O16" s="19" t="s">
        <v>33</v>
      </c>
      <c r="P16" s="19" t="s">
        <v>33</v>
      </c>
      <c r="Q16" s="19" t="s">
        <v>33</v>
      </c>
      <c r="R16" s="19" t="s">
        <v>33</v>
      </c>
      <c r="S16" s="19" t="s">
        <v>33</v>
      </c>
      <c r="T16" s="19" t="s">
        <v>33</v>
      </c>
      <c r="U16" s="19" t="s">
        <v>33</v>
      </c>
      <c r="V16" s="19" t="s">
        <v>33</v>
      </c>
      <c r="W16" s="19" t="s">
        <v>33</v>
      </c>
      <c r="X16" s="19" t="s">
        <v>33</v>
      </c>
      <c r="Y16" s="45" t="s">
        <v>33</v>
      </c>
      <c r="Z16" s="45" t="s">
        <v>33</v>
      </c>
      <c r="AA16" s="45" t="s">
        <v>33</v>
      </c>
      <c r="AB16" s="20" t="s">
        <v>43</v>
      </c>
    </row>
    <row r="17" spans="2:28" ht="13.5" customHeight="1">
      <c r="B17" s="17" t="s">
        <v>44</v>
      </c>
      <c r="C17" s="18" t="s">
        <v>45</v>
      </c>
      <c r="D17" s="7">
        <v>4288</v>
      </c>
      <c r="E17" s="7">
        <v>2273</v>
      </c>
      <c r="F17" s="7">
        <v>25</v>
      </c>
      <c r="G17" s="7">
        <v>210</v>
      </c>
      <c r="H17" s="7">
        <f>117+167</f>
        <v>284</v>
      </c>
      <c r="I17" s="7">
        <v>519</v>
      </c>
      <c r="J17" s="7">
        <f>266+178</f>
        <v>444</v>
      </c>
      <c r="K17" s="7">
        <v>253</v>
      </c>
      <c r="L17" s="7">
        <v>258</v>
      </c>
      <c r="M17" s="7">
        <v>185</v>
      </c>
      <c r="N17" s="7">
        <v>95</v>
      </c>
      <c r="O17" s="7">
        <v>2015</v>
      </c>
      <c r="P17" s="7">
        <v>13</v>
      </c>
      <c r="Q17" s="7">
        <f>15+53</f>
        <v>68</v>
      </c>
      <c r="R17" s="7">
        <f>90+148</f>
        <v>238</v>
      </c>
      <c r="S17" s="7">
        <f>221+248</f>
        <v>469</v>
      </c>
      <c r="T17" s="7">
        <f>196+215</f>
        <v>411</v>
      </c>
      <c r="U17" s="7">
        <v>254</v>
      </c>
      <c r="V17" s="7">
        <v>261</v>
      </c>
      <c r="W17" s="7">
        <v>210</v>
      </c>
      <c r="X17" s="7">
        <v>91</v>
      </c>
      <c r="Y17" s="38">
        <v>52.6</v>
      </c>
      <c r="Z17" s="38">
        <v>51.2</v>
      </c>
      <c r="AA17" s="38">
        <v>54.2</v>
      </c>
      <c r="AB17" s="20" t="s">
        <v>45</v>
      </c>
    </row>
    <row r="18" spans="2:28" ht="13.5" customHeight="1">
      <c r="B18" s="17" t="s">
        <v>46</v>
      </c>
      <c r="C18" s="18" t="s">
        <v>47</v>
      </c>
      <c r="D18" s="7">
        <v>1970</v>
      </c>
      <c r="E18" s="7">
        <v>1014</v>
      </c>
      <c r="F18" s="7">
        <v>1</v>
      </c>
      <c r="G18" s="7">
        <v>77</v>
      </c>
      <c r="H18" s="7">
        <f>42+68</f>
        <v>110</v>
      </c>
      <c r="I18" s="7">
        <f>84+86</f>
        <v>170</v>
      </c>
      <c r="J18" s="7">
        <f>131+83</f>
        <v>214</v>
      </c>
      <c r="K18" s="7">
        <v>110</v>
      </c>
      <c r="L18" s="7">
        <v>123</v>
      </c>
      <c r="M18" s="7">
        <v>101</v>
      </c>
      <c r="N18" s="7">
        <v>108</v>
      </c>
      <c r="O18" s="7">
        <v>956</v>
      </c>
      <c r="P18" s="7">
        <v>3</v>
      </c>
      <c r="Q18" s="7">
        <f>14+29</f>
        <v>43</v>
      </c>
      <c r="R18" s="7">
        <f>37+54</f>
        <v>91</v>
      </c>
      <c r="S18" s="7">
        <f>70+101</f>
        <v>171</v>
      </c>
      <c r="T18" s="7">
        <f>93+88</f>
        <v>181</v>
      </c>
      <c r="U18" s="7">
        <v>124</v>
      </c>
      <c r="V18" s="7">
        <v>118</v>
      </c>
      <c r="W18" s="7">
        <v>102</v>
      </c>
      <c r="X18" s="7">
        <v>123</v>
      </c>
      <c r="Y18" s="38">
        <v>56</v>
      </c>
      <c r="Z18" s="38">
        <v>55</v>
      </c>
      <c r="AA18" s="38">
        <v>57</v>
      </c>
      <c r="AB18" s="20" t="s">
        <v>47</v>
      </c>
    </row>
    <row r="19" spans="2:28" ht="13.5" customHeight="1">
      <c r="B19" s="17" t="s">
        <v>48</v>
      </c>
      <c r="C19" s="18" t="s">
        <v>49</v>
      </c>
      <c r="D19" s="7">
        <v>3996</v>
      </c>
      <c r="E19" s="7">
        <v>2074</v>
      </c>
      <c r="F19" s="7">
        <v>9</v>
      </c>
      <c r="G19" s="7">
        <v>156</v>
      </c>
      <c r="H19" s="7">
        <f>115+149</f>
        <v>264</v>
      </c>
      <c r="I19" s="7">
        <f>178+219</f>
        <v>397</v>
      </c>
      <c r="J19" s="7">
        <f>231+165</f>
        <v>396</v>
      </c>
      <c r="K19" s="7">
        <v>213</v>
      </c>
      <c r="L19" s="7">
        <v>237</v>
      </c>
      <c r="M19" s="7">
        <v>214</v>
      </c>
      <c r="N19" s="7">
        <v>188</v>
      </c>
      <c r="O19" s="7">
        <v>1922</v>
      </c>
      <c r="P19" s="7">
        <v>7</v>
      </c>
      <c r="Q19" s="7">
        <f>27+51</f>
        <v>78</v>
      </c>
      <c r="R19" s="7">
        <f>88+134</f>
        <v>222</v>
      </c>
      <c r="S19" s="7">
        <f>166+193</f>
        <v>359</v>
      </c>
      <c r="T19" s="7">
        <f>190+181</f>
        <v>371</v>
      </c>
      <c r="U19" s="7">
        <v>205</v>
      </c>
      <c r="V19" s="7">
        <v>245</v>
      </c>
      <c r="W19" s="7">
        <v>218</v>
      </c>
      <c r="X19" s="7">
        <v>217</v>
      </c>
      <c r="Y19" s="38">
        <v>55</v>
      </c>
      <c r="Z19" s="38">
        <v>53.9</v>
      </c>
      <c r="AA19" s="38">
        <v>56.3</v>
      </c>
      <c r="AB19" s="20" t="s">
        <v>49</v>
      </c>
    </row>
    <row r="20" spans="2:28" ht="13.5" customHeight="1">
      <c r="B20" s="17" t="s">
        <v>50</v>
      </c>
      <c r="C20" s="18" t="s">
        <v>51</v>
      </c>
      <c r="D20" s="7">
        <v>5405</v>
      </c>
      <c r="E20" s="7">
        <v>2801</v>
      </c>
      <c r="F20" s="7">
        <v>24</v>
      </c>
      <c r="G20" s="7">
        <v>168</v>
      </c>
      <c r="H20" s="7">
        <f>112+146</f>
        <v>258</v>
      </c>
      <c r="I20" s="7">
        <f>198+284</f>
        <v>482</v>
      </c>
      <c r="J20" s="7">
        <f>327+253</f>
        <v>580</v>
      </c>
      <c r="K20" s="7">
        <v>265</v>
      </c>
      <c r="L20" s="7">
        <v>332</v>
      </c>
      <c r="M20" s="7">
        <v>315</v>
      </c>
      <c r="N20" s="7">
        <v>377</v>
      </c>
      <c r="O20" s="7">
        <v>2604</v>
      </c>
      <c r="P20" s="7">
        <v>8</v>
      </c>
      <c r="Q20" s="7">
        <f>36+38</f>
        <v>74</v>
      </c>
      <c r="R20" s="7">
        <f>60+111</f>
        <v>171</v>
      </c>
      <c r="S20" s="7">
        <f>151+235</f>
        <v>386</v>
      </c>
      <c r="T20" s="7">
        <f>277+252</f>
        <v>529</v>
      </c>
      <c r="U20" s="7">
        <v>286</v>
      </c>
      <c r="V20" s="7">
        <v>375</v>
      </c>
      <c r="W20" s="7">
        <v>342</v>
      </c>
      <c r="X20" s="7">
        <v>433</v>
      </c>
      <c r="Y20" s="38">
        <v>58.2</v>
      </c>
      <c r="Z20" s="38">
        <v>56.5</v>
      </c>
      <c r="AA20" s="38">
        <v>60</v>
      </c>
      <c r="AB20" s="20" t="s">
        <v>51</v>
      </c>
    </row>
    <row r="21" spans="2:28" ht="13.5" customHeight="1">
      <c r="B21" s="17" t="s">
        <v>52</v>
      </c>
      <c r="C21" s="18" t="s">
        <v>53</v>
      </c>
      <c r="D21" s="7">
        <v>6375</v>
      </c>
      <c r="E21" s="7">
        <v>3453</v>
      </c>
      <c r="F21" s="7">
        <v>61</v>
      </c>
      <c r="G21" s="7">
        <v>255</v>
      </c>
      <c r="H21" s="7">
        <f>116+236</f>
        <v>352</v>
      </c>
      <c r="I21" s="7">
        <f>330+398</f>
        <v>728</v>
      </c>
      <c r="J21" s="7">
        <f>377+286</f>
        <v>663</v>
      </c>
      <c r="K21" s="7">
        <v>312</v>
      </c>
      <c r="L21" s="7">
        <v>395</v>
      </c>
      <c r="M21" s="7">
        <v>332</v>
      </c>
      <c r="N21" s="7">
        <v>355</v>
      </c>
      <c r="O21" s="7">
        <v>2922</v>
      </c>
      <c r="P21" s="7">
        <v>19</v>
      </c>
      <c r="Q21" s="7">
        <f>62+68</f>
        <v>130</v>
      </c>
      <c r="R21" s="7">
        <f>67+168</f>
        <v>235</v>
      </c>
      <c r="S21" s="7">
        <f>215+304</f>
        <v>519</v>
      </c>
      <c r="T21" s="7">
        <f>306+269</f>
        <v>575</v>
      </c>
      <c r="U21" s="7">
        <v>353</v>
      </c>
      <c r="V21" s="7">
        <v>370</v>
      </c>
      <c r="W21" s="7">
        <v>395</v>
      </c>
      <c r="X21" s="7">
        <v>326</v>
      </c>
      <c r="Y21" s="38">
        <v>55.4</v>
      </c>
      <c r="Z21" s="38">
        <v>53.9</v>
      </c>
      <c r="AA21" s="38">
        <v>57.2</v>
      </c>
      <c r="AB21" s="20" t="s">
        <v>53</v>
      </c>
    </row>
    <row r="22" spans="2:28" ht="13.5" customHeight="1">
      <c r="B22" s="17" t="s">
        <v>54</v>
      </c>
      <c r="C22" s="18" t="s">
        <v>55</v>
      </c>
      <c r="D22" s="7">
        <v>3205</v>
      </c>
      <c r="E22" s="7">
        <v>1634</v>
      </c>
      <c r="F22" s="7">
        <v>16</v>
      </c>
      <c r="G22" s="7">
        <v>121</v>
      </c>
      <c r="H22" s="7">
        <f>81+102</f>
        <v>183</v>
      </c>
      <c r="I22" s="7">
        <f>140+177</f>
        <v>317</v>
      </c>
      <c r="J22" s="7">
        <v>329</v>
      </c>
      <c r="K22" s="7">
        <v>158</v>
      </c>
      <c r="L22" s="7">
        <v>160</v>
      </c>
      <c r="M22" s="7">
        <v>179</v>
      </c>
      <c r="N22" s="7">
        <v>171</v>
      </c>
      <c r="O22" s="7">
        <v>1571</v>
      </c>
      <c r="P22" s="7">
        <v>4</v>
      </c>
      <c r="Q22" s="7">
        <f>24+47</f>
        <v>71</v>
      </c>
      <c r="R22" s="7">
        <f>75+89</f>
        <v>164</v>
      </c>
      <c r="S22" s="7">
        <f>127+161</f>
        <v>288</v>
      </c>
      <c r="T22" s="7">
        <f>154+153</f>
        <v>307</v>
      </c>
      <c r="U22" s="7">
        <v>180</v>
      </c>
      <c r="V22" s="7">
        <v>177</v>
      </c>
      <c r="W22" s="7">
        <v>181</v>
      </c>
      <c r="X22" s="7">
        <v>199</v>
      </c>
      <c r="Y22" s="38">
        <v>55.5</v>
      </c>
      <c r="Z22" s="38">
        <v>54.3</v>
      </c>
      <c r="AA22" s="38">
        <v>56.7</v>
      </c>
      <c r="AB22" s="20" t="s">
        <v>55</v>
      </c>
    </row>
    <row r="23" spans="2:28" ht="13.5" customHeight="1">
      <c r="B23" s="17" t="s">
        <v>56</v>
      </c>
      <c r="C23" s="18" t="s">
        <v>57</v>
      </c>
      <c r="D23" s="7">
        <v>3327</v>
      </c>
      <c r="E23" s="7">
        <v>1737</v>
      </c>
      <c r="F23" s="7">
        <v>12</v>
      </c>
      <c r="G23" s="7">
        <v>74</v>
      </c>
      <c r="H23" s="7">
        <f>54+92</f>
        <v>146</v>
      </c>
      <c r="I23" s="7">
        <f>128+165</f>
        <v>293</v>
      </c>
      <c r="J23" s="7">
        <v>356</v>
      </c>
      <c r="K23" s="7">
        <v>208</v>
      </c>
      <c r="L23" s="7">
        <v>266</v>
      </c>
      <c r="M23" s="7">
        <v>202</v>
      </c>
      <c r="N23" s="7">
        <v>180</v>
      </c>
      <c r="O23" s="7">
        <v>1590</v>
      </c>
      <c r="P23" s="7">
        <v>7</v>
      </c>
      <c r="Q23" s="7">
        <f>10+18</f>
        <v>28</v>
      </c>
      <c r="R23" s="7">
        <f>28+48</f>
        <v>76</v>
      </c>
      <c r="S23" s="7">
        <f>97+132</f>
        <v>229</v>
      </c>
      <c r="T23" s="7">
        <f>166+137</f>
        <v>303</v>
      </c>
      <c r="U23" s="7">
        <v>250</v>
      </c>
      <c r="V23" s="7">
        <v>259</v>
      </c>
      <c r="W23" s="7">
        <v>221</v>
      </c>
      <c r="X23" s="7">
        <v>217</v>
      </c>
      <c r="Y23" s="38">
        <v>58.7</v>
      </c>
      <c r="Z23" s="38">
        <v>57.1</v>
      </c>
      <c r="AA23" s="38">
        <v>60.5</v>
      </c>
      <c r="AB23" s="20" t="s">
        <v>57</v>
      </c>
    </row>
    <row r="24" spans="2:28" ht="13.5" customHeight="1">
      <c r="B24" s="17" t="s">
        <v>58</v>
      </c>
      <c r="C24" s="18" t="s">
        <v>59</v>
      </c>
      <c r="D24" s="7">
        <v>8604</v>
      </c>
      <c r="E24" s="7">
        <v>4723</v>
      </c>
      <c r="F24" s="7">
        <v>76</v>
      </c>
      <c r="G24" s="7">
        <v>399</v>
      </c>
      <c r="H24" s="7">
        <f>254+369</f>
        <v>623</v>
      </c>
      <c r="I24" s="7">
        <f>454+596</f>
        <v>1050</v>
      </c>
      <c r="J24" s="7">
        <v>869</v>
      </c>
      <c r="K24" s="7">
        <v>510</v>
      </c>
      <c r="L24" s="7">
        <v>501</v>
      </c>
      <c r="M24" s="7">
        <v>419</v>
      </c>
      <c r="N24" s="7">
        <v>276</v>
      </c>
      <c r="O24" s="7">
        <v>3881</v>
      </c>
      <c r="P24" s="7">
        <v>27</v>
      </c>
      <c r="Q24" s="7">
        <f>75+92</f>
        <v>167</v>
      </c>
      <c r="R24" s="7">
        <f>140+262</f>
        <v>402</v>
      </c>
      <c r="S24" s="7">
        <f>327+475</f>
        <v>802</v>
      </c>
      <c r="T24" s="7">
        <f>387+384</f>
        <v>771</v>
      </c>
      <c r="U24" s="7">
        <v>508</v>
      </c>
      <c r="V24" s="7">
        <v>542</v>
      </c>
      <c r="W24" s="7">
        <v>415</v>
      </c>
      <c r="X24" s="7">
        <v>247</v>
      </c>
      <c r="Y24" s="38">
        <v>53.2</v>
      </c>
      <c r="Z24" s="38">
        <v>51.7</v>
      </c>
      <c r="AA24" s="38">
        <v>55.1</v>
      </c>
      <c r="AB24" s="20" t="s">
        <v>59</v>
      </c>
    </row>
    <row r="25" spans="2:28" ht="13.5" customHeight="1">
      <c r="B25" s="17" t="s">
        <v>60</v>
      </c>
      <c r="C25" s="18" t="s">
        <v>61</v>
      </c>
      <c r="D25" s="7">
        <v>6264</v>
      </c>
      <c r="E25" s="7">
        <v>3411</v>
      </c>
      <c r="F25" s="7">
        <v>57</v>
      </c>
      <c r="G25" s="7">
        <v>248</v>
      </c>
      <c r="H25" s="7">
        <f>164+226</f>
        <v>390</v>
      </c>
      <c r="I25" s="7">
        <f>293+424</f>
        <v>717</v>
      </c>
      <c r="J25" s="7">
        <v>629</v>
      </c>
      <c r="K25" s="7">
        <v>307</v>
      </c>
      <c r="L25" s="7">
        <v>364</v>
      </c>
      <c r="M25" s="7">
        <v>375</v>
      </c>
      <c r="N25" s="7">
        <v>324</v>
      </c>
      <c r="O25" s="7">
        <v>2853</v>
      </c>
      <c r="P25" s="7">
        <v>24</v>
      </c>
      <c r="Q25" s="7">
        <f>52+70</f>
        <v>122</v>
      </c>
      <c r="R25" s="7">
        <f>90+129</f>
        <v>219</v>
      </c>
      <c r="S25" s="7">
        <f>235+302</f>
        <v>537</v>
      </c>
      <c r="T25" s="7">
        <f>253+255</f>
        <v>508</v>
      </c>
      <c r="U25" s="7">
        <v>316</v>
      </c>
      <c r="V25" s="7">
        <v>405</v>
      </c>
      <c r="W25" s="7">
        <v>372</v>
      </c>
      <c r="X25" s="7">
        <v>350</v>
      </c>
      <c r="Y25" s="38">
        <v>55.4</v>
      </c>
      <c r="Z25" s="38">
        <v>53.7</v>
      </c>
      <c r="AA25" s="38">
        <v>57.5</v>
      </c>
      <c r="AB25" s="20" t="s">
        <v>61</v>
      </c>
    </row>
    <row r="26" spans="2:28" ht="13.5" customHeight="1">
      <c r="B26" s="17" t="s">
        <v>62</v>
      </c>
      <c r="C26" s="18" t="s">
        <v>63</v>
      </c>
      <c r="D26" s="7">
        <v>4479</v>
      </c>
      <c r="E26" s="7">
        <v>2474</v>
      </c>
      <c r="F26" s="7">
        <v>32</v>
      </c>
      <c r="G26" s="7">
        <v>157</v>
      </c>
      <c r="H26" s="7">
        <f>127+162</f>
        <v>289</v>
      </c>
      <c r="I26" s="7">
        <f>249+247</f>
        <v>496</v>
      </c>
      <c r="J26" s="7">
        <v>495</v>
      </c>
      <c r="K26" s="7">
        <v>251</v>
      </c>
      <c r="L26" s="7">
        <v>279</v>
      </c>
      <c r="M26" s="7">
        <v>283</v>
      </c>
      <c r="N26" s="7">
        <v>192</v>
      </c>
      <c r="O26" s="7">
        <v>2005</v>
      </c>
      <c r="P26" s="7">
        <v>20</v>
      </c>
      <c r="Q26" s="7">
        <f>38+39</f>
        <v>77</v>
      </c>
      <c r="R26" s="7">
        <f>45+113</f>
        <v>158</v>
      </c>
      <c r="S26" s="7">
        <f>162+203</f>
        <v>365</v>
      </c>
      <c r="T26" s="7">
        <f>229+179</f>
        <v>408</v>
      </c>
      <c r="U26" s="7">
        <v>264</v>
      </c>
      <c r="V26" s="7">
        <v>289</v>
      </c>
      <c r="W26" s="7">
        <v>266</v>
      </c>
      <c r="X26" s="7">
        <v>158</v>
      </c>
      <c r="Y26" s="38">
        <v>55</v>
      </c>
      <c r="Z26" s="38">
        <v>53.7</v>
      </c>
      <c r="AA26" s="38">
        <v>56.6</v>
      </c>
      <c r="AB26" s="20" t="s">
        <v>63</v>
      </c>
    </row>
    <row r="27" spans="2:28" ht="13.5" customHeight="1">
      <c r="B27" s="17" t="s">
        <v>64</v>
      </c>
      <c r="C27" s="18" t="s">
        <v>65</v>
      </c>
      <c r="D27" s="7">
        <v>4560</v>
      </c>
      <c r="E27" s="7">
        <v>2486</v>
      </c>
      <c r="F27" s="7">
        <v>33</v>
      </c>
      <c r="G27" s="7">
        <v>138</v>
      </c>
      <c r="H27" s="7">
        <f>107+146</f>
        <v>253</v>
      </c>
      <c r="I27" s="7">
        <f>219+313</f>
        <v>532</v>
      </c>
      <c r="J27" s="7">
        <v>473</v>
      </c>
      <c r="K27" s="7">
        <v>252</v>
      </c>
      <c r="L27" s="7">
        <v>290</v>
      </c>
      <c r="M27" s="7">
        <v>262</v>
      </c>
      <c r="N27" s="7">
        <v>253</v>
      </c>
      <c r="O27" s="7">
        <v>2074</v>
      </c>
      <c r="P27" s="7">
        <v>11</v>
      </c>
      <c r="Q27" s="7">
        <f>23+38</f>
        <v>61</v>
      </c>
      <c r="R27" s="7">
        <f>46+83</f>
        <v>129</v>
      </c>
      <c r="S27" s="7">
        <f>174+203</f>
        <v>377</v>
      </c>
      <c r="T27" s="7">
        <f>205+192</f>
        <v>397</v>
      </c>
      <c r="U27" s="7">
        <v>262</v>
      </c>
      <c r="V27" s="7">
        <v>309</v>
      </c>
      <c r="W27" s="7">
        <v>279</v>
      </c>
      <c r="X27" s="7">
        <v>249</v>
      </c>
      <c r="Y27" s="38">
        <v>56.5</v>
      </c>
      <c r="Z27" s="38">
        <v>54.8</v>
      </c>
      <c r="AA27" s="38">
        <v>58.5</v>
      </c>
      <c r="AB27" s="20" t="s">
        <v>65</v>
      </c>
    </row>
    <row r="28" spans="2:28" ht="13.5" customHeight="1">
      <c r="B28" s="17" t="s">
        <v>66</v>
      </c>
      <c r="C28" s="18" t="s">
        <v>67</v>
      </c>
      <c r="D28" s="7">
        <v>5959</v>
      </c>
      <c r="E28" s="7">
        <v>3320</v>
      </c>
      <c r="F28" s="7">
        <v>27</v>
      </c>
      <c r="G28" s="7">
        <v>238</v>
      </c>
      <c r="H28" s="7">
        <f>132+209</f>
        <v>341</v>
      </c>
      <c r="I28" s="7">
        <f>316+379</f>
        <v>695</v>
      </c>
      <c r="J28" s="7">
        <v>615</v>
      </c>
      <c r="K28" s="7">
        <v>337</v>
      </c>
      <c r="L28" s="7">
        <v>365</v>
      </c>
      <c r="M28" s="7">
        <v>365</v>
      </c>
      <c r="N28" s="7">
        <v>337</v>
      </c>
      <c r="O28" s="7">
        <v>2639</v>
      </c>
      <c r="P28" s="7">
        <v>9</v>
      </c>
      <c r="Q28" s="7">
        <f>35+51</f>
        <v>86</v>
      </c>
      <c r="R28" s="7">
        <f>69+132</f>
        <v>201</v>
      </c>
      <c r="S28" s="7">
        <f>180+262</f>
        <v>442</v>
      </c>
      <c r="T28" s="7">
        <f>268+248</f>
        <v>516</v>
      </c>
      <c r="U28" s="7">
        <v>319</v>
      </c>
      <c r="V28" s="7">
        <v>397</v>
      </c>
      <c r="W28" s="7">
        <v>354</v>
      </c>
      <c r="X28" s="7">
        <v>315</v>
      </c>
      <c r="Y28" s="38">
        <v>56.2</v>
      </c>
      <c r="Z28" s="38">
        <v>54.5</v>
      </c>
      <c r="AA28" s="38">
        <v>58.4</v>
      </c>
      <c r="AB28" s="20" t="s">
        <v>67</v>
      </c>
    </row>
    <row r="29" spans="2:28" ht="13.5" customHeight="1">
      <c r="B29" s="17" t="s">
        <v>68</v>
      </c>
      <c r="C29" s="18" t="s">
        <v>69</v>
      </c>
      <c r="D29" s="7">
        <v>6439</v>
      </c>
      <c r="E29" s="7">
        <v>3539</v>
      </c>
      <c r="F29" s="7">
        <v>36</v>
      </c>
      <c r="G29" s="7">
        <v>274</v>
      </c>
      <c r="H29" s="7">
        <f>162+257</f>
        <v>419</v>
      </c>
      <c r="I29" s="7">
        <f>343+449</f>
        <v>792</v>
      </c>
      <c r="J29" s="7">
        <v>652</v>
      </c>
      <c r="K29" s="7">
        <v>338</v>
      </c>
      <c r="L29" s="7">
        <v>390</v>
      </c>
      <c r="M29" s="7">
        <v>385</v>
      </c>
      <c r="N29" s="7">
        <v>253</v>
      </c>
      <c r="O29" s="7">
        <v>2900</v>
      </c>
      <c r="P29" s="7">
        <v>15</v>
      </c>
      <c r="Q29" s="7">
        <f>30+68</f>
        <v>98</v>
      </c>
      <c r="R29" s="7">
        <f>99+182</f>
        <v>281</v>
      </c>
      <c r="S29" s="7">
        <f>266+314</f>
        <v>580</v>
      </c>
      <c r="T29" s="7">
        <f>302+271</f>
        <v>573</v>
      </c>
      <c r="U29" s="7">
        <v>352</v>
      </c>
      <c r="V29" s="7">
        <v>430</v>
      </c>
      <c r="W29" s="7">
        <v>345</v>
      </c>
      <c r="X29" s="7">
        <v>226</v>
      </c>
      <c r="Y29" s="38">
        <v>54.5</v>
      </c>
      <c r="Z29" s="38">
        <v>53</v>
      </c>
      <c r="AA29" s="38">
        <v>56.2</v>
      </c>
      <c r="AB29" s="20" t="s">
        <v>69</v>
      </c>
    </row>
    <row r="30" spans="2:28" ht="13.5" customHeight="1">
      <c r="B30" s="17" t="s">
        <v>70</v>
      </c>
      <c r="C30" s="18" t="s">
        <v>71</v>
      </c>
      <c r="D30" s="7">
        <v>4579</v>
      </c>
      <c r="E30" s="7">
        <v>2438</v>
      </c>
      <c r="F30" s="7">
        <v>24</v>
      </c>
      <c r="G30" s="7">
        <v>215</v>
      </c>
      <c r="H30" s="7">
        <f>137+188</f>
        <v>325</v>
      </c>
      <c r="I30" s="7">
        <f>243+265</f>
        <v>508</v>
      </c>
      <c r="J30" s="7">
        <v>519</v>
      </c>
      <c r="K30" s="7">
        <v>246</v>
      </c>
      <c r="L30" s="7">
        <v>242</v>
      </c>
      <c r="M30" s="7">
        <v>208</v>
      </c>
      <c r="N30" s="7">
        <v>151</v>
      </c>
      <c r="O30" s="7">
        <v>2141</v>
      </c>
      <c r="P30" s="7">
        <v>5</v>
      </c>
      <c r="Q30" s="7">
        <f>29+62</f>
        <v>91</v>
      </c>
      <c r="R30" s="7">
        <f>93+161</f>
        <v>254</v>
      </c>
      <c r="S30" s="7">
        <f>188+244</f>
        <v>432</v>
      </c>
      <c r="T30" s="7">
        <f>247+188</f>
        <v>435</v>
      </c>
      <c r="U30" s="7">
        <v>279</v>
      </c>
      <c r="V30" s="7">
        <v>243</v>
      </c>
      <c r="W30" s="7">
        <v>239</v>
      </c>
      <c r="X30" s="7">
        <v>163</v>
      </c>
      <c r="Y30" s="38">
        <v>53.2</v>
      </c>
      <c r="Z30" s="38">
        <v>51.7</v>
      </c>
      <c r="AA30" s="38">
        <v>55</v>
      </c>
      <c r="AB30" s="20" t="s">
        <v>71</v>
      </c>
    </row>
    <row r="31" spans="2:28" ht="13.5" customHeight="1">
      <c r="B31" s="17" t="s">
        <v>72</v>
      </c>
      <c r="C31" s="18" t="s">
        <v>73</v>
      </c>
      <c r="D31" s="7">
        <v>669</v>
      </c>
      <c r="E31" s="7">
        <v>338</v>
      </c>
      <c r="F31" s="7">
        <v>5</v>
      </c>
      <c r="G31" s="7">
        <v>20</v>
      </c>
      <c r="H31" s="7">
        <f>14+20</f>
        <v>34</v>
      </c>
      <c r="I31" s="7">
        <v>56</v>
      </c>
      <c r="J31" s="7">
        <v>60</v>
      </c>
      <c r="K31" s="7">
        <v>40</v>
      </c>
      <c r="L31" s="7">
        <v>45</v>
      </c>
      <c r="M31" s="7">
        <v>41</v>
      </c>
      <c r="N31" s="7">
        <v>37</v>
      </c>
      <c r="O31" s="7">
        <v>331</v>
      </c>
      <c r="P31" s="7">
        <v>1</v>
      </c>
      <c r="Q31" s="7">
        <f>2+4</f>
        <v>6</v>
      </c>
      <c r="R31" s="7">
        <f>6+16</f>
        <v>22</v>
      </c>
      <c r="S31" s="7">
        <f>30+30</f>
        <v>60</v>
      </c>
      <c r="T31" s="7">
        <f>26+38</f>
        <v>64</v>
      </c>
      <c r="U31" s="7">
        <v>47</v>
      </c>
      <c r="V31" s="7">
        <v>57</v>
      </c>
      <c r="W31" s="7">
        <v>32</v>
      </c>
      <c r="X31" s="7">
        <v>42</v>
      </c>
      <c r="Y31" s="38">
        <v>57.5</v>
      </c>
      <c r="Z31" s="38">
        <v>56.1</v>
      </c>
      <c r="AA31" s="38">
        <v>58.9</v>
      </c>
      <c r="AB31" s="20" t="s">
        <v>73</v>
      </c>
    </row>
    <row r="32" spans="2:28" ht="13.5" customHeight="1">
      <c r="B32" s="17" t="s">
        <v>74</v>
      </c>
      <c r="C32" s="18" t="s">
        <v>75</v>
      </c>
      <c r="D32" s="7">
        <v>3377</v>
      </c>
      <c r="E32" s="7">
        <v>1746</v>
      </c>
      <c r="F32" s="7">
        <v>9</v>
      </c>
      <c r="G32" s="7">
        <v>102</v>
      </c>
      <c r="H32" s="7">
        <f>55+96</f>
        <v>151</v>
      </c>
      <c r="I32" s="7">
        <f>170+195</f>
        <v>365</v>
      </c>
      <c r="J32" s="7">
        <v>363</v>
      </c>
      <c r="K32" s="7">
        <v>154</v>
      </c>
      <c r="L32" s="7">
        <v>226</v>
      </c>
      <c r="M32" s="7">
        <v>204</v>
      </c>
      <c r="N32" s="7">
        <v>172</v>
      </c>
      <c r="O32" s="7">
        <v>1631</v>
      </c>
      <c r="P32" s="7">
        <v>2</v>
      </c>
      <c r="Q32" s="7">
        <f>12+39</f>
        <v>51</v>
      </c>
      <c r="R32" s="7">
        <f>53+70</f>
        <v>123</v>
      </c>
      <c r="S32" s="7">
        <f>124+168</f>
        <v>292</v>
      </c>
      <c r="T32" s="7">
        <f>170+144</f>
        <v>314</v>
      </c>
      <c r="U32" s="7">
        <v>198</v>
      </c>
      <c r="V32" s="7">
        <v>223</v>
      </c>
      <c r="W32" s="7">
        <v>207</v>
      </c>
      <c r="X32" s="7">
        <v>221</v>
      </c>
      <c r="Y32" s="38">
        <v>57</v>
      </c>
      <c r="Z32" s="38">
        <v>55.6</v>
      </c>
      <c r="AA32" s="38">
        <v>58.6</v>
      </c>
      <c r="AB32" s="20" t="s">
        <v>75</v>
      </c>
    </row>
    <row r="33" spans="2:28" ht="13.5" customHeight="1">
      <c r="B33" s="17" t="s">
        <v>76</v>
      </c>
      <c r="C33" s="18" t="s">
        <v>77</v>
      </c>
      <c r="D33" s="7">
        <v>2330</v>
      </c>
      <c r="E33" s="7">
        <v>1298</v>
      </c>
      <c r="F33" s="7">
        <v>11</v>
      </c>
      <c r="G33" s="7">
        <v>81</v>
      </c>
      <c r="H33" s="7">
        <f>44+73</f>
        <v>117</v>
      </c>
      <c r="I33" s="7">
        <f>119+134</f>
        <v>253</v>
      </c>
      <c r="J33" s="7">
        <v>243</v>
      </c>
      <c r="K33" s="7">
        <v>132</v>
      </c>
      <c r="L33" s="7">
        <v>166</v>
      </c>
      <c r="M33" s="7">
        <v>153</v>
      </c>
      <c r="N33" s="7">
        <v>142</v>
      </c>
      <c r="O33" s="7">
        <v>1032</v>
      </c>
      <c r="P33" s="7">
        <v>1</v>
      </c>
      <c r="Q33" s="7">
        <f>7+17</f>
        <v>24</v>
      </c>
      <c r="R33" s="7">
        <f>25+37</f>
        <v>62</v>
      </c>
      <c r="S33" s="7">
        <f>63+85</f>
        <v>148</v>
      </c>
      <c r="T33" s="7">
        <f>105+113</f>
        <v>218</v>
      </c>
      <c r="U33" s="7">
        <v>136</v>
      </c>
      <c r="V33" s="7">
        <v>185</v>
      </c>
      <c r="W33" s="7">
        <v>142</v>
      </c>
      <c r="X33" s="7">
        <v>116</v>
      </c>
      <c r="Y33" s="38">
        <v>57.5</v>
      </c>
      <c r="Z33" s="38">
        <v>55.8</v>
      </c>
      <c r="AA33" s="38">
        <v>59.7</v>
      </c>
      <c r="AB33" s="20" t="s">
        <v>77</v>
      </c>
    </row>
    <row r="34" spans="2:28" ht="13.5" customHeight="1">
      <c r="B34" s="17" t="s">
        <v>78</v>
      </c>
      <c r="C34" s="18" t="s">
        <v>79</v>
      </c>
      <c r="D34" s="7">
        <v>14546</v>
      </c>
      <c r="E34" s="7">
        <v>8103</v>
      </c>
      <c r="F34" s="7">
        <v>109</v>
      </c>
      <c r="G34" s="7">
        <v>539</v>
      </c>
      <c r="H34" s="7">
        <f>296+490</f>
        <v>786</v>
      </c>
      <c r="I34" s="7">
        <f>689+921</f>
        <v>1610</v>
      </c>
      <c r="J34" s="7">
        <v>1512</v>
      </c>
      <c r="K34" s="7">
        <v>823</v>
      </c>
      <c r="L34" s="7">
        <v>934</v>
      </c>
      <c r="M34" s="7">
        <v>962</v>
      </c>
      <c r="N34" s="7">
        <v>828</v>
      </c>
      <c r="O34" s="7">
        <v>6443</v>
      </c>
      <c r="P34" s="7">
        <v>44</v>
      </c>
      <c r="Q34" s="7">
        <f>94+116</f>
        <v>210</v>
      </c>
      <c r="R34" s="7">
        <f>147+260</f>
        <v>407</v>
      </c>
      <c r="S34" s="7">
        <f>459+567</f>
        <v>1026</v>
      </c>
      <c r="T34" s="7">
        <f>644+640</f>
        <v>1284</v>
      </c>
      <c r="U34" s="7">
        <v>822</v>
      </c>
      <c r="V34" s="7">
        <v>960</v>
      </c>
      <c r="W34" s="7">
        <v>904</v>
      </c>
      <c r="X34" s="7">
        <v>786</v>
      </c>
      <c r="Y34" s="38">
        <v>56.7</v>
      </c>
      <c r="Z34" s="38">
        <v>55</v>
      </c>
      <c r="AA34" s="38">
        <v>58.8</v>
      </c>
      <c r="AB34" s="20" t="s">
        <v>79</v>
      </c>
    </row>
    <row r="35" spans="2:28" ht="13.5" customHeight="1">
      <c r="B35" s="17" t="s">
        <v>80</v>
      </c>
      <c r="C35" s="18" t="s">
        <v>81</v>
      </c>
      <c r="D35" s="7">
        <v>2388</v>
      </c>
      <c r="E35" s="7">
        <v>1203</v>
      </c>
      <c r="F35" s="7">
        <v>12</v>
      </c>
      <c r="G35" s="7">
        <v>81</v>
      </c>
      <c r="H35" s="7">
        <f>58+64</f>
        <v>122</v>
      </c>
      <c r="I35" s="7">
        <f>92+145</f>
        <v>237</v>
      </c>
      <c r="J35" s="7">
        <v>254</v>
      </c>
      <c r="K35" s="7">
        <v>119</v>
      </c>
      <c r="L35" s="7">
        <v>123</v>
      </c>
      <c r="M35" s="7">
        <v>133</v>
      </c>
      <c r="N35" s="7">
        <v>122</v>
      </c>
      <c r="O35" s="7">
        <v>1185</v>
      </c>
      <c r="P35" s="7">
        <v>4</v>
      </c>
      <c r="Q35" s="7">
        <f>13+25</f>
        <v>38</v>
      </c>
      <c r="R35" s="7">
        <f>42+37</f>
        <v>79</v>
      </c>
      <c r="S35" s="7">
        <f>84+126</f>
        <v>210</v>
      </c>
      <c r="T35" s="7">
        <f>114+119</f>
        <v>233</v>
      </c>
      <c r="U35" s="7">
        <v>126</v>
      </c>
      <c r="V35" s="7">
        <v>140</v>
      </c>
      <c r="W35" s="7">
        <v>153</v>
      </c>
      <c r="X35" s="7">
        <v>202</v>
      </c>
      <c r="Y35" s="38">
        <v>57</v>
      </c>
      <c r="Z35" s="38">
        <v>54.7</v>
      </c>
      <c r="AA35" s="38">
        <v>59.3</v>
      </c>
      <c r="AB35" s="20" t="s">
        <v>81</v>
      </c>
    </row>
    <row r="36" spans="2:28" ht="13.5" customHeight="1">
      <c r="B36" s="17" t="s">
        <v>82</v>
      </c>
      <c r="C36" s="18" t="s">
        <v>83</v>
      </c>
      <c r="D36" s="7">
        <v>2868</v>
      </c>
      <c r="E36" s="7">
        <v>1488</v>
      </c>
      <c r="F36" s="7">
        <v>8</v>
      </c>
      <c r="G36" s="7">
        <v>113</v>
      </c>
      <c r="H36" s="7">
        <f>58+104</f>
        <v>162</v>
      </c>
      <c r="I36" s="7">
        <f>146+181</f>
        <v>327</v>
      </c>
      <c r="J36" s="7">
        <v>297</v>
      </c>
      <c r="K36" s="7">
        <v>146</v>
      </c>
      <c r="L36" s="7">
        <v>138</v>
      </c>
      <c r="M36" s="7">
        <v>162</v>
      </c>
      <c r="N36" s="7">
        <v>135</v>
      </c>
      <c r="O36" s="7">
        <v>1380</v>
      </c>
      <c r="P36" s="7">
        <v>5</v>
      </c>
      <c r="Q36" s="7">
        <f>13+36</f>
        <v>49</v>
      </c>
      <c r="R36" s="7">
        <f>59+73</f>
        <v>132</v>
      </c>
      <c r="S36" s="7">
        <f>131+129</f>
        <v>260</v>
      </c>
      <c r="T36" s="7">
        <f>145+141</f>
        <v>286</v>
      </c>
      <c r="U36" s="7">
        <v>129</v>
      </c>
      <c r="V36" s="7">
        <v>180</v>
      </c>
      <c r="W36" s="7">
        <v>149</v>
      </c>
      <c r="X36" s="7">
        <v>190</v>
      </c>
      <c r="Y36" s="38">
        <v>55.4</v>
      </c>
      <c r="Z36" s="38">
        <v>53.8</v>
      </c>
      <c r="AA36" s="38">
        <v>57.1</v>
      </c>
      <c r="AB36" s="20" t="s">
        <v>83</v>
      </c>
    </row>
    <row r="37" spans="2:28" ht="13.5" customHeight="1">
      <c r="B37" s="17" t="s">
        <v>84</v>
      </c>
      <c r="C37" s="18" t="s">
        <v>85</v>
      </c>
      <c r="D37" s="7">
        <v>2205</v>
      </c>
      <c r="E37" s="7">
        <v>1173</v>
      </c>
      <c r="F37" s="7">
        <v>15</v>
      </c>
      <c r="G37" s="7">
        <v>92</v>
      </c>
      <c r="H37" s="7">
        <f>51+64</f>
        <v>115</v>
      </c>
      <c r="I37" s="7">
        <f>109+147</f>
        <v>256</v>
      </c>
      <c r="J37" s="7">
        <v>230</v>
      </c>
      <c r="K37" s="7">
        <v>104</v>
      </c>
      <c r="L37" s="7">
        <v>146</v>
      </c>
      <c r="M37" s="7">
        <v>111</v>
      </c>
      <c r="N37" s="7">
        <v>104</v>
      </c>
      <c r="O37" s="7">
        <v>1032</v>
      </c>
      <c r="P37" s="7">
        <v>4</v>
      </c>
      <c r="Q37" s="7">
        <f>14+19</f>
        <v>33</v>
      </c>
      <c r="R37" s="7">
        <f>30+53</f>
        <v>83</v>
      </c>
      <c r="S37" s="7">
        <f>80+115</f>
        <v>195</v>
      </c>
      <c r="T37" s="7">
        <f>94+107</f>
        <v>201</v>
      </c>
      <c r="U37" s="7">
        <v>124</v>
      </c>
      <c r="V37" s="7">
        <v>156</v>
      </c>
      <c r="W37" s="7">
        <v>129</v>
      </c>
      <c r="X37" s="7">
        <v>107</v>
      </c>
      <c r="Y37" s="38">
        <v>55.6</v>
      </c>
      <c r="Z37" s="38">
        <v>53.7</v>
      </c>
      <c r="AA37" s="38">
        <v>57.6</v>
      </c>
      <c r="AB37" s="20" t="s">
        <v>85</v>
      </c>
    </row>
    <row r="38" spans="2:28" ht="13.5" customHeight="1">
      <c r="B38" s="17" t="s">
        <v>86</v>
      </c>
      <c r="C38" s="18" t="s">
        <v>87</v>
      </c>
      <c r="D38" s="7">
        <v>5650</v>
      </c>
      <c r="E38" s="7">
        <v>3038</v>
      </c>
      <c r="F38" s="7">
        <v>32</v>
      </c>
      <c r="G38" s="7">
        <v>164</v>
      </c>
      <c r="H38" s="7">
        <f>119+180</f>
        <v>299</v>
      </c>
      <c r="I38" s="7">
        <f>221+293</f>
        <v>514</v>
      </c>
      <c r="J38" s="7">
        <v>598</v>
      </c>
      <c r="K38" s="7">
        <v>311</v>
      </c>
      <c r="L38" s="7">
        <v>330</v>
      </c>
      <c r="M38" s="7">
        <v>381</v>
      </c>
      <c r="N38" s="7">
        <v>409</v>
      </c>
      <c r="O38" s="7">
        <v>2612</v>
      </c>
      <c r="P38" s="7">
        <v>16</v>
      </c>
      <c r="Q38" s="7">
        <f>25+54</f>
        <v>79</v>
      </c>
      <c r="R38" s="7">
        <f>86+107</f>
        <v>193</v>
      </c>
      <c r="S38" s="7">
        <f>170+209</f>
        <v>379</v>
      </c>
      <c r="T38" s="7">
        <f>289+267</f>
        <v>556</v>
      </c>
      <c r="U38" s="7">
        <v>281</v>
      </c>
      <c r="V38" s="7">
        <v>360</v>
      </c>
      <c r="W38" s="7">
        <v>359</v>
      </c>
      <c r="X38" s="7">
        <v>389</v>
      </c>
      <c r="Y38" s="38">
        <v>57.8</v>
      </c>
      <c r="Z38" s="38">
        <v>56.6</v>
      </c>
      <c r="AA38" s="38">
        <v>59.1</v>
      </c>
      <c r="AB38" s="20" t="s">
        <v>87</v>
      </c>
    </row>
    <row r="39" spans="2:28" ht="13.5" customHeight="1">
      <c r="B39" s="17" t="s">
        <v>88</v>
      </c>
      <c r="C39" s="18" t="s">
        <v>89</v>
      </c>
      <c r="D39" s="7">
        <v>1388</v>
      </c>
      <c r="E39" s="7">
        <v>724</v>
      </c>
      <c r="F39" s="7">
        <v>7</v>
      </c>
      <c r="G39" s="7">
        <v>69</v>
      </c>
      <c r="H39" s="7">
        <f>26+57</f>
        <v>83</v>
      </c>
      <c r="I39" s="7">
        <f>64+83</f>
        <v>147</v>
      </c>
      <c r="J39" s="7">
        <v>152</v>
      </c>
      <c r="K39" s="7">
        <v>60</v>
      </c>
      <c r="L39" s="7">
        <v>72</v>
      </c>
      <c r="M39" s="7">
        <v>71</v>
      </c>
      <c r="N39" s="7">
        <v>63</v>
      </c>
      <c r="O39" s="7">
        <v>664</v>
      </c>
      <c r="P39" s="7">
        <v>6</v>
      </c>
      <c r="Q39" s="7">
        <f>8+18</f>
        <v>26</v>
      </c>
      <c r="R39" s="7">
        <f>36+46</f>
        <v>82</v>
      </c>
      <c r="S39" s="7">
        <f>60+76</f>
        <v>136</v>
      </c>
      <c r="T39" s="7">
        <f>79+58</f>
        <v>137</v>
      </c>
      <c r="U39" s="7">
        <v>77</v>
      </c>
      <c r="V39" s="7">
        <v>68</v>
      </c>
      <c r="W39" s="7">
        <v>74</v>
      </c>
      <c r="X39" s="7">
        <v>58</v>
      </c>
      <c r="Y39" s="38">
        <v>53.7</v>
      </c>
      <c r="Z39" s="38">
        <v>52.8</v>
      </c>
      <c r="AA39" s="38">
        <v>54.7</v>
      </c>
      <c r="AB39" s="20" t="s">
        <v>89</v>
      </c>
    </row>
    <row r="40" spans="2:28" ht="13.5" customHeight="1">
      <c r="B40" s="17" t="s">
        <v>90</v>
      </c>
      <c r="C40" s="18" t="s">
        <v>91</v>
      </c>
      <c r="D40" s="7">
        <v>9240</v>
      </c>
      <c r="E40" s="7">
        <v>5004</v>
      </c>
      <c r="F40" s="7">
        <v>101</v>
      </c>
      <c r="G40" s="7">
        <v>365</v>
      </c>
      <c r="H40" s="7">
        <f>163+329</f>
        <v>492</v>
      </c>
      <c r="I40" s="7">
        <f>478+572</f>
        <v>1050</v>
      </c>
      <c r="J40" s="7">
        <v>919</v>
      </c>
      <c r="K40" s="7">
        <v>494</v>
      </c>
      <c r="L40" s="7">
        <v>562</v>
      </c>
      <c r="M40" s="7">
        <v>561</v>
      </c>
      <c r="N40" s="7">
        <v>460</v>
      </c>
      <c r="O40" s="7">
        <v>4236</v>
      </c>
      <c r="P40" s="7">
        <v>36</v>
      </c>
      <c r="Q40" s="7">
        <f>63+87</f>
        <v>150</v>
      </c>
      <c r="R40" s="7">
        <f>122+225</f>
        <v>347</v>
      </c>
      <c r="S40" s="7">
        <f>327+435</f>
        <v>762</v>
      </c>
      <c r="T40" s="7">
        <f>411+399</f>
        <v>810</v>
      </c>
      <c r="U40" s="7">
        <v>484</v>
      </c>
      <c r="V40" s="7">
        <v>619</v>
      </c>
      <c r="W40" s="7">
        <v>559</v>
      </c>
      <c r="X40" s="7">
        <v>469</v>
      </c>
      <c r="Y40" s="38">
        <v>55.6</v>
      </c>
      <c r="Z40" s="38">
        <v>53.9</v>
      </c>
      <c r="AA40" s="38">
        <v>57.9</v>
      </c>
      <c r="AB40" s="20" t="s">
        <v>91</v>
      </c>
    </row>
    <row r="41" spans="2:28" ht="13.5" customHeight="1">
      <c r="B41" s="17" t="s">
        <v>92</v>
      </c>
      <c r="C41" s="18" t="s">
        <v>93</v>
      </c>
      <c r="D41" s="7">
        <v>6000</v>
      </c>
      <c r="E41" s="7">
        <v>3280</v>
      </c>
      <c r="F41" s="7">
        <v>68</v>
      </c>
      <c r="G41" s="7">
        <v>250</v>
      </c>
      <c r="H41" s="7">
        <f>114+199</f>
        <v>313</v>
      </c>
      <c r="I41" s="7">
        <f>275+391</f>
        <v>666</v>
      </c>
      <c r="J41" s="7">
        <v>648</v>
      </c>
      <c r="K41" s="7">
        <v>277</v>
      </c>
      <c r="L41" s="7">
        <v>351</v>
      </c>
      <c r="M41" s="7">
        <v>372</v>
      </c>
      <c r="N41" s="7">
        <v>335</v>
      </c>
      <c r="O41" s="7">
        <v>2720</v>
      </c>
      <c r="P41" s="7">
        <v>24</v>
      </c>
      <c r="Q41" s="7">
        <f>39+53</f>
        <v>92</v>
      </c>
      <c r="R41" s="7">
        <f>71+133</f>
        <v>204</v>
      </c>
      <c r="S41" s="7">
        <f>200+266</f>
        <v>466</v>
      </c>
      <c r="T41" s="7">
        <f>310+250</f>
        <v>560</v>
      </c>
      <c r="U41" s="7">
        <v>305</v>
      </c>
      <c r="V41" s="7">
        <v>386</v>
      </c>
      <c r="W41" s="7">
        <v>361</v>
      </c>
      <c r="X41" s="7">
        <v>322</v>
      </c>
      <c r="Y41" s="38">
        <v>55.8</v>
      </c>
      <c r="Z41" s="38">
        <v>54.1</v>
      </c>
      <c r="AA41" s="38">
        <v>57.9</v>
      </c>
      <c r="AB41" s="20" t="s">
        <v>93</v>
      </c>
    </row>
    <row r="42" spans="2:28" ht="13.5" customHeight="1">
      <c r="B42" s="17" t="s">
        <v>94</v>
      </c>
      <c r="C42" s="18" t="s">
        <v>95</v>
      </c>
      <c r="D42" s="19" t="s">
        <v>33</v>
      </c>
      <c r="E42" s="19" t="s">
        <v>33</v>
      </c>
      <c r="F42" s="19" t="s">
        <v>33</v>
      </c>
      <c r="G42" s="19" t="s">
        <v>33</v>
      </c>
      <c r="H42" s="19" t="s">
        <v>33</v>
      </c>
      <c r="I42" s="19" t="s">
        <v>33</v>
      </c>
      <c r="J42" s="19" t="s">
        <v>33</v>
      </c>
      <c r="K42" s="19" t="s">
        <v>33</v>
      </c>
      <c r="L42" s="19" t="s">
        <v>33</v>
      </c>
      <c r="M42" s="19" t="s">
        <v>33</v>
      </c>
      <c r="N42" s="19" t="s">
        <v>33</v>
      </c>
      <c r="O42" s="19" t="s">
        <v>33</v>
      </c>
      <c r="P42" s="19" t="s">
        <v>33</v>
      </c>
      <c r="Q42" s="19" t="s">
        <v>33</v>
      </c>
      <c r="R42" s="19" t="s">
        <v>33</v>
      </c>
      <c r="S42" s="19" t="s">
        <v>33</v>
      </c>
      <c r="T42" s="19" t="s">
        <v>33</v>
      </c>
      <c r="U42" s="19" t="s">
        <v>33</v>
      </c>
      <c r="V42" s="19" t="s">
        <v>33</v>
      </c>
      <c r="W42" s="19" t="s">
        <v>33</v>
      </c>
      <c r="X42" s="19" t="s">
        <v>33</v>
      </c>
      <c r="Y42" s="19" t="s">
        <v>33</v>
      </c>
      <c r="Z42" s="19" t="s">
        <v>33</v>
      </c>
      <c r="AA42" s="19" t="s">
        <v>33</v>
      </c>
      <c r="AB42" s="20" t="s">
        <v>95</v>
      </c>
    </row>
    <row r="43" spans="2:28" ht="13.5" customHeight="1">
      <c r="B43" s="17" t="s">
        <v>96</v>
      </c>
      <c r="C43" s="18" t="s">
        <v>97</v>
      </c>
      <c r="D43" s="7">
        <v>1704</v>
      </c>
      <c r="E43" s="7">
        <v>901</v>
      </c>
      <c r="F43" s="7">
        <v>6</v>
      </c>
      <c r="G43" s="7">
        <v>44</v>
      </c>
      <c r="H43" s="7">
        <f>34+44</f>
        <v>78</v>
      </c>
      <c r="I43" s="7">
        <f>105+107</f>
        <v>212</v>
      </c>
      <c r="J43" s="7">
        <v>154</v>
      </c>
      <c r="K43" s="7">
        <v>70</v>
      </c>
      <c r="L43" s="7">
        <v>116</v>
      </c>
      <c r="M43" s="7">
        <v>119</v>
      </c>
      <c r="N43" s="7">
        <v>102</v>
      </c>
      <c r="O43" s="7">
        <v>803</v>
      </c>
      <c r="P43" s="7">
        <v>6</v>
      </c>
      <c r="Q43" s="7">
        <v>10</v>
      </c>
      <c r="R43" s="7">
        <f>28+37</f>
        <v>65</v>
      </c>
      <c r="S43" s="7">
        <f>69+91</f>
        <v>160</v>
      </c>
      <c r="T43" s="7">
        <f>63+71</f>
        <v>134</v>
      </c>
      <c r="U43" s="7">
        <v>94</v>
      </c>
      <c r="V43" s="7">
        <v>127</v>
      </c>
      <c r="W43" s="7">
        <v>94</v>
      </c>
      <c r="X43" s="7">
        <v>113</v>
      </c>
      <c r="Y43" s="38">
        <v>57.3</v>
      </c>
      <c r="Z43" s="38">
        <v>56.1</v>
      </c>
      <c r="AA43" s="38">
        <v>58.7</v>
      </c>
      <c r="AB43" s="20" t="s">
        <v>97</v>
      </c>
    </row>
    <row r="44" spans="2:28" ht="13.5" customHeight="1">
      <c r="B44" s="17" t="s">
        <v>98</v>
      </c>
      <c r="C44" s="18" t="s">
        <v>99</v>
      </c>
      <c r="D44" s="7">
        <v>4816</v>
      </c>
      <c r="E44" s="7">
        <v>2616</v>
      </c>
      <c r="F44" s="7">
        <v>36</v>
      </c>
      <c r="G44" s="7">
        <v>177</v>
      </c>
      <c r="H44" s="7">
        <f>106+186</f>
        <v>292</v>
      </c>
      <c r="I44" s="7">
        <f>230+307</f>
        <v>537</v>
      </c>
      <c r="J44" s="7">
        <v>528</v>
      </c>
      <c r="K44" s="7">
        <v>239</v>
      </c>
      <c r="L44" s="7">
        <v>287</v>
      </c>
      <c r="M44" s="7">
        <v>265</v>
      </c>
      <c r="N44" s="7">
        <v>255</v>
      </c>
      <c r="O44" s="7">
        <v>2200</v>
      </c>
      <c r="P44" s="7">
        <v>12</v>
      </c>
      <c r="Q44" s="7">
        <f>31+32</f>
        <v>63</v>
      </c>
      <c r="R44" s="7">
        <f>65+119</f>
        <v>184</v>
      </c>
      <c r="S44" s="7">
        <f>171+244</f>
        <v>415</v>
      </c>
      <c r="T44" s="7">
        <f>209+226</f>
        <v>435</v>
      </c>
      <c r="U44" s="7">
        <v>236</v>
      </c>
      <c r="V44" s="7">
        <v>317</v>
      </c>
      <c r="W44" s="7">
        <v>299</v>
      </c>
      <c r="X44" s="7">
        <v>239</v>
      </c>
      <c r="Y44" s="38">
        <v>55.7</v>
      </c>
      <c r="Z44" s="38">
        <v>54</v>
      </c>
      <c r="AA44" s="38">
        <v>57.7</v>
      </c>
      <c r="AB44" s="20" t="s">
        <v>99</v>
      </c>
    </row>
    <row r="45" spans="2:28" ht="13.5" customHeight="1">
      <c r="B45" s="17" t="s">
        <v>100</v>
      </c>
      <c r="C45" s="18" t="s">
        <v>101</v>
      </c>
      <c r="D45" s="7">
        <v>4692</v>
      </c>
      <c r="E45" s="7">
        <v>2496</v>
      </c>
      <c r="F45" s="7">
        <v>11</v>
      </c>
      <c r="G45" s="7">
        <v>137</v>
      </c>
      <c r="H45" s="7">
        <f>93+156</f>
        <v>249</v>
      </c>
      <c r="I45" s="7">
        <f>243+304</f>
        <v>547</v>
      </c>
      <c r="J45" s="7">
        <v>502</v>
      </c>
      <c r="K45" s="7">
        <v>255</v>
      </c>
      <c r="L45" s="7">
        <v>261</v>
      </c>
      <c r="M45" s="7">
        <v>300</v>
      </c>
      <c r="N45" s="7">
        <v>234</v>
      </c>
      <c r="O45" s="7">
        <v>2196</v>
      </c>
      <c r="P45" s="7">
        <v>2</v>
      </c>
      <c r="Q45" s="7">
        <f>14+32</f>
        <v>46</v>
      </c>
      <c r="R45" s="7">
        <f>67+131</f>
        <v>198</v>
      </c>
      <c r="S45" s="7">
        <f>167+260</f>
        <v>427</v>
      </c>
      <c r="T45" s="7">
        <f>224+217</f>
        <v>441</v>
      </c>
      <c r="U45" s="7">
        <v>253</v>
      </c>
      <c r="V45" s="7">
        <v>289</v>
      </c>
      <c r="W45" s="7">
        <v>308</v>
      </c>
      <c r="X45" s="7">
        <v>232</v>
      </c>
      <c r="Y45" s="38">
        <v>56.4</v>
      </c>
      <c r="Z45" s="38">
        <v>55.1</v>
      </c>
      <c r="AA45" s="38">
        <v>57.8</v>
      </c>
      <c r="AB45" s="20" t="s">
        <v>101</v>
      </c>
    </row>
    <row r="46" spans="2:28" ht="13.5" customHeight="1">
      <c r="B46" s="17" t="s">
        <v>102</v>
      </c>
      <c r="C46" s="18" t="s">
        <v>103</v>
      </c>
      <c r="D46" s="7">
        <v>3483</v>
      </c>
      <c r="E46" s="7">
        <v>1872</v>
      </c>
      <c r="F46" s="7">
        <v>28</v>
      </c>
      <c r="G46" s="7">
        <v>180</v>
      </c>
      <c r="H46" s="7">
        <f>95+118</f>
        <v>213</v>
      </c>
      <c r="I46" s="7">
        <f>173+225</f>
        <v>398</v>
      </c>
      <c r="J46" s="7">
        <v>381</v>
      </c>
      <c r="K46" s="7">
        <v>174</v>
      </c>
      <c r="L46" s="7">
        <v>186</v>
      </c>
      <c r="M46" s="7">
        <v>165</v>
      </c>
      <c r="N46" s="7">
        <v>147</v>
      </c>
      <c r="O46" s="7">
        <v>1611</v>
      </c>
      <c r="P46" s="7">
        <v>11</v>
      </c>
      <c r="Q46" s="7">
        <f>29+50</f>
        <v>79</v>
      </c>
      <c r="R46" s="7">
        <f>61+73</f>
        <v>134</v>
      </c>
      <c r="S46" s="7">
        <f>138+177</f>
        <v>315</v>
      </c>
      <c r="T46" s="7">
        <f>180+141</f>
        <v>321</v>
      </c>
      <c r="U46" s="7">
        <v>173</v>
      </c>
      <c r="V46" s="7">
        <v>201</v>
      </c>
      <c r="W46" s="7">
        <v>201</v>
      </c>
      <c r="X46" s="7">
        <v>176</v>
      </c>
      <c r="Y46" s="38">
        <v>54.1</v>
      </c>
      <c r="Z46" s="38">
        <v>52.1</v>
      </c>
      <c r="AA46" s="38">
        <v>56.4</v>
      </c>
      <c r="AB46" s="20" t="s">
        <v>103</v>
      </c>
    </row>
    <row r="47" spans="2:28" s="13" customFormat="1" ht="13.5" customHeight="1">
      <c r="B47" s="22" t="s">
        <v>104</v>
      </c>
      <c r="C47" s="15"/>
      <c r="Y47" s="37"/>
      <c r="Z47" s="37"/>
      <c r="AA47" s="37"/>
      <c r="AB47" s="16"/>
    </row>
    <row r="48" spans="2:28" ht="13.5" customHeight="1">
      <c r="B48" s="17" t="s">
        <v>105</v>
      </c>
      <c r="C48" s="18" t="s">
        <v>106</v>
      </c>
      <c r="D48" s="7">
        <v>3158</v>
      </c>
      <c r="E48" s="7">
        <v>1720</v>
      </c>
      <c r="F48" s="7">
        <v>25</v>
      </c>
      <c r="G48" s="7">
        <v>167</v>
      </c>
      <c r="H48" s="7">
        <f>80+120</f>
        <v>200</v>
      </c>
      <c r="I48" s="7">
        <f>153+234</f>
        <v>387</v>
      </c>
      <c r="J48" s="7">
        <v>357</v>
      </c>
      <c r="K48" s="7">
        <v>167</v>
      </c>
      <c r="L48" s="7">
        <v>144</v>
      </c>
      <c r="M48" s="7">
        <v>154</v>
      </c>
      <c r="N48" s="7">
        <v>119</v>
      </c>
      <c r="O48" s="7">
        <v>1438</v>
      </c>
      <c r="P48" s="7">
        <v>10</v>
      </c>
      <c r="Q48" s="7">
        <f>22+35</f>
        <v>57</v>
      </c>
      <c r="R48" s="7">
        <f>60+71</f>
        <v>131</v>
      </c>
      <c r="S48" s="7">
        <f>134+196</f>
        <v>330</v>
      </c>
      <c r="T48" s="7">
        <f>171+126</f>
        <v>297</v>
      </c>
      <c r="U48" s="7">
        <v>153</v>
      </c>
      <c r="V48" s="7">
        <v>173</v>
      </c>
      <c r="W48" s="7">
        <v>160</v>
      </c>
      <c r="X48" s="7">
        <v>127</v>
      </c>
      <c r="Y48" s="38">
        <v>53.3</v>
      </c>
      <c r="Z48" s="38">
        <v>51.6</v>
      </c>
      <c r="AA48" s="38">
        <v>55.4</v>
      </c>
      <c r="AB48" s="20" t="s">
        <v>106</v>
      </c>
    </row>
    <row r="49" spans="2:28" ht="13.5" customHeight="1">
      <c r="B49" s="17" t="s">
        <v>107</v>
      </c>
      <c r="C49" s="18" t="s">
        <v>108</v>
      </c>
      <c r="D49" s="7">
        <v>2382</v>
      </c>
      <c r="E49" s="7">
        <v>1256</v>
      </c>
      <c r="F49" s="7">
        <v>11</v>
      </c>
      <c r="G49" s="7">
        <v>89</v>
      </c>
      <c r="H49" s="7">
        <f>53+89</f>
        <v>142</v>
      </c>
      <c r="I49" s="7">
        <f>115+166</f>
        <v>281</v>
      </c>
      <c r="J49" s="7">
        <v>241</v>
      </c>
      <c r="K49" s="7">
        <v>114</v>
      </c>
      <c r="L49" s="7">
        <v>156</v>
      </c>
      <c r="M49" s="7">
        <v>118</v>
      </c>
      <c r="N49" s="7">
        <v>104</v>
      </c>
      <c r="O49" s="7">
        <v>1126</v>
      </c>
      <c r="P49" s="7">
        <v>3</v>
      </c>
      <c r="Q49" s="7">
        <f>18+19</f>
        <v>37</v>
      </c>
      <c r="R49" s="7">
        <f>37+66</f>
        <v>103</v>
      </c>
      <c r="S49" s="7">
        <f>105+146</f>
        <v>251</v>
      </c>
      <c r="T49" s="7">
        <f>115+84</f>
        <v>199</v>
      </c>
      <c r="U49" s="7">
        <v>134</v>
      </c>
      <c r="V49" s="7">
        <v>142</v>
      </c>
      <c r="W49" s="7">
        <v>139</v>
      </c>
      <c r="X49" s="7">
        <v>118</v>
      </c>
      <c r="Y49" s="38">
        <v>55</v>
      </c>
      <c r="Z49" s="38">
        <v>53.5</v>
      </c>
      <c r="AA49" s="38">
        <v>56.6</v>
      </c>
      <c r="AB49" s="20" t="s">
        <v>108</v>
      </c>
    </row>
    <row r="50" spans="2:28" s="13" customFormat="1" ht="13.5" customHeight="1">
      <c r="B50" s="22" t="s">
        <v>109</v>
      </c>
      <c r="C50" s="15"/>
      <c r="Y50" s="37"/>
      <c r="Z50" s="37"/>
      <c r="AA50" s="37"/>
      <c r="AB50" s="16"/>
    </row>
    <row r="51" spans="2:28" ht="13.5" customHeight="1">
      <c r="B51" s="17" t="s">
        <v>110</v>
      </c>
      <c r="C51" s="18" t="s">
        <v>111</v>
      </c>
      <c r="D51" s="7">
        <v>939</v>
      </c>
      <c r="E51" s="7">
        <v>508</v>
      </c>
      <c r="F51" s="7">
        <v>11</v>
      </c>
      <c r="G51" s="7">
        <v>38</v>
      </c>
      <c r="H51" s="7">
        <f>18+21</f>
        <v>39</v>
      </c>
      <c r="I51" s="7">
        <f>46+60</f>
        <v>106</v>
      </c>
      <c r="J51" s="7">
        <v>116</v>
      </c>
      <c r="K51" s="7">
        <v>43</v>
      </c>
      <c r="L51" s="7">
        <v>51</v>
      </c>
      <c r="M51" s="7">
        <v>56</v>
      </c>
      <c r="N51" s="7">
        <v>48</v>
      </c>
      <c r="O51" s="7">
        <v>431</v>
      </c>
      <c r="P51" s="7">
        <v>6</v>
      </c>
      <c r="Q51" s="7">
        <f>4+7</f>
        <v>11</v>
      </c>
      <c r="R51" s="7">
        <f>9+17</f>
        <v>26</v>
      </c>
      <c r="S51" s="7">
        <f>37+52</f>
        <v>89</v>
      </c>
      <c r="T51" s="7">
        <f>53+34</f>
        <v>87</v>
      </c>
      <c r="U51" s="7">
        <v>43</v>
      </c>
      <c r="V51" s="7">
        <v>51</v>
      </c>
      <c r="W51" s="7">
        <v>55</v>
      </c>
      <c r="X51" s="7">
        <v>63</v>
      </c>
      <c r="Y51" s="38">
        <v>55.8</v>
      </c>
      <c r="Z51" s="38">
        <v>54</v>
      </c>
      <c r="AA51" s="38">
        <v>58</v>
      </c>
      <c r="AB51" s="20" t="s">
        <v>111</v>
      </c>
    </row>
    <row r="52" spans="2:28" ht="13.5" customHeight="1">
      <c r="B52" s="17" t="s">
        <v>112</v>
      </c>
      <c r="C52" s="18" t="s">
        <v>113</v>
      </c>
      <c r="D52" s="7">
        <v>3429</v>
      </c>
      <c r="E52" s="7">
        <v>1783</v>
      </c>
      <c r="F52" s="7">
        <v>12</v>
      </c>
      <c r="G52" s="7">
        <v>125</v>
      </c>
      <c r="H52" s="7">
        <v>202</v>
      </c>
      <c r="I52" s="7">
        <f>166+229</f>
        <v>395</v>
      </c>
      <c r="J52" s="7">
        <v>327</v>
      </c>
      <c r="K52" s="7">
        <v>170</v>
      </c>
      <c r="L52" s="7">
        <v>208</v>
      </c>
      <c r="M52" s="7">
        <v>190</v>
      </c>
      <c r="N52" s="7">
        <v>154</v>
      </c>
      <c r="O52" s="7">
        <v>1646</v>
      </c>
      <c r="P52" s="7">
        <v>15</v>
      </c>
      <c r="Q52" s="7">
        <f>30+34</f>
        <v>64</v>
      </c>
      <c r="R52" s="7">
        <f>72+81</f>
        <v>153</v>
      </c>
      <c r="S52" s="7">
        <f>147+177</f>
        <v>324</v>
      </c>
      <c r="T52" s="7">
        <f>149+149</f>
        <v>298</v>
      </c>
      <c r="U52" s="7">
        <v>153</v>
      </c>
      <c r="V52" s="7">
        <v>239</v>
      </c>
      <c r="W52" s="7">
        <v>200</v>
      </c>
      <c r="X52" s="7">
        <v>200</v>
      </c>
      <c r="Y52" s="38">
        <v>55.3</v>
      </c>
      <c r="Z52" s="38">
        <v>53.9</v>
      </c>
      <c r="AA52" s="38">
        <v>56.8</v>
      </c>
      <c r="AB52" s="20" t="s">
        <v>113</v>
      </c>
    </row>
    <row r="53" spans="2:28" ht="13.5" customHeight="1">
      <c r="B53" s="17" t="s">
        <v>114</v>
      </c>
      <c r="C53" s="18" t="s">
        <v>115</v>
      </c>
      <c r="D53" s="7">
        <v>2212</v>
      </c>
      <c r="E53" s="7">
        <v>1208</v>
      </c>
      <c r="F53" s="7">
        <v>14</v>
      </c>
      <c r="G53" s="7">
        <v>106</v>
      </c>
      <c r="H53" s="7">
        <f>55+96</f>
        <v>151</v>
      </c>
      <c r="I53" s="7">
        <f>119+152</f>
        <v>271</v>
      </c>
      <c r="J53" s="7">
        <v>230</v>
      </c>
      <c r="K53" s="7">
        <v>101</v>
      </c>
      <c r="L53" s="7">
        <v>144</v>
      </c>
      <c r="M53" s="7">
        <v>112</v>
      </c>
      <c r="N53" s="7">
        <v>79</v>
      </c>
      <c r="O53" s="7">
        <v>1004</v>
      </c>
      <c r="P53" s="7">
        <v>7</v>
      </c>
      <c r="Q53" s="7">
        <f>12+18</f>
        <v>30</v>
      </c>
      <c r="R53" s="7">
        <f>30+62</f>
        <v>92</v>
      </c>
      <c r="S53" s="7">
        <f>91+123</f>
        <v>214</v>
      </c>
      <c r="T53" s="7">
        <f>121+76</f>
        <v>197</v>
      </c>
      <c r="U53" s="7">
        <v>128</v>
      </c>
      <c r="V53" s="7">
        <v>126</v>
      </c>
      <c r="W53" s="7">
        <v>109</v>
      </c>
      <c r="X53" s="7">
        <v>101</v>
      </c>
      <c r="Y53" s="38">
        <v>54.1</v>
      </c>
      <c r="Z53" s="38">
        <v>52.2</v>
      </c>
      <c r="AA53" s="38">
        <v>56.3</v>
      </c>
      <c r="AB53" s="20" t="s">
        <v>115</v>
      </c>
    </row>
    <row r="54" spans="2:28" ht="13.5" customHeight="1">
      <c r="B54" s="17" t="s">
        <v>116</v>
      </c>
      <c r="C54" s="18" t="s">
        <v>117</v>
      </c>
      <c r="D54" s="7">
        <v>2189</v>
      </c>
      <c r="E54" s="7">
        <v>1150</v>
      </c>
      <c r="F54" s="7">
        <v>17</v>
      </c>
      <c r="G54" s="7">
        <v>74</v>
      </c>
      <c r="H54" s="7">
        <f>58+78</f>
        <v>136</v>
      </c>
      <c r="I54" s="7">
        <f>101+153</f>
        <v>254</v>
      </c>
      <c r="J54" s="7">
        <v>238</v>
      </c>
      <c r="K54" s="7">
        <v>116</v>
      </c>
      <c r="L54" s="7">
        <v>109</v>
      </c>
      <c r="M54" s="7">
        <v>111</v>
      </c>
      <c r="N54" s="7">
        <v>95</v>
      </c>
      <c r="O54" s="7">
        <v>1039</v>
      </c>
      <c r="P54" s="7">
        <v>5</v>
      </c>
      <c r="Q54" s="7">
        <f>12+31</f>
        <v>43</v>
      </c>
      <c r="R54" s="7">
        <f>53+63</f>
        <v>116</v>
      </c>
      <c r="S54" s="7">
        <f>102+120</f>
        <v>222</v>
      </c>
      <c r="T54" s="7">
        <f>105+107</f>
        <v>212</v>
      </c>
      <c r="U54" s="7">
        <v>113</v>
      </c>
      <c r="V54" s="7">
        <v>126</v>
      </c>
      <c r="W54" s="7">
        <v>108</v>
      </c>
      <c r="X54" s="7">
        <v>94</v>
      </c>
      <c r="Y54" s="38">
        <v>54.1</v>
      </c>
      <c r="Z54" s="38">
        <v>53.1</v>
      </c>
      <c r="AA54" s="38">
        <v>55.1</v>
      </c>
      <c r="AB54" s="20" t="s">
        <v>117</v>
      </c>
    </row>
    <row r="55" spans="2:28" ht="13.5" customHeight="1">
      <c r="B55" s="17" t="s">
        <v>118</v>
      </c>
      <c r="C55" s="18" t="s">
        <v>119</v>
      </c>
      <c r="D55" s="7">
        <v>1433</v>
      </c>
      <c r="E55" s="7">
        <v>795</v>
      </c>
      <c r="F55" s="7">
        <v>10</v>
      </c>
      <c r="G55" s="7">
        <v>73</v>
      </c>
      <c r="H55" s="7">
        <f>45+54</f>
        <v>99</v>
      </c>
      <c r="I55" s="7">
        <f>66+99</f>
        <v>165</v>
      </c>
      <c r="J55" s="7">
        <v>176</v>
      </c>
      <c r="K55" s="7">
        <v>72</v>
      </c>
      <c r="L55" s="7">
        <v>83</v>
      </c>
      <c r="M55" s="7">
        <v>71</v>
      </c>
      <c r="N55" s="7">
        <v>46</v>
      </c>
      <c r="O55" s="7">
        <v>638</v>
      </c>
      <c r="P55" s="7">
        <v>4</v>
      </c>
      <c r="Q55" s="7">
        <v>30</v>
      </c>
      <c r="R55" s="7">
        <f>24+40</f>
        <v>64</v>
      </c>
      <c r="S55" s="7">
        <f>60+68</f>
        <v>128</v>
      </c>
      <c r="T55" s="7">
        <f>66+70</f>
        <v>136</v>
      </c>
      <c r="U55" s="7">
        <v>64</v>
      </c>
      <c r="V55" s="7">
        <v>86</v>
      </c>
      <c r="W55" s="7">
        <v>58</v>
      </c>
      <c r="X55" s="7">
        <v>68</v>
      </c>
      <c r="Y55" s="38">
        <v>53.5</v>
      </c>
      <c r="Z55" s="38">
        <v>51.8</v>
      </c>
      <c r="AA55" s="38">
        <v>55.5</v>
      </c>
      <c r="AB55" s="20" t="s">
        <v>119</v>
      </c>
    </row>
    <row r="56" spans="1:28" ht="13.5" customHeight="1">
      <c r="A56" s="23"/>
      <c r="B56" s="24" t="s">
        <v>120</v>
      </c>
      <c r="C56" s="25" t="s">
        <v>121</v>
      </c>
      <c r="D56" s="23">
        <v>1980</v>
      </c>
      <c r="E56" s="23">
        <v>1067</v>
      </c>
      <c r="F56" s="23">
        <v>21</v>
      </c>
      <c r="G56" s="23">
        <v>82</v>
      </c>
      <c r="H56" s="23">
        <f>57+84</f>
        <v>141</v>
      </c>
      <c r="I56" s="23">
        <f>96+132</f>
        <v>228</v>
      </c>
      <c r="J56" s="23">
        <v>195</v>
      </c>
      <c r="K56" s="23">
        <v>111</v>
      </c>
      <c r="L56" s="23">
        <v>107</v>
      </c>
      <c r="M56" s="23">
        <v>114</v>
      </c>
      <c r="N56" s="23">
        <v>68</v>
      </c>
      <c r="O56" s="23">
        <v>913</v>
      </c>
      <c r="P56" s="23">
        <v>15</v>
      </c>
      <c r="Q56" s="23">
        <f>14+26</f>
        <v>40</v>
      </c>
      <c r="R56" s="23">
        <f>42+69</f>
        <v>111</v>
      </c>
      <c r="S56" s="23">
        <f>73+98</f>
        <v>171</v>
      </c>
      <c r="T56" s="23">
        <f>98+78</f>
        <v>176</v>
      </c>
      <c r="U56" s="23">
        <v>129</v>
      </c>
      <c r="V56" s="23">
        <v>107</v>
      </c>
      <c r="W56" s="23">
        <v>94</v>
      </c>
      <c r="X56" s="23">
        <v>70</v>
      </c>
      <c r="Y56" s="39">
        <v>53.3</v>
      </c>
      <c r="Z56" s="39">
        <v>52.3</v>
      </c>
      <c r="AA56" s="39">
        <v>54.6</v>
      </c>
      <c r="AB56" s="26" t="s">
        <v>121</v>
      </c>
    </row>
    <row r="57" spans="2:28" s="13" customFormat="1" ht="13.5" customHeight="1">
      <c r="B57" s="22" t="s">
        <v>122</v>
      </c>
      <c r="C57" s="15"/>
      <c r="Y57" s="37"/>
      <c r="Z57" s="37"/>
      <c r="AA57" s="37"/>
      <c r="AB57" s="16"/>
    </row>
    <row r="58" spans="2:28" ht="13.5" customHeight="1">
      <c r="B58" s="17" t="s">
        <v>123</v>
      </c>
      <c r="C58" s="18" t="s">
        <v>124</v>
      </c>
      <c r="D58" s="7">
        <v>1521</v>
      </c>
      <c r="E58" s="7">
        <v>835</v>
      </c>
      <c r="F58" s="7">
        <v>10</v>
      </c>
      <c r="G58" s="7">
        <v>47</v>
      </c>
      <c r="H58" s="7">
        <f>29+57</f>
        <v>86</v>
      </c>
      <c r="I58" s="7">
        <f>86+99</f>
        <v>185</v>
      </c>
      <c r="J58" s="7">
        <v>162</v>
      </c>
      <c r="K58" s="7">
        <v>90</v>
      </c>
      <c r="L58" s="7">
        <v>93</v>
      </c>
      <c r="M58" s="7">
        <v>86</v>
      </c>
      <c r="N58" s="7">
        <v>76</v>
      </c>
      <c r="O58" s="7">
        <v>686</v>
      </c>
      <c r="P58" s="7">
        <v>1</v>
      </c>
      <c r="Q58" s="7">
        <f>8+7</f>
        <v>15</v>
      </c>
      <c r="R58" s="7">
        <f>22+42</f>
        <v>64</v>
      </c>
      <c r="S58" s="7">
        <f>42+77</f>
        <v>119</v>
      </c>
      <c r="T58" s="7">
        <f>68+73</f>
        <v>141</v>
      </c>
      <c r="U58" s="7">
        <v>91</v>
      </c>
      <c r="V58" s="7">
        <v>88</v>
      </c>
      <c r="W58" s="7">
        <v>111</v>
      </c>
      <c r="X58" s="7">
        <v>56</v>
      </c>
      <c r="Y58" s="38">
        <v>55.9</v>
      </c>
      <c r="Z58" s="38">
        <v>54.3</v>
      </c>
      <c r="AA58" s="38">
        <v>57.8</v>
      </c>
      <c r="AB58" s="20" t="s">
        <v>124</v>
      </c>
    </row>
    <row r="59" spans="2:28" ht="13.5" customHeight="1">
      <c r="B59" s="17" t="s">
        <v>125</v>
      </c>
      <c r="C59" s="18" t="s">
        <v>126</v>
      </c>
      <c r="D59" s="7">
        <v>1195</v>
      </c>
      <c r="E59" s="7">
        <v>664</v>
      </c>
      <c r="F59" s="7">
        <v>8</v>
      </c>
      <c r="G59" s="7">
        <v>61</v>
      </c>
      <c r="H59" s="7">
        <f>42+38</f>
        <v>80</v>
      </c>
      <c r="I59" s="7">
        <f>62+89</f>
        <v>151</v>
      </c>
      <c r="J59" s="7">
        <v>109</v>
      </c>
      <c r="K59" s="7">
        <v>65</v>
      </c>
      <c r="L59" s="7">
        <v>72</v>
      </c>
      <c r="M59" s="7">
        <v>66</v>
      </c>
      <c r="N59" s="7">
        <v>52</v>
      </c>
      <c r="O59" s="7">
        <v>531</v>
      </c>
      <c r="P59" s="7">
        <v>1</v>
      </c>
      <c r="Q59" s="7">
        <f>8+13</f>
        <v>21</v>
      </c>
      <c r="R59" s="7">
        <f>19+39</f>
        <v>58</v>
      </c>
      <c r="S59" s="7">
        <f>41+54</f>
        <v>95</v>
      </c>
      <c r="T59" s="7">
        <f>54+50</f>
        <v>104</v>
      </c>
      <c r="U59" s="7">
        <v>65</v>
      </c>
      <c r="V59" s="7">
        <v>77</v>
      </c>
      <c r="W59" s="7">
        <v>72</v>
      </c>
      <c r="X59" s="7">
        <v>38</v>
      </c>
      <c r="Y59" s="38">
        <v>54.1</v>
      </c>
      <c r="Z59" s="38">
        <v>52.4</v>
      </c>
      <c r="AA59" s="38">
        <v>56.2</v>
      </c>
      <c r="AB59" s="20" t="s">
        <v>126</v>
      </c>
    </row>
    <row r="60" spans="2:28" ht="13.5" customHeight="1">
      <c r="B60" s="17" t="s">
        <v>127</v>
      </c>
      <c r="C60" s="18" t="s">
        <v>128</v>
      </c>
      <c r="D60" s="7">
        <v>3033</v>
      </c>
      <c r="E60" s="7">
        <v>1661</v>
      </c>
      <c r="F60" s="7">
        <v>15</v>
      </c>
      <c r="G60" s="7">
        <v>109</v>
      </c>
      <c r="H60" s="7">
        <f>77+112</f>
        <v>189</v>
      </c>
      <c r="I60" s="7">
        <f>154+216</f>
        <v>370</v>
      </c>
      <c r="J60" s="7">
        <v>335</v>
      </c>
      <c r="K60" s="7">
        <v>172</v>
      </c>
      <c r="L60" s="7">
        <v>173</v>
      </c>
      <c r="M60" s="7">
        <v>168</v>
      </c>
      <c r="N60" s="7">
        <v>130</v>
      </c>
      <c r="O60" s="7">
        <v>1372</v>
      </c>
      <c r="P60" s="19" t="s">
        <v>33</v>
      </c>
      <c r="Q60" s="7">
        <f>15+26</f>
        <v>41</v>
      </c>
      <c r="R60" s="7">
        <f>40+81</f>
        <v>121</v>
      </c>
      <c r="S60" s="7">
        <f>118+175</f>
        <v>293</v>
      </c>
      <c r="T60" s="7">
        <f>142+135</f>
        <v>277</v>
      </c>
      <c r="U60" s="7">
        <v>154</v>
      </c>
      <c r="V60" s="7">
        <v>180</v>
      </c>
      <c r="W60" s="7">
        <v>177</v>
      </c>
      <c r="X60" s="7">
        <v>129</v>
      </c>
      <c r="Y60" s="38">
        <v>55</v>
      </c>
      <c r="Z60" s="38">
        <v>53.4</v>
      </c>
      <c r="AA60" s="38">
        <v>56.9</v>
      </c>
      <c r="AB60" s="20" t="s">
        <v>128</v>
      </c>
    </row>
    <row r="61" spans="2:28" ht="13.5" customHeight="1">
      <c r="B61" s="17" t="s">
        <v>129</v>
      </c>
      <c r="C61" s="18" t="s">
        <v>130</v>
      </c>
      <c r="D61" s="7">
        <v>4190</v>
      </c>
      <c r="E61" s="7">
        <v>2240</v>
      </c>
      <c r="F61" s="7">
        <v>31</v>
      </c>
      <c r="G61" s="7">
        <v>177</v>
      </c>
      <c r="H61" s="7">
        <f>107+166</f>
        <v>273</v>
      </c>
      <c r="I61" s="7">
        <f>208+284</f>
        <v>492</v>
      </c>
      <c r="J61" s="7">
        <v>463</v>
      </c>
      <c r="K61" s="7">
        <v>240</v>
      </c>
      <c r="L61" s="7">
        <v>234</v>
      </c>
      <c r="M61" s="7">
        <v>210</v>
      </c>
      <c r="N61" s="7">
        <v>120</v>
      </c>
      <c r="O61" s="7">
        <v>1950</v>
      </c>
      <c r="P61" s="7">
        <v>14</v>
      </c>
      <c r="Q61" s="7">
        <v>95</v>
      </c>
      <c r="R61" s="7">
        <f>93+115</f>
        <v>208</v>
      </c>
      <c r="S61" s="7">
        <f>171+212</f>
        <v>383</v>
      </c>
      <c r="T61" s="7">
        <f>247+184</f>
        <v>431</v>
      </c>
      <c r="U61" s="7">
        <v>244</v>
      </c>
      <c r="V61" s="7">
        <v>245</v>
      </c>
      <c r="W61" s="7">
        <v>204</v>
      </c>
      <c r="X61" s="7">
        <v>126</v>
      </c>
      <c r="Y61" s="38">
        <v>53.2</v>
      </c>
      <c r="Z61" s="38">
        <v>52.1</v>
      </c>
      <c r="AA61" s="38">
        <v>54.5</v>
      </c>
      <c r="AB61" s="20" t="s">
        <v>130</v>
      </c>
    </row>
    <row r="62" spans="2:28" ht="13.5" customHeight="1">
      <c r="B62" s="17" t="s">
        <v>131</v>
      </c>
      <c r="C62" s="18" t="s">
        <v>132</v>
      </c>
      <c r="D62" s="7">
        <v>3535</v>
      </c>
      <c r="E62" s="7">
        <v>1878</v>
      </c>
      <c r="F62" s="7">
        <v>20</v>
      </c>
      <c r="G62" s="7">
        <v>137</v>
      </c>
      <c r="H62" s="7">
        <f>95+145</f>
        <v>240</v>
      </c>
      <c r="I62" s="7">
        <f>179+234</f>
        <v>413</v>
      </c>
      <c r="J62" s="7">
        <v>402</v>
      </c>
      <c r="K62" s="7">
        <v>169</v>
      </c>
      <c r="L62" s="7">
        <v>203</v>
      </c>
      <c r="M62" s="7">
        <v>181</v>
      </c>
      <c r="N62" s="7">
        <v>113</v>
      </c>
      <c r="O62" s="7">
        <v>1657</v>
      </c>
      <c r="P62" s="7">
        <v>10</v>
      </c>
      <c r="Q62" s="7">
        <f>18+54</f>
        <v>72</v>
      </c>
      <c r="R62" s="7">
        <f>70+116</f>
        <v>186</v>
      </c>
      <c r="S62" s="7">
        <f>150+209</f>
        <v>359</v>
      </c>
      <c r="T62" s="7">
        <f>174+142</f>
        <v>316</v>
      </c>
      <c r="U62" s="7">
        <v>178</v>
      </c>
      <c r="V62" s="7">
        <v>215</v>
      </c>
      <c r="W62" s="7">
        <v>180</v>
      </c>
      <c r="X62" s="7">
        <v>141</v>
      </c>
      <c r="Y62" s="38">
        <v>53.6</v>
      </c>
      <c r="Z62" s="38">
        <v>52.3</v>
      </c>
      <c r="AA62" s="38">
        <v>55.1</v>
      </c>
      <c r="AB62" s="20" t="s">
        <v>132</v>
      </c>
    </row>
    <row r="63" spans="2:28" ht="13.5" customHeight="1">
      <c r="B63" s="17" t="s">
        <v>133</v>
      </c>
      <c r="C63" s="18" t="s">
        <v>134</v>
      </c>
      <c r="D63" s="7">
        <v>1551</v>
      </c>
      <c r="E63" s="7">
        <v>842</v>
      </c>
      <c r="F63" s="7">
        <v>5</v>
      </c>
      <c r="G63" s="7">
        <v>38</v>
      </c>
      <c r="H63" s="7">
        <f>37+78</f>
        <v>115</v>
      </c>
      <c r="I63" s="7">
        <f>90+90</f>
        <v>180</v>
      </c>
      <c r="J63" s="7">
        <v>146</v>
      </c>
      <c r="K63" s="7">
        <v>85</v>
      </c>
      <c r="L63" s="7">
        <v>110</v>
      </c>
      <c r="M63" s="7">
        <v>92</v>
      </c>
      <c r="N63" s="7">
        <v>71</v>
      </c>
      <c r="O63" s="7">
        <v>709</v>
      </c>
      <c r="P63" s="7">
        <v>4</v>
      </c>
      <c r="Q63" s="7">
        <f>3+12</f>
        <v>15</v>
      </c>
      <c r="R63" s="7">
        <f>26+57</f>
        <v>83</v>
      </c>
      <c r="S63" s="7">
        <f>58+65</f>
        <v>123</v>
      </c>
      <c r="T63" s="7">
        <f>64+74</f>
        <v>138</v>
      </c>
      <c r="U63" s="7">
        <v>100</v>
      </c>
      <c r="V63" s="7">
        <v>102</v>
      </c>
      <c r="W63" s="7">
        <v>87</v>
      </c>
      <c r="X63" s="7">
        <v>57</v>
      </c>
      <c r="Y63" s="38">
        <v>55.5</v>
      </c>
      <c r="Z63" s="38">
        <v>54.5</v>
      </c>
      <c r="AA63" s="38">
        <v>56.7</v>
      </c>
      <c r="AB63" s="20" t="s">
        <v>134</v>
      </c>
    </row>
    <row r="64" spans="2:28" ht="13.5" customHeight="1">
      <c r="B64" s="17" t="s">
        <v>135</v>
      </c>
      <c r="C64" s="18" t="s">
        <v>136</v>
      </c>
      <c r="D64" s="7">
        <v>4821</v>
      </c>
      <c r="E64" s="7">
        <v>2622</v>
      </c>
      <c r="F64" s="7">
        <v>28</v>
      </c>
      <c r="G64" s="7">
        <v>152</v>
      </c>
      <c r="H64" s="7">
        <f>125+165</f>
        <v>290</v>
      </c>
      <c r="I64" s="7">
        <f>268+305</f>
        <v>573</v>
      </c>
      <c r="J64" s="7">
        <v>470</v>
      </c>
      <c r="K64" s="7">
        <v>277</v>
      </c>
      <c r="L64" s="7">
        <v>317</v>
      </c>
      <c r="M64" s="7">
        <v>291</v>
      </c>
      <c r="N64" s="7">
        <v>224</v>
      </c>
      <c r="O64" s="7">
        <v>2199</v>
      </c>
      <c r="P64" s="7">
        <v>11</v>
      </c>
      <c r="Q64" s="7">
        <f>29+46</f>
        <v>75</v>
      </c>
      <c r="R64" s="7">
        <f>72+113</f>
        <v>185</v>
      </c>
      <c r="S64" s="7">
        <f>183+218</f>
        <v>401</v>
      </c>
      <c r="T64" s="7">
        <f>225+239</f>
        <v>464</v>
      </c>
      <c r="U64" s="7">
        <v>278</v>
      </c>
      <c r="V64" s="7">
        <v>318</v>
      </c>
      <c r="W64" s="7">
        <v>281</v>
      </c>
      <c r="X64" s="7">
        <v>186</v>
      </c>
      <c r="Y64" s="38">
        <v>55.5</v>
      </c>
      <c r="Z64" s="38">
        <v>54.3</v>
      </c>
      <c r="AA64" s="38">
        <v>57</v>
      </c>
      <c r="AB64" s="20" t="s">
        <v>136</v>
      </c>
    </row>
    <row r="65" spans="2:28" ht="13.5" customHeight="1">
      <c r="B65" s="17" t="s">
        <v>137</v>
      </c>
      <c r="C65" s="18" t="s">
        <v>138</v>
      </c>
      <c r="D65" s="7">
        <v>2917</v>
      </c>
      <c r="E65" s="7">
        <v>1514</v>
      </c>
      <c r="F65" s="7">
        <v>22</v>
      </c>
      <c r="G65" s="7">
        <v>108</v>
      </c>
      <c r="H65" s="7">
        <f>72+119</f>
        <v>191</v>
      </c>
      <c r="I65" s="7">
        <f>142+185</f>
        <v>327</v>
      </c>
      <c r="J65" s="7">
        <v>317</v>
      </c>
      <c r="K65" s="7">
        <v>160</v>
      </c>
      <c r="L65" s="7">
        <v>153</v>
      </c>
      <c r="M65" s="7">
        <v>137</v>
      </c>
      <c r="N65" s="7">
        <v>99</v>
      </c>
      <c r="O65" s="7">
        <v>1403</v>
      </c>
      <c r="P65" s="7">
        <v>13</v>
      </c>
      <c r="Q65" s="7">
        <f>26+37</f>
        <v>63</v>
      </c>
      <c r="R65" s="7">
        <f>42+92</f>
        <v>134</v>
      </c>
      <c r="S65" s="7">
        <f>133+147</f>
        <v>280</v>
      </c>
      <c r="T65" s="7">
        <f>164+127</f>
        <v>291</v>
      </c>
      <c r="U65" s="7">
        <v>149</v>
      </c>
      <c r="V65" s="7">
        <v>185</v>
      </c>
      <c r="W65" s="7">
        <v>157</v>
      </c>
      <c r="X65" s="7">
        <v>131</v>
      </c>
      <c r="Y65" s="38">
        <v>54</v>
      </c>
      <c r="Z65" s="38">
        <v>52.4</v>
      </c>
      <c r="AA65" s="38">
        <v>55.7</v>
      </c>
      <c r="AB65" s="20" t="s">
        <v>138</v>
      </c>
    </row>
    <row r="66" spans="2:28" ht="13.5" customHeight="1">
      <c r="B66" s="17" t="s">
        <v>139</v>
      </c>
      <c r="C66" s="18" t="s">
        <v>140</v>
      </c>
      <c r="D66" s="7">
        <v>3247</v>
      </c>
      <c r="E66" s="7">
        <v>1758</v>
      </c>
      <c r="F66" s="7">
        <v>21</v>
      </c>
      <c r="G66" s="7">
        <v>121</v>
      </c>
      <c r="H66" s="7">
        <f>82+127</f>
        <v>209</v>
      </c>
      <c r="I66" s="7">
        <f>184+208</f>
        <v>392</v>
      </c>
      <c r="J66" s="7">
        <v>357</v>
      </c>
      <c r="K66" s="7">
        <v>174</v>
      </c>
      <c r="L66" s="7">
        <v>207</v>
      </c>
      <c r="M66" s="7">
        <v>190</v>
      </c>
      <c r="N66" s="7">
        <v>87</v>
      </c>
      <c r="O66" s="7">
        <v>1489</v>
      </c>
      <c r="P66" s="7">
        <v>17</v>
      </c>
      <c r="Q66" s="7">
        <f>18+23</f>
        <v>41</v>
      </c>
      <c r="R66" s="7">
        <f>45+92</f>
        <v>137</v>
      </c>
      <c r="S66" s="7">
        <f>143+187</f>
        <v>330</v>
      </c>
      <c r="T66" s="7">
        <f>146+134</f>
        <v>280</v>
      </c>
      <c r="U66" s="7">
        <v>194</v>
      </c>
      <c r="V66" s="7">
        <v>223</v>
      </c>
      <c r="W66" s="7">
        <v>169</v>
      </c>
      <c r="X66" s="7">
        <v>98</v>
      </c>
      <c r="Y66" s="38">
        <v>54</v>
      </c>
      <c r="Z66" s="38">
        <v>52.7</v>
      </c>
      <c r="AA66" s="38">
        <v>55.7</v>
      </c>
      <c r="AB66" s="20" t="s">
        <v>140</v>
      </c>
    </row>
    <row r="67" spans="2:28" s="13" customFormat="1" ht="13.5" customHeight="1">
      <c r="B67" s="22" t="s">
        <v>141</v>
      </c>
      <c r="C67" s="15"/>
      <c r="Y67" s="37"/>
      <c r="Z67" s="37"/>
      <c r="AA67" s="37"/>
      <c r="AB67" s="16"/>
    </row>
    <row r="68" spans="2:28" ht="13.5" customHeight="1">
      <c r="B68" s="17" t="s">
        <v>142</v>
      </c>
      <c r="C68" s="18" t="s">
        <v>143</v>
      </c>
      <c r="D68" s="7">
        <v>1740</v>
      </c>
      <c r="E68" s="7">
        <v>913</v>
      </c>
      <c r="F68" s="7">
        <v>10</v>
      </c>
      <c r="G68" s="7">
        <v>88</v>
      </c>
      <c r="H68" s="7">
        <f>53+65</f>
        <v>118</v>
      </c>
      <c r="I68" s="7">
        <f>93+104</f>
        <v>197</v>
      </c>
      <c r="J68" s="7">
        <v>198</v>
      </c>
      <c r="K68" s="7">
        <v>88</v>
      </c>
      <c r="L68" s="7">
        <v>93</v>
      </c>
      <c r="M68" s="7">
        <v>77</v>
      </c>
      <c r="N68" s="7">
        <v>44</v>
      </c>
      <c r="O68" s="7">
        <v>827</v>
      </c>
      <c r="P68" s="7">
        <v>5</v>
      </c>
      <c r="Q68" s="7">
        <f>16+24</f>
        <v>40</v>
      </c>
      <c r="R68" s="7">
        <f>43+55</f>
        <v>98</v>
      </c>
      <c r="S68" s="7">
        <f>71+90</f>
        <v>161</v>
      </c>
      <c r="T68" s="7">
        <f>97+79</f>
        <v>176</v>
      </c>
      <c r="U68" s="7">
        <v>96</v>
      </c>
      <c r="V68" s="7">
        <v>104</v>
      </c>
      <c r="W68" s="7">
        <v>94</v>
      </c>
      <c r="X68" s="7">
        <v>53</v>
      </c>
      <c r="Y68" s="38">
        <v>52.7</v>
      </c>
      <c r="Z68" s="38">
        <v>51.1</v>
      </c>
      <c r="AA68" s="38">
        <v>54.6</v>
      </c>
      <c r="AB68" s="20" t="s">
        <v>143</v>
      </c>
    </row>
    <row r="69" spans="2:28" ht="13.5" customHeight="1">
      <c r="B69" s="17" t="s">
        <v>144</v>
      </c>
      <c r="C69" s="18" t="s">
        <v>145</v>
      </c>
      <c r="D69" s="7">
        <v>1292</v>
      </c>
      <c r="E69" s="7">
        <v>665</v>
      </c>
      <c r="F69" s="7">
        <v>7</v>
      </c>
      <c r="G69" s="7">
        <v>61</v>
      </c>
      <c r="H69" s="7">
        <f>46+49</f>
        <v>95</v>
      </c>
      <c r="I69" s="7">
        <f>57+84</f>
        <v>141</v>
      </c>
      <c r="J69" s="7">
        <v>155</v>
      </c>
      <c r="K69" s="7">
        <v>62</v>
      </c>
      <c r="L69" s="7">
        <v>51</v>
      </c>
      <c r="M69" s="7">
        <v>56</v>
      </c>
      <c r="N69" s="7">
        <v>37</v>
      </c>
      <c r="O69" s="7">
        <v>627</v>
      </c>
      <c r="P69" s="7">
        <v>2</v>
      </c>
      <c r="Q69" s="7">
        <f>11+20</f>
        <v>31</v>
      </c>
      <c r="R69" s="7">
        <f>33+37</f>
        <v>70</v>
      </c>
      <c r="S69" s="7">
        <f>51+73</f>
        <v>124</v>
      </c>
      <c r="T69" s="7">
        <f>84+64</f>
        <v>148</v>
      </c>
      <c r="U69" s="7">
        <v>71</v>
      </c>
      <c r="V69" s="7">
        <v>64</v>
      </c>
      <c r="W69" s="7">
        <v>56</v>
      </c>
      <c r="X69" s="7">
        <v>61</v>
      </c>
      <c r="Y69" s="38">
        <v>52.7</v>
      </c>
      <c r="Z69" s="38">
        <v>50.9</v>
      </c>
      <c r="AA69" s="38">
        <v>54.7</v>
      </c>
      <c r="AB69" s="20" t="s">
        <v>145</v>
      </c>
    </row>
    <row r="70" spans="2:28" s="13" customFormat="1" ht="13.5" customHeight="1">
      <c r="B70" s="22" t="s">
        <v>146</v>
      </c>
      <c r="C70" s="15"/>
      <c r="Y70" s="37"/>
      <c r="Z70" s="37"/>
      <c r="AA70" s="37"/>
      <c r="AB70" s="16"/>
    </row>
    <row r="71" spans="2:28" ht="13.5" customHeight="1">
      <c r="B71" s="17" t="s">
        <v>147</v>
      </c>
      <c r="C71" s="18" t="s">
        <v>148</v>
      </c>
      <c r="D71" s="7">
        <v>2637</v>
      </c>
      <c r="E71" s="7">
        <v>1441</v>
      </c>
      <c r="F71" s="7">
        <v>13</v>
      </c>
      <c r="G71" s="7">
        <v>108</v>
      </c>
      <c r="H71" s="7">
        <f>58+111</f>
        <v>169</v>
      </c>
      <c r="I71" s="7">
        <f>150+163</f>
        <v>313</v>
      </c>
      <c r="J71" s="7">
        <v>284</v>
      </c>
      <c r="K71" s="7">
        <v>135</v>
      </c>
      <c r="L71" s="7">
        <v>154</v>
      </c>
      <c r="M71" s="7">
        <v>149</v>
      </c>
      <c r="N71" s="7">
        <v>116</v>
      </c>
      <c r="O71" s="7">
        <v>1196</v>
      </c>
      <c r="P71" s="7">
        <v>9</v>
      </c>
      <c r="Q71" s="7">
        <f>17+41</f>
        <v>58</v>
      </c>
      <c r="R71" s="7">
        <f>45+77</f>
        <v>122</v>
      </c>
      <c r="S71" s="7">
        <f>94+141</f>
        <v>235</v>
      </c>
      <c r="T71" s="7">
        <f>113+95</f>
        <v>208</v>
      </c>
      <c r="U71" s="7">
        <v>148</v>
      </c>
      <c r="V71" s="7">
        <v>161</v>
      </c>
      <c r="W71" s="7">
        <v>156</v>
      </c>
      <c r="X71" s="7">
        <v>99</v>
      </c>
      <c r="Y71" s="38">
        <v>54.3</v>
      </c>
      <c r="Z71" s="38">
        <v>53.1</v>
      </c>
      <c r="AA71" s="38">
        <v>55.8</v>
      </c>
      <c r="AB71" s="20" t="s">
        <v>148</v>
      </c>
    </row>
    <row r="72" spans="2:28" ht="13.5" customHeight="1">
      <c r="B72" s="17" t="s">
        <v>149</v>
      </c>
      <c r="C72" s="18" t="s">
        <v>150</v>
      </c>
      <c r="D72" s="7">
        <v>1840</v>
      </c>
      <c r="E72" s="7">
        <v>1006</v>
      </c>
      <c r="F72" s="7">
        <v>9</v>
      </c>
      <c r="G72" s="7">
        <v>69</v>
      </c>
      <c r="H72" s="7">
        <f>46+81</f>
        <v>127</v>
      </c>
      <c r="I72" s="7">
        <f>111+126</f>
        <v>237</v>
      </c>
      <c r="J72" s="7">
        <v>198</v>
      </c>
      <c r="K72" s="7">
        <v>96</v>
      </c>
      <c r="L72" s="7">
        <v>119</v>
      </c>
      <c r="M72" s="7">
        <v>103</v>
      </c>
      <c r="N72" s="7">
        <v>48</v>
      </c>
      <c r="O72" s="7">
        <v>834</v>
      </c>
      <c r="P72" s="7">
        <v>3</v>
      </c>
      <c r="Q72" s="7">
        <f>9+19</f>
        <v>28</v>
      </c>
      <c r="R72" s="7">
        <f>22+57</f>
        <v>79</v>
      </c>
      <c r="S72" s="7">
        <f>75+89</f>
        <v>164</v>
      </c>
      <c r="T72" s="7">
        <f>102+80</f>
        <v>182</v>
      </c>
      <c r="U72" s="7">
        <v>97</v>
      </c>
      <c r="V72" s="7">
        <v>119</v>
      </c>
      <c r="W72" s="7">
        <v>107</v>
      </c>
      <c r="X72" s="7">
        <v>55</v>
      </c>
      <c r="Y72" s="38">
        <v>54</v>
      </c>
      <c r="Z72" s="38">
        <v>52.3</v>
      </c>
      <c r="AA72" s="38">
        <v>56</v>
      </c>
      <c r="AB72" s="20" t="s">
        <v>150</v>
      </c>
    </row>
    <row r="73" spans="2:28" s="13" customFormat="1" ht="13.5" customHeight="1">
      <c r="B73" s="22" t="s">
        <v>151</v>
      </c>
      <c r="C73" s="15"/>
      <c r="Y73" s="37"/>
      <c r="Z73" s="37"/>
      <c r="AA73" s="37"/>
      <c r="AB73" s="16"/>
    </row>
    <row r="74" spans="2:28" ht="13.5" customHeight="1">
      <c r="B74" s="17" t="s">
        <v>152</v>
      </c>
      <c r="C74" s="18" t="s">
        <v>153</v>
      </c>
      <c r="D74" s="7">
        <v>4684</v>
      </c>
      <c r="E74" s="7">
        <v>2550</v>
      </c>
      <c r="F74" s="7">
        <v>36</v>
      </c>
      <c r="G74" s="7">
        <v>211</v>
      </c>
      <c r="H74" s="7">
        <f>119+149</f>
        <v>268</v>
      </c>
      <c r="I74" s="44">
        <f>209+308</f>
        <v>517</v>
      </c>
      <c r="J74" s="7">
        <v>528</v>
      </c>
      <c r="K74" s="7">
        <v>210</v>
      </c>
      <c r="L74" s="7">
        <v>244</v>
      </c>
      <c r="M74" s="7">
        <v>268</v>
      </c>
      <c r="N74" s="7">
        <v>268</v>
      </c>
      <c r="O74" s="7">
        <v>2134</v>
      </c>
      <c r="P74" s="7">
        <v>15</v>
      </c>
      <c r="Q74" s="7">
        <f>44+64</f>
        <v>108</v>
      </c>
      <c r="R74" s="7">
        <f>76+105</f>
        <v>181</v>
      </c>
      <c r="S74" s="7">
        <f>156+239</f>
        <v>395</v>
      </c>
      <c r="T74" s="7">
        <f>232+203</f>
        <v>435</v>
      </c>
      <c r="U74" s="7">
        <v>192</v>
      </c>
      <c r="V74" s="7">
        <v>263</v>
      </c>
      <c r="W74" s="7">
        <v>279</v>
      </c>
      <c r="X74" s="7">
        <v>266</v>
      </c>
      <c r="Y74" s="38">
        <v>55.1</v>
      </c>
      <c r="Z74" s="38">
        <v>53.7</v>
      </c>
      <c r="AA74" s="38">
        <v>56.8</v>
      </c>
      <c r="AB74" s="20" t="s">
        <v>153</v>
      </c>
    </row>
    <row r="75" spans="2:28" ht="13.5" customHeight="1">
      <c r="B75" s="17" t="s">
        <v>154</v>
      </c>
      <c r="C75" s="18" t="s">
        <v>155</v>
      </c>
      <c r="D75" s="7">
        <v>1814</v>
      </c>
      <c r="E75" s="7">
        <v>995</v>
      </c>
      <c r="F75" s="7">
        <v>13</v>
      </c>
      <c r="G75" s="7">
        <v>84</v>
      </c>
      <c r="H75" s="7">
        <f>36+50</f>
        <v>86</v>
      </c>
      <c r="I75" s="7">
        <f>82+126</f>
        <v>208</v>
      </c>
      <c r="J75" s="7">
        <v>196</v>
      </c>
      <c r="K75" s="7">
        <v>83</v>
      </c>
      <c r="L75" s="7">
        <v>85</v>
      </c>
      <c r="M75" s="7">
        <v>129</v>
      </c>
      <c r="N75" s="7">
        <v>111</v>
      </c>
      <c r="O75" s="7">
        <v>819</v>
      </c>
      <c r="P75" s="7">
        <v>5</v>
      </c>
      <c r="Q75" s="7">
        <f>13+30</f>
        <v>43</v>
      </c>
      <c r="R75" s="7">
        <f>16+33</f>
        <v>49</v>
      </c>
      <c r="S75" s="7">
        <f>58+83</f>
        <v>141</v>
      </c>
      <c r="T75" s="7">
        <f>88+74</f>
        <v>162</v>
      </c>
      <c r="U75" s="7">
        <v>72</v>
      </c>
      <c r="V75" s="7">
        <v>119</v>
      </c>
      <c r="W75" s="7">
        <v>117</v>
      </c>
      <c r="X75" s="7">
        <v>111</v>
      </c>
      <c r="Y75" s="38">
        <v>56.3</v>
      </c>
      <c r="Z75" s="38">
        <v>54.7</v>
      </c>
      <c r="AA75" s="38">
        <v>58.2</v>
      </c>
      <c r="AB75" s="20" t="s">
        <v>155</v>
      </c>
    </row>
    <row r="76" spans="2:28" ht="13.5" customHeight="1">
      <c r="B76" s="17" t="s">
        <v>156</v>
      </c>
      <c r="C76" s="18" t="s">
        <v>157</v>
      </c>
      <c r="D76" s="7">
        <v>3317</v>
      </c>
      <c r="E76" s="7">
        <v>1806</v>
      </c>
      <c r="F76" s="7">
        <v>22</v>
      </c>
      <c r="G76" s="7">
        <v>91</v>
      </c>
      <c r="H76" s="7">
        <f>73+105</f>
        <v>178</v>
      </c>
      <c r="I76" s="7">
        <f>167+223</f>
        <v>390</v>
      </c>
      <c r="J76" s="7">
        <v>345</v>
      </c>
      <c r="K76" s="7">
        <v>165</v>
      </c>
      <c r="L76" s="7">
        <v>205</v>
      </c>
      <c r="M76" s="7">
        <v>227</v>
      </c>
      <c r="N76" s="7">
        <v>183</v>
      </c>
      <c r="O76" s="7">
        <v>1511</v>
      </c>
      <c r="P76" s="7">
        <v>4</v>
      </c>
      <c r="Q76" s="7">
        <f>28+19</f>
        <v>47</v>
      </c>
      <c r="R76" s="7">
        <f>38+69</f>
        <v>107</v>
      </c>
      <c r="S76" s="7">
        <f>123+150</f>
        <v>273</v>
      </c>
      <c r="T76" s="7">
        <f>133+135</f>
        <v>268</v>
      </c>
      <c r="U76" s="7">
        <v>175</v>
      </c>
      <c r="V76" s="7">
        <v>225</v>
      </c>
      <c r="W76" s="7">
        <v>239</v>
      </c>
      <c r="X76" s="7">
        <v>173</v>
      </c>
      <c r="Y76" s="38">
        <v>56.8</v>
      </c>
      <c r="Z76" s="38">
        <v>55.3</v>
      </c>
      <c r="AA76" s="38">
        <v>58.7</v>
      </c>
      <c r="AB76" s="20" t="s">
        <v>157</v>
      </c>
    </row>
    <row r="77" spans="2:28" ht="13.5" customHeight="1">
      <c r="B77" s="17" t="s">
        <v>158</v>
      </c>
      <c r="C77" s="18" t="s">
        <v>159</v>
      </c>
      <c r="D77" s="7">
        <v>2430</v>
      </c>
      <c r="E77" s="7">
        <v>1313</v>
      </c>
      <c r="F77" s="7">
        <v>18</v>
      </c>
      <c r="G77" s="7">
        <v>89</v>
      </c>
      <c r="H77" s="7">
        <f>63+75</f>
        <v>138</v>
      </c>
      <c r="I77" s="7">
        <f>112+154</f>
        <v>266</v>
      </c>
      <c r="J77" s="7">
        <v>251</v>
      </c>
      <c r="K77" s="7">
        <v>139</v>
      </c>
      <c r="L77" s="7">
        <v>144</v>
      </c>
      <c r="M77" s="7">
        <v>141</v>
      </c>
      <c r="N77" s="7">
        <v>127</v>
      </c>
      <c r="O77" s="7">
        <v>1117</v>
      </c>
      <c r="P77" s="7">
        <v>7</v>
      </c>
      <c r="Q77" s="7">
        <f>17+19</f>
        <v>36</v>
      </c>
      <c r="R77" s="7">
        <f>28+55</f>
        <v>83</v>
      </c>
      <c r="S77" s="7">
        <f>105+105</f>
        <v>210</v>
      </c>
      <c r="T77" s="7">
        <f>113+118</f>
        <v>231</v>
      </c>
      <c r="U77" s="7">
        <v>132</v>
      </c>
      <c r="V77" s="7">
        <v>154</v>
      </c>
      <c r="W77" s="7">
        <v>134</v>
      </c>
      <c r="X77" s="7">
        <v>130</v>
      </c>
      <c r="Y77" s="38">
        <v>55.9</v>
      </c>
      <c r="Z77" s="38">
        <v>54.4</v>
      </c>
      <c r="AA77" s="38">
        <v>57.7</v>
      </c>
      <c r="AB77" s="20" t="s">
        <v>159</v>
      </c>
    </row>
    <row r="78" spans="2:28" ht="13.5" customHeight="1">
      <c r="B78" s="17" t="s">
        <v>160</v>
      </c>
      <c r="C78" s="18" t="s">
        <v>161</v>
      </c>
      <c r="D78" s="7">
        <v>805</v>
      </c>
      <c r="E78" s="7">
        <v>439</v>
      </c>
      <c r="F78" s="7">
        <v>6</v>
      </c>
      <c r="G78" s="7">
        <v>35</v>
      </c>
      <c r="H78" s="7">
        <f>16+41</f>
        <v>57</v>
      </c>
      <c r="I78" s="7">
        <f>50+47</f>
        <v>97</v>
      </c>
      <c r="J78" s="7">
        <v>62</v>
      </c>
      <c r="K78" s="7">
        <v>45</v>
      </c>
      <c r="L78" s="7">
        <v>43</v>
      </c>
      <c r="M78" s="7">
        <v>51</v>
      </c>
      <c r="N78" s="7">
        <v>43</v>
      </c>
      <c r="O78" s="7">
        <v>366</v>
      </c>
      <c r="P78" s="7">
        <v>5</v>
      </c>
      <c r="Q78" s="7">
        <f>5+10</f>
        <v>15</v>
      </c>
      <c r="R78" s="7">
        <f>10+24</f>
        <v>34</v>
      </c>
      <c r="S78" s="7">
        <f>25+27</f>
        <v>52</v>
      </c>
      <c r="T78" s="7">
        <f>37+25</f>
        <v>62</v>
      </c>
      <c r="U78" s="7">
        <v>52</v>
      </c>
      <c r="V78" s="7">
        <v>53</v>
      </c>
      <c r="W78" s="7">
        <v>47</v>
      </c>
      <c r="X78" s="7">
        <v>46</v>
      </c>
      <c r="Y78" s="38">
        <v>55.2</v>
      </c>
      <c r="Z78" s="38">
        <v>53.1</v>
      </c>
      <c r="AA78" s="38">
        <v>57.8</v>
      </c>
      <c r="AB78" s="20" t="s">
        <v>161</v>
      </c>
    </row>
    <row r="79" spans="2:28" ht="13.5" customHeight="1">
      <c r="B79" s="17" t="s">
        <v>162</v>
      </c>
      <c r="C79" s="18" t="s">
        <v>163</v>
      </c>
      <c r="D79" s="7">
        <v>2332</v>
      </c>
      <c r="E79" s="7">
        <v>1278</v>
      </c>
      <c r="F79" s="7">
        <v>20</v>
      </c>
      <c r="G79" s="7">
        <v>108</v>
      </c>
      <c r="H79" s="7">
        <f>51+75</f>
        <v>126</v>
      </c>
      <c r="I79" s="7">
        <f>114+155</f>
        <v>269</v>
      </c>
      <c r="J79" s="7">
        <v>237</v>
      </c>
      <c r="K79" s="7">
        <v>115</v>
      </c>
      <c r="L79" s="7">
        <v>140</v>
      </c>
      <c r="M79" s="7">
        <v>142</v>
      </c>
      <c r="N79" s="7">
        <v>121</v>
      </c>
      <c r="O79" s="7">
        <v>1054</v>
      </c>
      <c r="P79" s="7">
        <v>9</v>
      </c>
      <c r="Q79" s="7">
        <f>17+14</f>
        <v>31</v>
      </c>
      <c r="R79" s="7">
        <f>37+45</f>
        <v>82</v>
      </c>
      <c r="S79" s="7">
        <f>100+120</f>
        <v>220</v>
      </c>
      <c r="T79" s="7">
        <f>114+89</f>
        <v>203</v>
      </c>
      <c r="U79" s="7">
        <v>116</v>
      </c>
      <c r="V79" s="7">
        <v>161</v>
      </c>
      <c r="W79" s="7">
        <v>129</v>
      </c>
      <c r="X79" s="7">
        <v>103</v>
      </c>
      <c r="Y79" s="38">
        <v>55.1</v>
      </c>
      <c r="Z79" s="38">
        <v>53.6</v>
      </c>
      <c r="AA79" s="38">
        <v>56.9</v>
      </c>
      <c r="AB79" s="20" t="s">
        <v>163</v>
      </c>
    </row>
    <row r="80" spans="2:28" ht="13.5" customHeight="1">
      <c r="B80" s="17" t="s">
        <v>164</v>
      </c>
      <c r="C80" s="18" t="s">
        <v>165</v>
      </c>
      <c r="D80" s="7">
        <v>2321</v>
      </c>
      <c r="E80" s="7">
        <v>1264</v>
      </c>
      <c r="F80" s="7">
        <v>15</v>
      </c>
      <c r="G80" s="7">
        <v>94</v>
      </c>
      <c r="H80" s="7">
        <f>38+89</f>
        <v>127</v>
      </c>
      <c r="I80" s="7">
        <f>115+152</f>
        <v>267</v>
      </c>
      <c r="J80" s="7">
        <v>250</v>
      </c>
      <c r="K80" s="7">
        <v>123</v>
      </c>
      <c r="L80" s="7">
        <v>140</v>
      </c>
      <c r="M80" s="7">
        <v>132</v>
      </c>
      <c r="N80" s="7">
        <v>116</v>
      </c>
      <c r="O80" s="7">
        <v>1057</v>
      </c>
      <c r="P80" s="7">
        <v>6</v>
      </c>
      <c r="Q80" s="7">
        <f>15+24</f>
        <v>39</v>
      </c>
      <c r="R80" s="7">
        <f>18+69</f>
        <v>87</v>
      </c>
      <c r="S80" s="7">
        <f>106+118</f>
        <v>224</v>
      </c>
      <c r="T80" s="7">
        <f>100+74</f>
        <v>174</v>
      </c>
      <c r="U80" s="7">
        <v>117</v>
      </c>
      <c r="V80" s="7">
        <v>161</v>
      </c>
      <c r="W80" s="7">
        <v>138</v>
      </c>
      <c r="X80" s="7">
        <v>111</v>
      </c>
      <c r="Y80" s="38">
        <v>55.4</v>
      </c>
      <c r="Z80" s="38">
        <v>53.9</v>
      </c>
      <c r="AA80" s="38">
        <v>57.1</v>
      </c>
      <c r="AB80" s="20" t="s">
        <v>165</v>
      </c>
    </row>
    <row r="81" spans="2:28" ht="13.5" customHeight="1">
      <c r="B81" s="17" t="s">
        <v>166</v>
      </c>
      <c r="C81" s="18" t="s">
        <v>167</v>
      </c>
      <c r="D81" s="7">
        <v>2400</v>
      </c>
      <c r="E81" s="7">
        <v>1274</v>
      </c>
      <c r="F81" s="7">
        <v>21</v>
      </c>
      <c r="G81" s="7">
        <v>79</v>
      </c>
      <c r="H81" s="7">
        <f>56+92</f>
        <v>148</v>
      </c>
      <c r="I81" s="7">
        <v>279</v>
      </c>
      <c r="J81" s="7">
        <v>250</v>
      </c>
      <c r="K81" s="7">
        <v>114</v>
      </c>
      <c r="L81" s="7">
        <v>143</v>
      </c>
      <c r="M81" s="7">
        <v>142</v>
      </c>
      <c r="N81" s="7">
        <v>98</v>
      </c>
      <c r="O81" s="7">
        <v>1126</v>
      </c>
      <c r="P81" s="7">
        <v>7</v>
      </c>
      <c r="Q81" s="7">
        <f>12+30</f>
        <v>42</v>
      </c>
      <c r="R81" s="7">
        <f>47+79</f>
        <v>126</v>
      </c>
      <c r="S81" s="7">
        <f>96+117</f>
        <v>213</v>
      </c>
      <c r="T81" s="7">
        <f>95+105</f>
        <v>200</v>
      </c>
      <c r="U81" s="7">
        <v>119</v>
      </c>
      <c r="V81" s="7">
        <v>174</v>
      </c>
      <c r="W81" s="7">
        <v>141</v>
      </c>
      <c r="X81" s="7">
        <v>104</v>
      </c>
      <c r="Y81" s="38">
        <v>54.8</v>
      </c>
      <c r="Z81" s="38">
        <v>53.5</v>
      </c>
      <c r="AA81" s="38">
        <v>56.4</v>
      </c>
      <c r="AB81" s="20" t="s">
        <v>167</v>
      </c>
    </row>
    <row r="82" spans="2:28" s="13" customFormat="1" ht="13.5" customHeight="1">
      <c r="B82" s="22" t="s">
        <v>168</v>
      </c>
      <c r="C82" s="15"/>
      <c r="Y82" s="37"/>
      <c r="Z82" s="37"/>
      <c r="AA82" s="37"/>
      <c r="AB82" s="16"/>
    </row>
    <row r="83" spans="2:28" ht="13.5" customHeight="1">
      <c r="B83" s="17" t="s">
        <v>169</v>
      </c>
      <c r="C83" s="18" t="s">
        <v>170</v>
      </c>
      <c r="D83" s="7">
        <v>1728</v>
      </c>
      <c r="E83" s="7">
        <v>906</v>
      </c>
      <c r="F83" s="7">
        <v>12</v>
      </c>
      <c r="G83" s="7">
        <v>69</v>
      </c>
      <c r="H83" s="7">
        <f>36+68</f>
        <v>104</v>
      </c>
      <c r="I83" s="7">
        <f>90+117</f>
        <v>207</v>
      </c>
      <c r="J83" s="7">
        <v>160</v>
      </c>
      <c r="K83" s="7">
        <v>76</v>
      </c>
      <c r="L83" s="7">
        <v>95</v>
      </c>
      <c r="M83" s="7">
        <v>103</v>
      </c>
      <c r="N83" s="7">
        <v>80</v>
      </c>
      <c r="O83" s="7">
        <v>822</v>
      </c>
      <c r="P83" s="7">
        <v>5</v>
      </c>
      <c r="Q83" s="7">
        <f>15+20</f>
        <v>35</v>
      </c>
      <c r="R83" s="7">
        <f>25+52</f>
        <v>77</v>
      </c>
      <c r="S83" s="7">
        <f>69+83</f>
        <v>152</v>
      </c>
      <c r="T83" s="7">
        <f>76+72</f>
        <v>148</v>
      </c>
      <c r="U83" s="7">
        <v>84</v>
      </c>
      <c r="V83" s="7">
        <v>137</v>
      </c>
      <c r="W83" s="7">
        <v>83</v>
      </c>
      <c r="X83" s="7">
        <v>101</v>
      </c>
      <c r="Y83" s="38">
        <v>55.2</v>
      </c>
      <c r="Z83" s="38">
        <v>53.4</v>
      </c>
      <c r="AA83" s="38">
        <v>57.1</v>
      </c>
      <c r="AB83" s="20" t="s">
        <v>170</v>
      </c>
    </row>
    <row r="84" spans="2:28" ht="13.5" customHeight="1">
      <c r="B84" s="17" t="s">
        <v>171</v>
      </c>
      <c r="C84" s="18" t="s">
        <v>172</v>
      </c>
      <c r="D84" s="7">
        <v>1937</v>
      </c>
      <c r="E84" s="7">
        <v>1050</v>
      </c>
      <c r="F84" s="7">
        <v>14</v>
      </c>
      <c r="G84" s="7">
        <v>75</v>
      </c>
      <c r="H84" s="7">
        <f>47+64</f>
        <v>111</v>
      </c>
      <c r="I84" s="7">
        <f>94+127</f>
        <v>221</v>
      </c>
      <c r="J84" s="7">
        <v>182</v>
      </c>
      <c r="K84" s="7">
        <v>98</v>
      </c>
      <c r="L84" s="7">
        <v>122</v>
      </c>
      <c r="M84" s="7">
        <v>138</v>
      </c>
      <c r="N84" s="7">
        <v>89</v>
      </c>
      <c r="O84" s="7">
        <v>887</v>
      </c>
      <c r="P84" s="7">
        <v>7</v>
      </c>
      <c r="Q84" s="7">
        <f>11+26</f>
        <v>37</v>
      </c>
      <c r="R84" s="7">
        <f>29+47</f>
        <v>76</v>
      </c>
      <c r="S84" s="7">
        <f>69+100</f>
        <v>169</v>
      </c>
      <c r="T84" s="7">
        <f>83+77</f>
        <v>160</v>
      </c>
      <c r="U84" s="7">
        <v>99</v>
      </c>
      <c r="V84" s="7">
        <v>137</v>
      </c>
      <c r="W84" s="7">
        <v>118</v>
      </c>
      <c r="X84" s="7">
        <v>84</v>
      </c>
      <c r="Y84" s="38">
        <v>55.5</v>
      </c>
      <c r="Z84" s="38">
        <v>54.3</v>
      </c>
      <c r="AA84" s="38">
        <v>56.9</v>
      </c>
      <c r="AB84" s="20" t="s">
        <v>172</v>
      </c>
    </row>
    <row r="85" spans="2:28" ht="13.5" customHeight="1">
      <c r="B85" s="17" t="s">
        <v>173</v>
      </c>
      <c r="C85" s="18" t="s">
        <v>174</v>
      </c>
      <c r="D85" s="7">
        <v>2284</v>
      </c>
      <c r="E85" s="7">
        <v>1242</v>
      </c>
      <c r="F85" s="7">
        <v>17</v>
      </c>
      <c r="G85" s="7">
        <v>96</v>
      </c>
      <c r="H85" s="7">
        <f>53+82</f>
        <v>135</v>
      </c>
      <c r="I85" s="7">
        <f>109+148</f>
        <v>257</v>
      </c>
      <c r="J85" s="7">
        <v>246</v>
      </c>
      <c r="K85" s="7">
        <v>99</v>
      </c>
      <c r="L85" s="7">
        <v>125</v>
      </c>
      <c r="M85" s="7">
        <v>151</v>
      </c>
      <c r="N85" s="7">
        <v>116</v>
      </c>
      <c r="O85" s="7">
        <v>1042</v>
      </c>
      <c r="P85" s="7">
        <v>15</v>
      </c>
      <c r="Q85" s="7">
        <f>18+23</f>
        <v>41</v>
      </c>
      <c r="R85" s="7">
        <f>35+58</f>
        <v>93</v>
      </c>
      <c r="S85" s="7">
        <f>79+105</f>
        <v>184</v>
      </c>
      <c r="T85" s="7">
        <f>98+96</f>
        <v>194</v>
      </c>
      <c r="U85" s="7">
        <v>110</v>
      </c>
      <c r="V85" s="7">
        <v>151</v>
      </c>
      <c r="W85" s="7">
        <v>136</v>
      </c>
      <c r="X85" s="7">
        <v>118</v>
      </c>
      <c r="Y85" s="38">
        <v>55.2</v>
      </c>
      <c r="Z85" s="38">
        <v>53.7</v>
      </c>
      <c r="AA85" s="38">
        <v>57.1</v>
      </c>
      <c r="AB85" s="20" t="s">
        <v>174</v>
      </c>
    </row>
    <row r="86" spans="2:28" ht="13.5" customHeight="1">
      <c r="B86" s="17" t="s">
        <v>175</v>
      </c>
      <c r="C86" s="18" t="s">
        <v>176</v>
      </c>
      <c r="D86" s="7">
        <v>2175</v>
      </c>
      <c r="E86" s="7">
        <v>1179</v>
      </c>
      <c r="F86" s="7">
        <v>16</v>
      </c>
      <c r="G86" s="7">
        <v>82</v>
      </c>
      <c r="H86" s="7">
        <f>57+63</f>
        <v>120</v>
      </c>
      <c r="I86" s="7">
        <f>108+144</f>
        <v>252</v>
      </c>
      <c r="J86" s="7">
        <v>241</v>
      </c>
      <c r="K86" s="7">
        <v>110</v>
      </c>
      <c r="L86" s="7">
        <v>106</v>
      </c>
      <c r="M86" s="7">
        <v>133</v>
      </c>
      <c r="N86" s="7">
        <v>119</v>
      </c>
      <c r="O86" s="7">
        <v>996</v>
      </c>
      <c r="P86" s="7">
        <v>5</v>
      </c>
      <c r="Q86" s="7">
        <f>14+31</f>
        <v>45</v>
      </c>
      <c r="R86" s="7">
        <f>31+54</f>
        <v>85</v>
      </c>
      <c r="S86" s="7">
        <f>95+113</f>
        <v>208</v>
      </c>
      <c r="T86" s="7">
        <f>89+86</f>
        <v>175</v>
      </c>
      <c r="U86" s="7">
        <v>106</v>
      </c>
      <c r="V86" s="7">
        <v>117</v>
      </c>
      <c r="W86" s="7">
        <v>136</v>
      </c>
      <c r="X86" s="7">
        <v>119</v>
      </c>
      <c r="Y86" s="38">
        <v>55.3</v>
      </c>
      <c r="Z86" s="38">
        <v>54</v>
      </c>
      <c r="AA86" s="38">
        <v>56.9</v>
      </c>
      <c r="AB86" s="20" t="s">
        <v>176</v>
      </c>
    </row>
    <row r="87" spans="2:28" ht="13.5" customHeight="1">
      <c r="B87" s="17" t="s">
        <v>177</v>
      </c>
      <c r="C87" s="18" t="s">
        <v>178</v>
      </c>
      <c r="D87" s="7">
        <v>1959</v>
      </c>
      <c r="E87" s="7">
        <v>1065</v>
      </c>
      <c r="F87" s="7">
        <v>11</v>
      </c>
      <c r="G87" s="7">
        <v>73</v>
      </c>
      <c r="H87" s="7">
        <f>34+74</f>
        <v>108</v>
      </c>
      <c r="I87" s="7">
        <f>120+105</f>
        <v>225</v>
      </c>
      <c r="J87" s="7">
        <v>203</v>
      </c>
      <c r="K87" s="7">
        <v>108</v>
      </c>
      <c r="L87" s="7">
        <v>119</v>
      </c>
      <c r="M87" s="7">
        <v>126</v>
      </c>
      <c r="N87" s="7">
        <v>92</v>
      </c>
      <c r="O87" s="7">
        <v>894</v>
      </c>
      <c r="P87" s="7">
        <v>2</v>
      </c>
      <c r="Q87" s="7">
        <f>9+12</f>
        <v>21</v>
      </c>
      <c r="R87" s="7">
        <f>25+39</f>
        <v>64</v>
      </c>
      <c r="S87" s="7">
        <f>74+87</f>
        <v>161</v>
      </c>
      <c r="T87" s="7">
        <f>87+81</f>
        <v>168</v>
      </c>
      <c r="U87" s="7">
        <v>111</v>
      </c>
      <c r="V87" s="7">
        <v>137</v>
      </c>
      <c r="W87" s="7">
        <v>110</v>
      </c>
      <c r="X87" s="7">
        <v>120</v>
      </c>
      <c r="Y87" s="38">
        <v>56.4</v>
      </c>
      <c r="Z87" s="38">
        <v>54.3</v>
      </c>
      <c r="AA87" s="38">
        <v>58.9</v>
      </c>
      <c r="AB87" s="20" t="s">
        <v>178</v>
      </c>
    </row>
    <row r="88" spans="2:28" ht="13.5" customHeight="1">
      <c r="B88" s="17" t="s">
        <v>179</v>
      </c>
      <c r="C88" s="18" t="s">
        <v>180</v>
      </c>
      <c r="D88" s="7">
        <v>3080</v>
      </c>
      <c r="E88" s="7">
        <v>1763</v>
      </c>
      <c r="F88" s="7">
        <v>33</v>
      </c>
      <c r="G88" s="7">
        <v>93</v>
      </c>
      <c r="H88" s="7">
        <f>77+98</f>
        <v>175</v>
      </c>
      <c r="I88" s="7">
        <f>168+209</f>
        <v>377</v>
      </c>
      <c r="J88" s="7">
        <v>338</v>
      </c>
      <c r="K88" s="7">
        <v>176</v>
      </c>
      <c r="L88" s="7">
        <v>197</v>
      </c>
      <c r="M88" s="7">
        <v>210</v>
      </c>
      <c r="N88" s="7">
        <v>164</v>
      </c>
      <c r="O88" s="7">
        <v>1317</v>
      </c>
      <c r="P88" s="7">
        <v>12</v>
      </c>
      <c r="Q88" s="7">
        <f>20+18</f>
        <v>38</v>
      </c>
      <c r="R88" s="7">
        <f>32+61</f>
        <v>93</v>
      </c>
      <c r="S88" s="7">
        <f>100+124</f>
        <v>224</v>
      </c>
      <c r="T88" s="7">
        <f>139+132</f>
        <v>271</v>
      </c>
      <c r="U88" s="7">
        <v>172</v>
      </c>
      <c r="V88" s="7">
        <v>204</v>
      </c>
      <c r="W88" s="7">
        <v>178</v>
      </c>
      <c r="X88" s="7">
        <v>125</v>
      </c>
      <c r="Y88" s="38">
        <v>56</v>
      </c>
      <c r="Z88" s="38">
        <v>54.6</v>
      </c>
      <c r="AA88" s="38">
        <v>57.9</v>
      </c>
      <c r="AB88" s="20" t="s">
        <v>180</v>
      </c>
    </row>
    <row r="89" spans="2:28" s="13" customFormat="1" ht="13.5" customHeight="1">
      <c r="B89" s="22" t="s">
        <v>181</v>
      </c>
      <c r="C89" s="15"/>
      <c r="Y89" s="37"/>
      <c r="Z89" s="37"/>
      <c r="AA89" s="37"/>
      <c r="AB89" s="16"/>
    </row>
    <row r="90" spans="2:28" ht="13.5" customHeight="1">
      <c r="B90" s="17" t="s">
        <v>182</v>
      </c>
      <c r="C90" s="18" t="s">
        <v>183</v>
      </c>
      <c r="D90" s="7">
        <v>2798</v>
      </c>
      <c r="E90" s="7">
        <v>1607</v>
      </c>
      <c r="F90" s="7">
        <v>35</v>
      </c>
      <c r="G90" s="7">
        <v>96</v>
      </c>
      <c r="H90" s="7">
        <f>80+105</f>
        <v>185</v>
      </c>
      <c r="I90" s="7">
        <v>331</v>
      </c>
      <c r="J90" s="7">
        <v>277</v>
      </c>
      <c r="K90" s="7">
        <v>145</v>
      </c>
      <c r="L90" s="7">
        <v>182</v>
      </c>
      <c r="M90" s="7">
        <v>195</v>
      </c>
      <c r="N90" s="7">
        <v>161</v>
      </c>
      <c r="O90" s="7">
        <v>1191</v>
      </c>
      <c r="P90" s="7">
        <v>11</v>
      </c>
      <c r="Q90" s="7">
        <f>14+18</f>
        <v>32</v>
      </c>
      <c r="R90" s="7">
        <f>38+46</f>
        <v>84</v>
      </c>
      <c r="S90" s="7">
        <f>100+129</f>
        <v>229</v>
      </c>
      <c r="T90" s="7">
        <f>100+114</f>
        <v>214</v>
      </c>
      <c r="U90" s="7">
        <v>166</v>
      </c>
      <c r="V90" s="7">
        <v>168</v>
      </c>
      <c r="W90" s="7">
        <v>163</v>
      </c>
      <c r="X90" s="7">
        <v>124</v>
      </c>
      <c r="Y90" s="38">
        <v>55.8</v>
      </c>
      <c r="Z90" s="38">
        <v>54.2</v>
      </c>
      <c r="AA90" s="38">
        <v>57.8</v>
      </c>
      <c r="AB90" s="20" t="s">
        <v>183</v>
      </c>
    </row>
    <row r="91" spans="2:28" ht="13.5" customHeight="1">
      <c r="B91" s="17" t="s">
        <v>184</v>
      </c>
      <c r="C91" s="18" t="s">
        <v>185</v>
      </c>
      <c r="D91" s="7">
        <v>2322</v>
      </c>
      <c r="E91" s="7">
        <v>1307</v>
      </c>
      <c r="F91" s="7">
        <v>42</v>
      </c>
      <c r="G91" s="7">
        <v>98</v>
      </c>
      <c r="H91" s="7">
        <f>54+70</f>
        <v>124</v>
      </c>
      <c r="I91" s="7">
        <f>118+139</f>
        <v>257</v>
      </c>
      <c r="J91" s="7">
        <v>272</v>
      </c>
      <c r="K91" s="7">
        <v>120</v>
      </c>
      <c r="L91" s="7">
        <v>145</v>
      </c>
      <c r="M91" s="7">
        <v>137</v>
      </c>
      <c r="N91" s="7">
        <v>112</v>
      </c>
      <c r="O91" s="7">
        <v>1015</v>
      </c>
      <c r="P91" s="7">
        <v>14</v>
      </c>
      <c r="Q91" s="7">
        <f>15+24</f>
        <v>39</v>
      </c>
      <c r="R91" s="7">
        <f>28+41</f>
        <v>69</v>
      </c>
      <c r="S91" s="7">
        <f>92+101</f>
        <v>193</v>
      </c>
      <c r="T91" s="7">
        <f>129+93</f>
        <v>222</v>
      </c>
      <c r="U91" s="7">
        <v>114</v>
      </c>
      <c r="V91" s="7">
        <v>139</v>
      </c>
      <c r="W91" s="7">
        <v>129</v>
      </c>
      <c r="X91" s="7">
        <v>96</v>
      </c>
      <c r="Y91" s="38">
        <v>54.7</v>
      </c>
      <c r="Z91" s="38">
        <v>53.2</v>
      </c>
      <c r="AA91" s="38">
        <v>56.6</v>
      </c>
      <c r="AB91" s="20" t="s">
        <v>185</v>
      </c>
    </row>
    <row r="92" spans="2:28" ht="13.5" customHeight="1">
      <c r="B92" s="17" t="s">
        <v>186</v>
      </c>
      <c r="C92" s="18" t="s">
        <v>187</v>
      </c>
      <c r="D92" s="7">
        <v>655</v>
      </c>
      <c r="E92" s="7">
        <v>353</v>
      </c>
      <c r="F92" s="7">
        <v>3</v>
      </c>
      <c r="G92" s="7">
        <v>29</v>
      </c>
      <c r="H92" s="7">
        <f>3+15</f>
        <v>18</v>
      </c>
      <c r="I92" s="7">
        <f>23+24</f>
        <v>47</v>
      </c>
      <c r="J92" s="7">
        <v>83</v>
      </c>
      <c r="K92" s="7">
        <v>29</v>
      </c>
      <c r="L92" s="7">
        <v>40</v>
      </c>
      <c r="M92" s="7">
        <v>47</v>
      </c>
      <c r="N92" s="7">
        <v>57</v>
      </c>
      <c r="O92" s="7">
        <v>302</v>
      </c>
      <c r="P92" s="7">
        <v>2</v>
      </c>
      <c r="Q92" s="7">
        <f>6+5</f>
        <v>11</v>
      </c>
      <c r="R92" s="7">
        <f>5+13</f>
        <v>18</v>
      </c>
      <c r="S92" s="7">
        <f>16+28</f>
        <v>44</v>
      </c>
      <c r="T92" s="7">
        <f>35+25</f>
        <v>60</v>
      </c>
      <c r="U92" s="7">
        <v>37</v>
      </c>
      <c r="V92" s="7">
        <v>42</v>
      </c>
      <c r="W92" s="7">
        <v>42</v>
      </c>
      <c r="X92" s="7">
        <v>46</v>
      </c>
      <c r="Y92" s="38">
        <v>58.5</v>
      </c>
      <c r="Z92" s="38">
        <v>57.6</v>
      </c>
      <c r="AA92" s="38">
        <v>59.5</v>
      </c>
      <c r="AB92" s="20" t="s">
        <v>187</v>
      </c>
    </row>
    <row r="93" spans="2:28" ht="13.5" customHeight="1">
      <c r="B93" s="17" t="s">
        <v>188</v>
      </c>
      <c r="C93" s="18" t="s">
        <v>189</v>
      </c>
      <c r="D93" s="7">
        <v>2485</v>
      </c>
      <c r="E93" s="7">
        <v>1332</v>
      </c>
      <c r="F93" s="7">
        <v>13</v>
      </c>
      <c r="G93" s="7">
        <v>90</v>
      </c>
      <c r="H93" s="7">
        <f>67+88</f>
        <v>155</v>
      </c>
      <c r="I93" s="7">
        <f>115+146</f>
        <v>261</v>
      </c>
      <c r="J93" s="7">
        <v>198</v>
      </c>
      <c r="K93" s="7">
        <v>151</v>
      </c>
      <c r="L93" s="7">
        <v>165</v>
      </c>
      <c r="M93" s="7">
        <v>163</v>
      </c>
      <c r="N93" s="7">
        <v>136</v>
      </c>
      <c r="O93" s="7">
        <v>1153</v>
      </c>
      <c r="P93" s="7">
        <v>10</v>
      </c>
      <c r="Q93" s="7">
        <f>14+28</f>
        <v>42</v>
      </c>
      <c r="R93" s="7">
        <f>37+47</f>
        <v>84</v>
      </c>
      <c r="S93" s="7">
        <f>83+90</f>
        <v>173</v>
      </c>
      <c r="T93" s="7">
        <f>106+135</f>
        <v>241</v>
      </c>
      <c r="U93" s="7">
        <v>155</v>
      </c>
      <c r="V93" s="7">
        <v>149</v>
      </c>
      <c r="W93" s="7">
        <v>176</v>
      </c>
      <c r="X93" s="7">
        <v>123</v>
      </c>
      <c r="Y93" s="38">
        <v>56.4</v>
      </c>
      <c r="Z93" s="38">
        <v>54.9</v>
      </c>
      <c r="AA93" s="38">
        <v>58.2</v>
      </c>
      <c r="AB93" s="20" t="s">
        <v>189</v>
      </c>
    </row>
    <row r="94" spans="2:28" ht="13.5" customHeight="1">
      <c r="B94" s="17" t="s">
        <v>190</v>
      </c>
      <c r="C94" s="18" t="s">
        <v>191</v>
      </c>
      <c r="D94" s="7">
        <v>2428</v>
      </c>
      <c r="E94" s="7">
        <v>1344</v>
      </c>
      <c r="F94" s="7">
        <v>26</v>
      </c>
      <c r="G94" s="7">
        <v>76</v>
      </c>
      <c r="H94" s="7">
        <f>61+89</f>
        <v>150</v>
      </c>
      <c r="I94" s="7">
        <f>124+147</f>
        <v>271</v>
      </c>
      <c r="J94" s="7">
        <v>241</v>
      </c>
      <c r="K94" s="7">
        <v>116</v>
      </c>
      <c r="L94" s="7">
        <v>175</v>
      </c>
      <c r="M94" s="7">
        <v>172</v>
      </c>
      <c r="N94" s="7">
        <v>117</v>
      </c>
      <c r="O94" s="7">
        <v>1084</v>
      </c>
      <c r="P94" s="7">
        <v>8</v>
      </c>
      <c r="Q94" s="7">
        <f>11+24</f>
        <v>35</v>
      </c>
      <c r="R94" s="7">
        <f>26+56</f>
        <v>82</v>
      </c>
      <c r="S94" s="7">
        <f>86+98</f>
        <v>184</v>
      </c>
      <c r="T94" s="7">
        <f>103+117</f>
        <v>220</v>
      </c>
      <c r="U94" s="7">
        <v>135</v>
      </c>
      <c r="V94" s="7">
        <v>154</v>
      </c>
      <c r="W94" s="7">
        <v>158</v>
      </c>
      <c r="X94" s="7">
        <v>108</v>
      </c>
      <c r="Y94" s="38">
        <v>56</v>
      </c>
      <c r="Z94" s="38">
        <v>54.6</v>
      </c>
      <c r="AA94" s="38">
        <v>57.9</v>
      </c>
      <c r="AB94" s="20" t="s">
        <v>191</v>
      </c>
    </row>
    <row r="95" spans="2:28" s="13" customFormat="1" ht="13.5" customHeight="1">
      <c r="B95" s="22" t="s">
        <v>192</v>
      </c>
      <c r="C95" s="15"/>
      <c r="Y95" s="37"/>
      <c r="Z95" s="37"/>
      <c r="AA95" s="37"/>
      <c r="AB95" s="16"/>
    </row>
    <row r="96" spans="2:28" ht="13.5" customHeight="1">
      <c r="B96" s="17" t="s">
        <v>193</v>
      </c>
      <c r="C96" s="18" t="s">
        <v>194</v>
      </c>
      <c r="D96" s="7">
        <v>1129</v>
      </c>
      <c r="E96" s="7">
        <v>576</v>
      </c>
      <c r="F96" s="7">
        <v>2</v>
      </c>
      <c r="G96" s="7">
        <v>29</v>
      </c>
      <c r="H96" s="7">
        <f>20+26</f>
        <v>46</v>
      </c>
      <c r="I96" s="7">
        <f>47+60</f>
        <v>107</v>
      </c>
      <c r="J96" s="7">
        <v>125</v>
      </c>
      <c r="K96" s="7">
        <v>60</v>
      </c>
      <c r="L96" s="7">
        <v>69</v>
      </c>
      <c r="M96" s="7">
        <v>60</v>
      </c>
      <c r="N96" s="7">
        <v>78</v>
      </c>
      <c r="O96" s="7">
        <v>553</v>
      </c>
      <c r="P96" s="7">
        <v>2</v>
      </c>
      <c r="Q96" s="7">
        <f>3+10</f>
        <v>13</v>
      </c>
      <c r="R96" s="7">
        <f>19+35</f>
        <v>54</v>
      </c>
      <c r="S96" s="7">
        <f>31+60</f>
        <v>91</v>
      </c>
      <c r="T96" s="7">
        <f>56+68</f>
        <v>124</v>
      </c>
      <c r="U96" s="7">
        <v>67</v>
      </c>
      <c r="V96" s="7">
        <v>75</v>
      </c>
      <c r="W96" s="7">
        <v>55</v>
      </c>
      <c r="X96" s="7">
        <v>72</v>
      </c>
      <c r="Y96" s="38">
        <v>57.5</v>
      </c>
      <c r="Z96" s="38">
        <v>56.9</v>
      </c>
      <c r="AA96" s="38">
        <v>58</v>
      </c>
      <c r="AB96" s="20" t="s">
        <v>194</v>
      </c>
    </row>
    <row r="97" spans="2:28" ht="13.5" customHeight="1">
      <c r="B97" s="17" t="s">
        <v>195</v>
      </c>
      <c r="C97" s="18" t="s">
        <v>196</v>
      </c>
      <c r="D97" s="7">
        <v>1750</v>
      </c>
      <c r="E97" s="7">
        <v>922</v>
      </c>
      <c r="F97" s="7">
        <v>19</v>
      </c>
      <c r="G97" s="7">
        <v>56</v>
      </c>
      <c r="H97" s="7">
        <f>31+47</f>
        <v>78</v>
      </c>
      <c r="I97" s="7">
        <f>74+96</f>
        <v>170</v>
      </c>
      <c r="J97" s="7">
        <v>214</v>
      </c>
      <c r="K97" s="7">
        <v>77</v>
      </c>
      <c r="L97" s="7">
        <v>103</v>
      </c>
      <c r="M97" s="7">
        <v>97</v>
      </c>
      <c r="N97" s="7">
        <v>108</v>
      </c>
      <c r="O97" s="7">
        <v>828</v>
      </c>
      <c r="P97" s="7">
        <v>3</v>
      </c>
      <c r="Q97" s="7">
        <f>9+13</f>
        <v>22</v>
      </c>
      <c r="R97" s="7">
        <f>22+41</f>
        <v>63</v>
      </c>
      <c r="S97" s="7">
        <f>57+82</f>
        <v>139</v>
      </c>
      <c r="T97" s="7">
        <f>100+81</f>
        <v>181</v>
      </c>
      <c r="U97" s="7">
        <v>87</v>
      </c>
      <c r="V97" s="7">
        <v>93</v>
      </c>
      <c r="W97" s="7">
        <v>109</v>
      </c>
      <c r="X97" s="7">
        <v>131</v>
      </c>
      <c r="Y97" s="38">
        <v>57.1</v>
      </c>
      <c r="Z97" s="38">
        <v>55.3</v>
      </c>
      <c r="AA97" s="38">
        <v>59</v>
      </c>
      <c r="AB97" s="20" t="s">
        <v>196</v>
      </c>
    </row>
    <row r="98" spans="2:28" ht="13.5" customHeight="1">
      <c r="B98" s="17" t="s">
        <v>197</v>
      </c>
      <c r="C98" s="18" t="s">
        <v>198</v>
      </c>
      <c r="D98" s="7">
        <v>1682</v>
      </c>
      <c r="E98" s="7">
        <v>893</v>
      </c>
      <c r="F98" s="7">
        <v>12</v>
      </c>
      <c r="G98" s="7">
        <v>41</v>
      </c>
      <c r="H98" s="7">
        <f>27+44</f>
        <v>71</v>
      </c>
      <c r="I98" s="7">
        <f>68+99</f>
        <v>167</v>
      </c>
      <c r="J98" s="7">
        <v>177</v>
      </c>
      <c r="K98" s="7">
        <v>88</v>
      </c>
      <c r="L98" s="7">
        <v>84</v>
      </c>
      <c r="M98" s="7">
        <v>129</v>
      </c>
      <c r="N98" s="7">
        <v>124</v>
      </c>
      <c r="O98" s="7">
        <v>789</v>
      </c>
      <c r="P98" s="7">
        <v>3</v>
      </c>
      <c r="Q98" s="7">
        <f>5+11</f>
        <v>16</v>
      </c>
      <c r="R98" s="7">
        <f>18+33</f>
        <v>51</v>
      </c>
      <c r="S98" s="7">
        <v>111</v>
      </c>
      <c r="T98" s="7">
        <f>85+75</f>
        <v>160</v>
      </c>
      <c r="U98" s="7">
        <v>90</v>
      </c>
      <c r="V98" s="7">
        <v>118</v>
      </c>
      <c r="W98" s="7">
        <v>119</v>
      </c>
      <c r="X98" s="7">
        <v>121</v>
      </c>
      <c r="Y98" s="38">
        <v>58.7</v>
      </c>
      <c r="Z98" s="38">
        <v>57.2</v>
      </c>
      <c r="AA98" s="38">
        <v>60.3</v>
      </c>
      <c r="AB98" s="20" t="s">
        <v>198</v>
      </c>
    </row>
    <row r="99" spans="2:28" ht="13.5" customHeight="1">
      <c r="B99" s="17" t="s">
        <v>199</v>
      </c>
      <c r="C99" s="18" t="s">
        <v>200</v>
      </c>
      <c r="D99" s="7">
        <v>1686</v>
      </c>
      <c r="E99" s="7">
        <v>890</v>
      </c>
      <c r="F99" s="7">
        <v>10</v>
      </c>
      <c r="G99" s="7">
        <v>71</v>
      </c>
      <c r="H99" s="7">
        <f>36+56</f>
        <v>92</v>
      </c>
      <c r="I99" s="7">
        <f>60+97</f>
        <v>157</v>
      </c>
      <c r="J99" s="7">
        <v>180</v>
      </c>
      <c r="K99" s="7">
        <v>92</v>
      </c>
      <c r="L99" s="7">
        <v>92</v>
      </c>
      <c r="M99" s="7">
        <v>91</v>
      </c>
      <c r="N99" s="7">
        <v>105</v>
      </c>
      <c r="O99" s="7">
        <v>796</v>
      </c>
      <c r="P99" s="7">
        <v>9</v>
      </c>
      <c r="Q99" s="7">
        <f>11+13</f>
        <v>24</v>
      </c>
      <c r="R99" s="7">
        <f>21+34</f>
        <v>55</v>
      </c>
      <c r="S99" s="7">
        <f>54+67</f>
        <v>121</v>
      </c>
      <c r="T99" s="7">
        <f>89+76</f>
        <v>165</v>
      </c>
      <c r="U99" s="7">
        <v>93</v>
      </c>
      <c r="V99" s="7">
        <v>91</v>
      </c>
      <c r="W99" s="7">
        <v>102</v>
      </c>
      <c r="X99" s="7">
        <v>136</v>
      </c>
      <c r="Y99" s="38">
        <v>56.8</v>
      </c>
      <c r="Z99" s="38">
        <v>54.7</v>
      </c>
      <c r="AA99" s="38">
        <v>59.1</v>
      </c>
      <c r="AB99" s="20" t="s">
        <v>200</v>
      </c>
    </row>
    <row r="100" spans="2:28" ht="13.5" customHeight="1">
      <c r="B100" s="17" t="s">
        <v>201</v>
      </c>
      <c r="C100" s="18" t="s">
        <v>202</v>
      </c>
      <c r="D100" s="7">
        <v>1271</v>
      </c>
      <c r="E100" s="7">
        <v>510</v>
      </c>
      <c r="F100" s="7">
        <v>1</v>
      </c>
      <c r="G100" s="7">
        <v>7</v>
      </c>
      <c r="H100" s="7">
        <f>1+10</f>
        <v>11</v>
      </c>
      <c r="I100" s="7">
        <f>21+23</f>
        <v>44</v>
      </c>
      <c r="J100" s="7">
        <v>82</v>
      </c>
      <c r="K100" s="7">
        <v>61</v>
      </c>
      <c r="L100" s="7">
        <v>101</v>
      </c>
      <c r="M100" s="7">
        <v>114</v>
      </c>
      <c r="N100" s="7">
        <v>89</v>
      </c>
      <c r="O100" s="7">
        <v>761</v>
      </c>
      <c r="P100" s="19" t="s">
        <v>33</v>
      </c>
      <c r="Q100" s="7">
        <f>1+2</f>
        <v>3</v>
      </c>
      <c r="R100" s="7">
        <f>4+11</f>
        <v>15</v>
      </c>
      <c r="S100" s="7">
        <f>19+32</f>
        <v>51</v>
      </c>
      <c r="T100" s="7">
        <f>61+88</f>
        <v>149</v>
      </c>
      <c r="U100" s="7">
        <v>106</v>
      </c>
      <c r="V100" s="7">
        <v>157</v>
      </c>
      <c r="W100" s="7">
        <v>158</v>
      </c>
      <c r="X100" s="7">
        <v>122</v>
      </c>
      <c r="Y100" s="38">
        <v>64.5</v>
      </c>
      <c r="Z100" s="38">
        <v>64.3</v>
      </c>
      <c r="AA100" s="38">
        <v>64.7</v>
      </c>
      <c r="AB100" s="20" t="s">
        <v>202</v>
      </c>
    </row>
    <row r="101" spans="2:28" ht="13.5" customHeight="1">
      <c r="B101" s="17" t="s">
        <v>203</v>
      </c>
      <c r="C101" s="18" t="s">
        <v>204</v>
      </c>
      <c r="D101" s="7">
        <v>1961</v>
      </c>
      <c r="E101" s="7">
        <v>954</v>
      </c>
      <c r="F101" s="7">
        <v>5</v>
      </c>
      <c r="G101" s="7">
        <v>31</v>
      </c>
      <c r="H101" s="7">
        <f>21+36</f>
        <v>57</v>
      </c>
      <c r="I101" s="7">
        <f>62+93</f>
        <v>155</v>
      </c>
      <c r="J101" s="7">
        <v>199</v>
      </c>
      <c r="K101" s="7">
        <v>96</v>
      </c>
      <c r="L101" s="7">
        <v>116</v>
      </c>
      <c r="M101" s="7">
        <v>146</v>
      </c>
      <c r="N101" s="7">
        <v>149</v>
      </c>
      <c r="O101" s="7">
        <v>1007</v>
      </c>
      <c r="P101" s="7">
        <v>6</v>
      </c>
      <c r="Q101" s="7">
        <f>4+13</f>
        <v>17</v>
      </c>
      <c r="R101" s="7">
        <f>12+28</f>
        <v>40</v>
      </c>
      <c r="S101" s="7">
        <v>127</v>
      </c>
      <c r="T101" s="7">
        <f>97+101</f>
        <v>198</v>
      </c>
      <c r="U101" s="7">
        <v>119</v>
      </c>
      <c r="V101" s="7">
        <v>145</v>
      </c>
      <c r="W101" s="7">
        <v>165</v>
      </c>
      <c r="X101" s="7">
        <v>190</v>
      </c>
      <c r="Y101" s="38">
        <v>60.9</v>
      </c>
      <c r="Z101" s="38">
        <v>59.5</v>
      </c>
      <c r="AA101" s="38">
        <v>62.2</v>
      </c>
      <c r="AB101" s="20" t="s">
        <v>204</v>
      </c>
    </row>
    <row r="102" spans="2:28" ht="13.5" customHeight="1">
      <c r="B102" s="17" t="s">
        <v>205</v>
      </c>
      <c r="C102" s="18" t="s">
        <v>206</v>
      </c>
      <c r="D102" s="7">
        <v>2383</v>
      </c>
      <c r="E102" s="7">
        <v>1246</v>
      </c>
      <c r="F102" s="7">
        <v>11</v>
      </c>
      <c r="G102" s="7">
        <v>63</v>
      </c>
      <c r="H102" s="7">
        <f>42+51</f>
        <v>93</v>
      </c>
      <c r="I102" s="7">
        <f>101+117</f>
        <v>218</v>
      </c>
      <c r="J102" s="7">
        <v>302</v>
      </c>
      <c r="K102" s="7">
        <v>99</v>
      </c>
      <c r="L102" s="7">
        <v>137</v>
      </c>
      <c r="M102" s="7">
        <v>144</v>
      </c>
      <c r="N102" s="7">
        <v>179</v>
      </c>
      <c r="O102" s="7">
        <v>1137</v>
      </c>
      <c r="P102" s="7">
        <v>3</v>
      </c>
      <c r="Q102" s="7">
        <f>13+23</f>
        <v>36</v>
      </c>
      <c r="R102" s="7">
        <f>36+41</f>
        <v>77</v>
      </c>
      <c r="S102" s="7">
        <v>181</v>
      </c>
      <c r="T102" s="7">
        <f>127+112</f>
        <v>239</v>
      </c>
      <c r="U102" s="7">
        <v>106</v>
      </c>
      <c r="V102" s="7">
        <v>145</v>
      </c>
      <c r="W102" s="7">
        <v>146</v>
      </c>
      <c r="X102" s="7">
        <v>204</v>
      </c>
      <c r="Y102" s="38">
        <v>58.4</v>
      </c>
      <c r="Z102" s="38">
        <v>57.1</v>
      </c>
      <c r="AA102" s="38">
        <v>59.7</v>
      </c>
      <c r="AB102" s="20" t="s">
        <v>206</v>
      </c>
    </row>
    <row r="103" spans="2:28" ht="13.5" customHeight="1">
      <c r="B103" s="17" t="s">
        <v>207</v>
      </c>
      <c r="C103" s="18" t="s">
        <v>208</v>
      </c>
      <c r="D103" s="27">
        <v>1508</v>
      </c>
      <c r="E103" s="27">
        <v>782</v>
      </c>
      <c r="F103" s="27">
        <v>9</v>
      </c>
      <c r="G103" s="27">
        <v>41</v>
      </c>
      <c r="H103" s="27">
        <f>34+38</f>
        <v>72</v>
      </c>
      <c r="I103" s="27">
        <f>59+92</f>
        <v>151</v>
      </c>
      <c r="J103" s="27">
        <v>149</v>
      </c>
      <c r="K103" s="27">
        <v>67</v>
      </c>
      <c r="L103" s="27">
        <v>92</v>
      </c>
      <c r="M103" s="27">
        <v>91</v>
      </c>
      <c r="N103" s="27">
        <v>110</v>
      </c>
      <c r="O103" s="27">
        <v>726</v>
      </c>
      <c r="P103" s="27">
        <v>4</v>
      </c>
      <c r="Q103" s="27">
        <f>4+7</f>
        <v>11</v>
      </c>
      <c r="R103" s="27">
        <f>27+27</f>
        <v>54</v>
      </c>
      <c r="S103" s="27">
        <f>56+51</f>
        <v>107</v>
      </c>
      <c r="T103" s="27">
        <f>70+67</f>
        <v>137</v>
      </c>
      <c r="U103" s="27">
        <v>82</v>
      </c>
      <c r="V103" s="27">
        <v>110</v>
      </c>
      <c r="W103" s="27">
        <v>101</v>
      </c>
      <c r="X103" s="27">
        <v>120</v>
      </c>
      <c r="Y103" s="40">
        <v>58.3</v>
      </c>
      <c r="Z103" s="40">
        <v>56.4</v>
      </c>
      <c r="AA103" s="40">
        <v>60.3</v>
      </c>
      <c r="AB103" s="20" t="s">
        <v>208</v>
      </c>
    </row>
    <row r="104" spans="1:28" ht="13.5" customHeight="1">
      <c r="A104" s="23"/>
      <c r="B104" s="24" t="s">
        <v>209</v>
      </c>
      <c r="C104" s="25" t="s">
        <v>210</v>
      </c>
      <c r="D104" s="23">
        <v>258</v>
      </c>
      <c r="E104" s="23">
        <v>142</v>
      </c>
      <c r="F104" s="23">
        <v>1</v>
      </c>
      <c r="G104" s="23">
        <v>13</v>
      </c>
      <c r="H104" s="23">
        <v>5</v>
      </c>
      <c r="I104" s="23">
        <f>11+4</f>
        <v>15</v>
      </c>
      <c r="J104" s="23">
        <v>29</v>
      </c>
      <c r="K104" s="23">
        <v>14</v>
      </c>
      <c r="L104" s="23">
        <v>20</v>
      </c>
      <c r="M104" s="23">
        <v>23</v>
      </c>
      <c r="N104" s="23">
        <v>22</v>
      </c>
      <c r="O104" s="23">
        <v>116</v>
      </c>
      <c r="P104" s="23">
        <v>1</v>
      </c>
      <c r="Q104" s="23">
        <f>3+3</f>
        <v>6</v>
      </c>
      <c r="R104" s="23">
        <v>5</v>
      </c>
      <c r="S104" s="23">
        <f>4+11</f>
        <v>15</v>
      </c>
      <c r="T104" s="23">
        <v>21</v>
      </c>
      <c r="U104" s="23">
        <v>14</v>
      </c>
      <c r="V104" s="23">
        <v>19</v>
      </c>
      <c r="W104" s="23">
        <v>21</v>
      </c>
      <c r="X104" s="23">
        <v>14</v>
      </c>
      <c r="Y104" s="39">
        <v>59.2</v>
      </c>
      <c r="Z104" s="39">
        <v>58.8</v>
      </c>
      <c r="AA104" s="39">
        <v>59.7</v>
      </c>
      <c r="AB104" s="26" t="s">
        <v>210</v>
      </c>
    </row>
  </sheetData>
  <printOptions/>
  <pageMargins left="0.7874015748031497" right="0.7874015748031497" top="0.984251968503937" bottom="0.984251968503937" header="0.512" footer="0.512"/>
  <pageSetup horizontalDpi="300" verticalDpi="300" orientation="portrait" pageOrder="overThenDown" paperSize="9" scale="87" r:id="rId1"/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