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1B1624BC-1DD1-4B3F-9F44-8E8ED1339E5B}" xr6:coauthVersionLast="47" xr6:coauthVersionMax="47" xr10:uidLastSave="{00000000-0000-0000-0000-000000000000}"/>
  <bookViews>
    <workbookView xWindow="22932" yWindow="-108" windowWidth="23256" windowHeight="12456" tabRatio="671" xr2:uid="{00000000-000D-0000-FFFF-FFFF00000000}"/>
  </bookViews>
  <sheets>
    <sheet name="25" sheetId="41" r:id="rId1"/>
    <sheet name="25.企業債（2７決算） " sheetId="34" state="hidden" r:id="rId2"/>
    <sheet name="25.企業債（25決算）" sheetId="33" state="hidden" r:id="rId3"/>
    <sheet name="25.企業債（24決算）" sheetId="32" state="hidden" r:id="rId4"/>
    <sheet name="25.企業債（23決算）" sheetId="31" state="hidden" r:id="rId5"/>
    <sheet name="25．企業債（22決算）" sheetId="30" state="hidden" r:id="rId6"/>
    <sheet name="25．企業債（21決算）" sheetId="29" state="hidden" r:id="rId7"/>
  </sheets>
  <definedNames>
    <definedName name="_xlnm._FilterDatabase" localSheetId="0" hidden="1">'25'!#REF!</definedName>
    <definedName name="_xlnm._FilterDatabase" localSheetId="6" hidden="1">'25．企業債（21決算）'!$A$2:$K$55</definedName>
    <definedName name="_xlnm._FilterDatabase" localSheetId="5" hidden="1">'25．企業債（22決算）'!$A$2:$K$55</definedName>
    <definedName name="_xlnm._FilterDatabase" localSheetId="1" hidden="1">'25.企業債（2７決算） '!$A$3:$L$3</definedName>
    <definedName name="_xlnm.Print_Area" localSheetId="0">'25'!$A$1:$J$568</definedName>
    <definedName name="_xlnm.Print_Area" localSheetId="6">'25．企業債（21決算）'!$A$1:$J$538</definedName>
    <definedName name="_xlnm.Print_Area" localSheetId="5">'25．企業債（22決算）'!$A$1:$J$544</definedName>
    <definedName name="_xlnm.Print_Area" localSheetId="4">'25.企業債（23決算）'!$A$1:$J$545</definedName>
    <definedName name="_xlnm.Print_Area" localSheetId="3">'25.企業債（24決算）'!$A$1:$J$547</definedName>
    <definedName name="_xlnm.Print_Area" localSheetId="2">'25.企業債（25決算）'!$A$1:$J$548</definedName>
    <definedName name="_xlnm.Print_Area" localSheetId="1">'25.企業債（2７決算） '!$A$1:$J$549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2" i="34" l="1"/>
  <c r="G521" i="34"/>
  <c r="H521" i="34"/>
  <c r="F527" i="34"/>
  <c r="E527" i="34"/>
  <c r="F287" i="34"/>
  <c r="F548" i="34"/>
  <c r="G382" i="34"/>
  <c r="H382" i="34" s="1"/>
  <c r="G339" i="34"/>
  <c r="H339" i="34" s="1"/>
  <c r="G247" i="34"/>
  <c r="H247" i="34" s="1"/>
  <c r="G424" i="34"/>
  <c r="H424" i="34" s="1"/>
  <c r="G545" i="34"/>
  <c r="H545" i="34" s="1"/>
  <c r="G492" i="34"/>
  <c r="H492" i="34" s="1"/>
  <c r="G491" i="34"/>
  <c r="H491" i="34"/>
  <c r="G490" i="34"/>
  <c r="H490" i="34"/>
  <c r="G489" i="34"/>
  <c r="H489" i="34" s="1"/>
  <c r="G488" i="34"/>
  <c r="G487" i="34"/>
  <c r="H487" i="34" s="1"/>
  <c r="G486" i="34"/>
  <c r="H486" i="34" s="1"/>
  <c r="G485" i="34"/>
  <c r="H485" i="34"/>
  <c r="F493" i="34"/>
  <c r="G544" i="34"/>
  <c r="H544" i="34"/>
  <c r="G543" i="34"/>
  <c r="G542" i="34"/>
  <c r="H542" i="34" s="1"/>
  <c r="G541" i="34"/>
  <c r="H541" i="34" s="1"/>
  <c r="G540" i="34"/>
  <c r="H540" i="34"/>
  <c r="G539" i="34"/>
  <c r="H539" i="34"/>
  <c r="G538" i="34"/>
  <c r="H538" i="34" s="1"/>
  <c r="G536" i="34"/>
  <c r="H536" i="34" s="1"/>
  <c r="G535" i="34"/>
  <c r="H535" i="34"/>
  <c r="G534" i="34"/>
  <c r="H534" i="34" s="1"/>
  <c r="G533" i="34"/>
  <c r="H533" i="34"/>
  <c r="G532" i="34"/>
  <c r="H532" i="34" s="1"/>
  <c r="G531" i="34"/>
  <c r="G530" i="34"/>
  <c r="H530" i="34"/>
  <c r="G520" i="34"/>
  <c r="H520" i="34" s="1"/>
  <c r="G519" i="34"/>
  <c r="H519" i="34"/>
  <c r="G518" i="34"/>
  <c r="H518" i="34" s="1"/>
  <c r="G517" i="34"/>
  <c r="H517" i="34" s="1"/>
  <c r="G516" i="34"/>
  <c r="H516" i="34" s="1"/>
  <c r="G515" i="34"/>
  <c r="H515" i="34" s="1"/>
  <c r="G514" i="34"/>
  <c r="H514" i="34"/>
  <c r="G513" i="34"/>
  <c r="H513" i="34" s="1"/>
  <c r="G512" i="34"/>
  <c r="H512" i="34" s="1"/>
  <c r="G511" i="34"/>
  <c r="H511" i="34"/>
  <c r="G510" i="34"/>
  <c r="H510" i="34" s="1"/>
  <c r="G509" i="34"/>
  <c r="H509" i="34" s="1"/>
  <c r="G508" i="34"/>
  <c r="G507" i="34"/>
  <c r="H507" i="34" s="1"/>
  <c r="G506" i="34"/>
  <c r="H506" i="34" s="1"/>
  <c r="G505" i="34"/>
  <c r="H505" i="34"/>
  <c r="G504" i="34"/>
  <c r="G501" i="34"/>
  <c r="H501" i="34" s="1"/>
  <c r="G500" i="34"/>
  <c r="G495" i="34"/>
  <c r="G494" i="34"/>
  <c r="G484" i="34"/>
  <c r="H484" i="34" s="1"/>
  <c r="G483" i="34"/>
  <c r="H483" i="34"/>
  <c r="G482" i="34"/>
  <c r="H482" i="34" s="1"/>
  <c r="G481" i="34"/>
  <c r="H481" i="34" s="1"/>
  <c r="G480" i="34"/>
  <c r="H480" i="34" s="1"/>
  <c r="G479" i="34"/>
  <c r="H479" i="34" s="1"/>
  <c r="G478" i="34"/>
  <c r="H478" i="34"/>
  <c r="G477" i="34"/>
  <c r="H477" i="34" s="1"/>
  <c r="G476" i="34"/>
  <c r="H476" i="34" s="1"/>
  <c r="G475" i="34"/>
  <c r="H475" i="34" s="1"/>
  <c r="G474" i="34"/>
  <c r="H474" i="34"/>
  <c r="G473" i="34"/>
  <c r="H473" i="34" s="1"/>
  <c r="G472" i="34"/>
  <c r="H472" i="34" s="1"/>
  <c r="G471" i="34"/>
  <c r="H471" i="34" s="1"/>
  <c r="G466" i="34"/>
  <c r="H466" i="34" s="1"/>
  <c r="G465" i="34"/>
  <c r="G464" i="34"/>
  <c r="H464" i="34" s="1"/>
  <c r="G463" i="34"/>
  <c r="H463" i="34"/>
  <c r="G462" i="34"/>
  <c r="H462" i="34" s="1"/>
  <c r="G461" i="34"/>
  <c r="H461" i="34" s="1"/>
  <c r="G460" i="34"/>
  <c r="H460" i="34" s="1"/>
  <c r="G459" i="34"/>
  <c r="H459" i="34"/>
  <c r="G458" i="34"/>
  <c r="H458" i="34" s="1"/>
  <c r="G457" i="34"/>
  <c r="H457" i="34" s="1"/>
  <c r="G456" i="34"/>
  <c r="H456" i="34" s="1"/>
  <c r="G455" i="34"/>
  <c r="H455" i="34" s="1"/>
  <c r="G454" i="34"/>
  <c r="G453" i="34"/>
  <c r="G452" i="34"/>
  <c r="H452" i="34" s="1"/>
  <c r="G451" i="34"/>
  <c r="H451" i="34"/>
  <c r="G450" i="34"/>
  <c r="H450" i="34" s="1"/>
  <c r="G449" i="34"/>
  <c r="H449" i="34" s="1"/>
  <c r="G448" i="34"/>
  <c r="H448" i="34" s="1"/>
  <c r="G447" i="34"/>
  <c r="H447" i="34" s="1"/>
  <c r="G446" i="34"/>
  <c r="H446" i="34" s="1"/>
  <c r="G445" i="34"/>
  <c r="H445" i="34" s="1"/>
  <c r="G444" i="34"/>
  <c r="H444" i="34" s="1"/>
  <c r="G443" i="34"/>
  <c r="H443" i="34" s="1"/>
  <c r="G442" i="34"/>
  <c r="H442" i="34" s="1"/>
  <c r="G441" i="34"/>
  <c r="H441" i="34" s="1"/>
  <c r="G440" i="34"/>
  <c r="H440" i="34" s="1"/>
  <c r="G439" i="34"/>
  <c r="H439" i="34"/>
  <c r="G438" i="34"/>
  <c r="H438" i="34" s="1"/>
  <c r="G437" i="34"/>
  <c r="H437" i="34" s="1"/>
  <c r="G436" i="34"/>
  <c r="H436" i="34" s="1"/>
  <c r="G435" i="34"/>
  <c r="G434" i="34"/>
  <c r="G433" i="34"/>
  <c r="H433" i="34" s="1"/>
  <c r="G432" i="34"/>
  <c r="H432" i="34"/>
  <c r="G431" i="34"/>
  <c r="H431" i="34" s="1"/>
  <c r="G430" i="34"/>
  <c r="G429" i="34"/>
  <c r="H429" i="34" s="1"/>
  <c r="G428" i="34"/>
  <c r="G423" i="34"/>
  <c r="H423" i="34" s="1"/>
  <c r="G422" i="34"/>
  <c r="H422" i="34"/>
  <c r="G421" i="34"/>
  <c r="H421" i="34" s="1"/>
  <c r="G420" i="34"/>
  <c r="H420" i="34" s="1"/>
  <c r="G419" i="34"/>
  <c r="H419" i="34" s="1"/>
  <c r="G418" i="34"/>
  <c r="H418" i="34"/>
  <c r="G417" i="34"/>
  <c r="H417" i="34" s="1"/>
  <c r="G416" i="34"/>
  <c r="H416" i="34" s="1"/>
  <c r="G415" i="34"/>
  <c r="H415" i="34" s="1"/>
  <c r="G414" i="34"/>
  <c r="H414" i="34" s="1"/>
  <c r="G413" i="34"/>
  <c r="H413" i="34" s="1"/>
  <c r="G412" i="34"/>
  <c r="H412" i="34" s="1"/>
  <c r="G411" i="34"/>
  <c r="H411" i="34" s="1"/>
  <c r="G406" i="34"/>
  <c r="H406" i="34" s="1"/>
  <c r="G405" i="34"/>
  <c r="H405" i="34"/>
  <c r="G404" i="34"/>
  <c r="H404" i="34"/>
  <c r="G403" i="34"/>
  <c r="H403" i="34" s="1"/>
  <c r="G402" i="34"/>
  <c r="H402" i="34" s="1"/>
  <c r="G401" i="34"/>
  <c r="H401" i="34" s="1"/>
  <c r="G400" i="34"/>
  <c r="H400" i="34"/>
  <c r="G399" i="34"/>
  <c r="H399" i="34"/>
  <c r="G398" i="34"/>
  <c r="H398" i="34"/>
  <c r="G397" i="34"/>
  <c r="H397" i="34" s="1"/>
  <c r="G396" i="34"/>
  <c r="H396" i="34" s="1"/>
  <c r="G394" i="34"/>
  <c r="H394" i="34" s="1"/>
  <c r="G393" i="34"/>
  <c r="H393" i="34" s="1"/>
  <c r="G392" i="34"/>
  <c r="H392" i="34"/>
  <c r="G391" i="34"/>
  <c r="H391" i="34" s="1"/>
  <c r="G352" i="34"/>
  <c r="H352" i="34" s="1"/>
  <c r="G381" i="34"/>
  <c r="H381" i="34" s="1"/>
  <c r="G380" i="34"/>
  <c r="H380" i="34" s="1"/>
  <c r="G379" i="34"/>
  <c r="H379" i="34"/>
  <c r="G378" i="34"/>
  <c r="H378" i="34" s="1"/>
  <c r="G377" i="34"/>
  <c r="H377" i="34" s="1"/>
  <c r="G376" i="34"/>
  <c r="H376" i="34" s="1"/>
  <c r="G375" i="34"/>
  <c r="H375" i="34" s="1"/>
  <c r="G374" i="34"/>
  <c r="H374" i="34" s="1"/>
  <c r="G373" i="34"/>
  <c r="H373" i="34"/>
  <c r="G372" i="34"/>
  <c r="H372" i="34" s="1"/>
  <c r="G371" i="34"/>
  <c r="H371" i="34"/>
  <c r="G370" i="34"/>
  <c r="H370" i="34" s="1"/>
  <c r="G369" i="34"/>
  <c r="H369" i="34"/>
  <c r="G368" i="34"/>
  <c r="H368" i="34" s="1"/>
  <c r="G367" i="34"/>
  <c r="H367" i="34" s="1"/>
  <c r="G366" i="34"/>
  <c r="H366" i="34"/>
  <c r="G365" i="34"/>
  <c r="H365" i="34"/>
  <c r="G364" i="34"/>
  <c r="H364" i="34" s="1"/>
  <c r="G363" i="34"/>
  <c r="H363" i="34" s="1"/>
  <c r="G362" i="34"/>
  <c r="H362" i="34" s="1"/>
  <c r="G361" i="34"/>
  <c r="H361" i="34" s="1"/>
  <c r="G360" i="34"/>
  <c r="H360" i="34" s="1"/>
  <c r="G359" i="34"/>
  <c r="H359" i="34"/>
  <c r="G358" i="34"/>
  <c r="H358" i="34" s="1"/>
  <c r="G357" i="34"/>
  <c r="H357" i="34" s="1"/>
  <c r="G351" i="34"/>
  <c r="H351" i="34" s="1"/>
  <c r="G350" i="34"/>
  <c r="H350" i="34" s="1"/>
  <c r="G343" i="34"/>
  <c r="H343" i="34"/>
  <c r="G334" i="34"/>
  <c r="H334" i="34" s="1"/>
  <c r="G332" i="34"/>
  <c r="H332" i="34" s="1"/>
  <c r="G330" i="34"/>
  <c r="H330" i="34" s="1"/>
  <c r="G278" i="34"/>
  <c r="H278" i="34" s="1"/>
  <c r="G277" i="34"/>
  <c r="H277" i="34"/>
  <c r="G276" i="34"/>
  <c r="H276" i="34"/>
  <c r="G275" i="34"/>
  <c r="H275" i="34" s="1"/>
  <c r="G263" i="34"/>
  <c r="H263" i="34" s="1"/>
  <c r="G260" i="34"/>
  <c r="H260" i="34" s="1"/>
  <c r="G259" i="34"/>
  <c r="H259" i="34" s="1"/>
  <c r="G258" i="34"/>
  <c r="G254" i="34"/>
  <c r="H254" i="34" s="1"/>
  <c r="E548" i="34"/>
  <c r="G547" i="34"/>
  <c r="H547" i="34" s="1"/>
  <c r="G546" i="34"/>
  <c r="H546" i="34" s="1"/>
  <c r="F537" i="34"/>
  <c r="E537" i="34"/>
  <c r="H524" i="34"/>
  <c r="H523" i="34"/>
  <c r="F502" i="34"/>
  <c r="E502" i="34"/>
  <c r="F499" i="34"/>
  <c r="E499" i="34"/>
  <c r="F496" i="34"/>
  <c r="E496" i="34"/>
  <c r="H494" i="34"/>
  <c r="E493" i="34"/>
  <c r="H488" i="34"/>
  <c r="H465" i="34"/>
  <c r="H454" i="34"/>
  <c r="H453" i="34"/>
  <c r="H435" i="34"/>
  <c r="H434" i="34"/>
  <c r="H430" i="34"/>
  <c r="F427" i="34"/>
  <c r="E427" i="34"/>
  <c r="H395" i="34"/>
  <c r="G389" i="34"/>
  <c r="F389" i="34"/>
  <c r="E389" i="34"/>
  <c r="H388" i="34"/>
  <c r="H387" i="34"/>
  <c r="H386" i="34"/>
  <c r="F385" i="34"/>
  <c r="E385" i="34"/>
  <c r="H384" i="34"/>
  <c r="G383" i="34"/>
  <c r="H383" i="34" s="1"/>
  <c r="G356" i="34"/>
  <c r="H356" i="34" s="1"/>
  <c r="H355" i="34"/>
  <c r="G354" i="34"/>
  <c r="H354" i="34" s="1"/>
  <c r="G353" i="34"/>
  <c r="H353" i="34" s="1"/>
  <c r="H349" i="34"/>
  <c r="H344" i="34"/>
  <c r="H342" i="34"/>
  <c r="H341" i="34"/>
  <c r="H340" i="34"/>
  <c r="H338" i="34"/>
  <c r="H337" i="34"/>
  <c r="H336" i="34"/>
  <c r="H335" i="34"/>
  <c r="H333" i="34"/>
  <c r="H331" i="34"/>
  <c r="H329" i="34"/>
  <c r="H328" i="34"/>
  <c r="H326" i="34"/>
  <c r="H325" i="34"/>
  <c r="H324" i="34"/>
  <c r="H323" i="34"/>
  <c r="H322" i="34"/>
  <c r="H321" i="34"/>
  <c r="H320" i="34"/>
  <c r="H319" i="34"/>
  <c r="H318" i="34"/>
  <c r="H317" i="34"/>
  <c r="H316" i="34"/>
  <c r="H315" i="34"/>
  <c r="H314" i="34"/>
  <c r="H313" i="34"/>
  <c r="H312" i="34"/>
  <c r="H311" i="34"/>
  <c r="H310" i="34"/>
  <c r="H309" i="34"/>
  <c r="H308" i="34"/>
  <c r="H307" i="34"/>
  <c r="H306" i="34"/>
  <c r="H305" i="34"/>
  <c r="H304" i="34"/>
  <c r="H303" i="34"/>
  <c r="H302" i="34"/>
  <c r="H301" i="34"/>
  <c r="H300" i="34"/>
  <c r="H299" i="34"/>
  <c r="H298" i="34"/>
  <c r="H297" i="34"/>
  <c r="H296" i="34"/>
  <c r="H295" i="34"/>
  <c r="H294" i="34"/>
  <c r="H293" i="34"/>
  <c r="H292" i="34"/>
  <c r="E287" i="34"/>
  <c r="G286" i="34"/>
  <c r="H286" i="34" s="1"/>
  <c r="G285" i="34"/>
  <c r="H285" i="34"/>
  <c r="G284" i="34"/>
  <c r="H284" i="34" s="1"/>
  <c r="H283" i="34"/>
  <c r="H282" i="34"/>
  <c r="H281" i="34"/>
  <c r="H280" i="34"/>
  <c r="H279" i="34"/>
  <c r="H274" i="34"/>
  <c r="H273" i="34"/>
  <c r="H272" i="34"/>
  <c r="H271" i="34"/>
  <c r="G270" i="34"/>
  <c r="H270" i="34"/>
  <c r="H269" i="34"/>
  <c r="H268" i="34"/>
  <c r="H267" i="34"/>
  <c r="H266" i="34"/>
  <c r="H265" i="34"/>
  <c r="H264" i="34"/>
  <c r="H262" i="34"/>
  <c r="H261" i="34"/>
  <c r="H257" i="34"/>
  <c r="H256" i="34"/>
  <c r="H255" i="34"/>
  <c r="H253" i="34"/>
  <c r="H252" i="34"/>
  <c r="H251" i="34"/>
  <c r="H250" i="34"/>
  <c r="H249" i="34"/>
  <c r="H248" i="34"/>
  <c r="H246" i="34"/>
  <c r="H245" i="34"/>
  <c r="H244" i="34"/>
  <c r="H243" i="34"/>
  <c r="H242" i="34"/>
  <c r="H241" i="34"/>
  <c r="H240" i="34"/>
  <c r="H239" i="34"/>
  <c r="H238" i="34"/>
  <c r="H237" i="34"/>
  <c r="H236" i="34"/>
  <c r="H235" i="34"/>
  <c r="H234" i="34"/>
  <c r="H233" i="34"/>
  <c r="H232" i="34"/>
  <c r="H231" i="34"/>
  <c r="H226" i="34"/>
  <c r="H225" i="34"/>
  <c r="H224" i="34"/>
  <c r="H223" i="34"/>
  <c r="H222" i="34"/>
  <c r="H221" i="34"/>
  <c r="H220" i="34"/>
  <c r="H219" i="34"/>
  <c r="H218" i="34"/>
  <c r="H217" i="34"/>
  <c r="H216" i="34"/>
  <c r="H215" i="34"/>
  <c r="H214" i="34"/>
  <c r="H213" i="34"/>
  <c r="H212" i="34"/>
  <c r="H211" i="34"/>
  <c r="H210" i="34"/>
  <c r="H209" i="34"/>
  <c r="H208" i="34"/>
  <c r="H207" i="34"/>
  <c r="H206" i="34"/>
  <c r="H205" i="34"/>
  <c r="H204" i="34"/>
  <c r="H203" i="34"/>
  <c r="H202" i="34"/>
  <c r="H201" i="34"/>
  <c r="H200" i="34"/>
  <c r="H199" i="34"/>
  <c r="H198" i="34"/>
  <c r="H197" i="34"/>
  <c r="H196" i="34"/>
  <c r="G195" i="34"/>
  <c r="F195" i="34"/>
  <c r="E195" i="34"/>
  <c r="H194" i="34"/>
  <c r="H193" i="34"/>
  <c r="H192" i="34"/>
  <c r="H191" i="34"/>
  <c r="H190" i="34"/>
  <c r="H189" i="34"/>
  <c r="H188" i="34"/>
  <c r="H187" i="34"/>
  <c r="H186" i="34"/>
  <c r="H185" i="34"/>
  <c r="H184" i="34"/>
  <c r="H183" i="34"/>
  <c r="H182" i="34"/>
  <c r="H181" i="34"/>
  <c r="H180" i="34"/>
  <c r="H179" i="34"/>
  <c r="H178" i="34"/>
  <c r="H177" i="34"/>
  <c r="H176" i="34"/>
  <c r="H175" i="34"/>
  <c r="H174" i="34"/>
  <c r="H169" i="34"/>
  <c r="H168" i="34"/>
  <c r="H167" i="34"/>
  <c r="H166" i="34"/>
  <c r="H165" i="34"/>
  <c r="H164" i="34"/>
  <c r="H163" i="34"/>
  <c r="H162" i="34"/>
  <c r="G161" i="34"/>
  <c r="F161" i="34"/>
  <c r="E161" i="34"/>
  <c r="H160" i="34"/>
  <c r="H159" i="34"/>
  <c r="H158" i="34"/>
  <c r="H157" i="34"/>
  <c r="H156" i="34"/>
  <c r="H155" i="34"/>
  <c r="H154" i="34"/>
  <c r="H153" i="34"/>
  <c r="H152" i="34"/>
  <c r="H151" i="34"/>
  <c r="H150" i="34"/>
  <c r="H149" i="34"/>
  <c r="H148" i="34"/>
  <c r="H147" i="34"/>
  <c r="H146" i="34"/>
  <c r="H145" i="34"/>
  <c r="H144" i="34"/>
  <c r="H143" i="34"/>
  <c r="H142" i="34"/>
  <c r="H141" i="34"/>
  <c r="H140" i="34"/>
  <c r="H139" i="34"/>
  <c r="H138" i="34"/>
  <c r="H137" i="34"/>
  <c r="H136" i="34"/>
  <c r="H135" i="34"/>
  <c r="H134" i="34"/>
  <c r="H133" i="34"/>
  <c r="H132" i="34"/>
  <c r="H131" i="34"/>
  <c r="H130" i="34"/>
  <c r="H129" i="34"/>
  <c r="H128" i="34"/>
  <c r="H127" i="34"/>
  <c r="H126" i="34"/>
  <c r="H125" i="34"/>
  <c r="H124" i="34"/>
  <c r="H123" i="34"/>
  <c r="H122" i="34"/>
  <c r="H121" i="34"/>
  <c r="H120" i="34"/>
  <c r="H119" i="34"/>
  <c r="H118" i="34"/>
  <c r="H117" i="34"/>
  <c r="H116" i="34"/>
  <c r="H111" i="34"/>
  <c r="H110" i="34"/>
  <c r="H109" i="34"/>
  <c r="H108" i="34"/>
  <c r="H107" i="34"/>
  <c r="H106" i="34"/>
  <c r="H105" i="34"/>
  <c r="H104" i="34"/>
  <c r="H103" i="34"/>
  <c r="H102" i="34"/>
  <c r="H101" i="34"/>
  <c r="H100" i="34"/>
  <c r="H99" i="34"/>
  <c r="H98" i="34"/>
  <c r="H97" i="34"/>
  <c r="H96" i="34"/>
  <c r="H95" i="34"/>
  <c r="H94" i="34"/>
  <c r="H93" i="34"/>
  <c r="H92" i="34"/>
  <c r="H91" i="34"/>
  <c r="H90" i="34"/>
  <c r="H89" i="34"/>
  <c r="H88" i="34"/>
  <c r="H87" i="34"/>
  <c r="H86" i="34"/>
  <c r="H85" i="34"/>
  <c r="H84" i="34"/>
  <c r="H83" i="34"/>
  <c r="H82" i="34"/>
  <c r="H81" i="34"/>
  <c r="H80" i="34"/>
  <c r="H79" i="34"/>
  <c r="G78" i="34"/>
  <c r="F78" i="34"/>
  <c r="E78" i="34"/>
  <c r="H77" i="34"/>
  <c r="H76" i="34"/>
  <c r="H75" i="34"/>
  <c r="H74" i="34"/>
  <c r="H73" i="34"/>
  <c r="H72" i="34"/>
  <c r="H71" i="34"/>
  <c r="H70" i="34"/>
  <c r="H69" i="34"/>
  <c r="H68" i="34"/>
  <c r="H67" i="34"/>
  <c r="H66" i="34"/>
  <c r="H65" i="34"/>
  <c r="H64" i="34"/>
  <c r="H63" i="34"/>
  <c r="H62" i="34"/>
  <c r="H61" i="34"/>
  <c r="H60" i="34"/>
  <c r="H55" i="34"/>
  <c r="H54" i="34"/>
  <c r="H53" i="34"/>
  <c r="H52" i="34"/>
  <c r="H51" i="34"/>
  <c r="H50" i="34"/>
  <c r="H78" i="34" s="1"/>
  <c r="H49" i="34"/>
  <c r="H48" i="34"/>
  <c r="H47" i="34"/>
  <c r="H46" i="34"/>
  <c r="H45" i="34"/>
  <c r="H44" i="34"/>
  <c r="G43" i="34"/>
  <c r="F43" i="34"/>
  <c r="F549" i="34" s="1"/>
  <c r="F552" i="34" s="1"/>
  <c r="E43" i="34"/>
  <c r="H42" i="34"/>
  <c r="H41" i="34"/>
  <c r="H40" i="34"/>
  <c r="H39" i="34"/>
  <c r="H38" i="34"/>
  <c r="H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G24" i="34"/>
  <c r="F24" i="34"/>
  <c r="E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H8" i="34"/>
  <c r="H7" i="34"/>
  <c r="H6" i="34"/>
  <c r="H5" i="34"/>
  <c r="H523" i="33"/>
  <c r="G286" i="33"/>
  <c r="H286" i="33" s="1"/>
  <c r="G285" i="33"/>
  <c r="G284" i="33"/>
  <c r="G278" i="33"/>
  <c r="H278" i="33" s="1"/>
  <c r="G277" i="33"/>
  <c r="H277" i="33"/>
  <c r="G276" i="33"/>
  <c r="G275" i="33"/>
  <c r="G271" i="33"/>
  <c r="G270" i="33"/>
  <c r="H270" i="33" s="1"/>
  <c r="G264" i="33"/>
  <c r="H264" i="33" s="1"/>
  <c r="G263" i="33"/>
  <c r="H263" i="33" s="1"/>
  <c r="G260" i="33"/>
  <c r="H260" i="33" s="1"/>
  <c r="G259" i="33"/>
  <c r="G258" i="33"/>
  <c r="H258" i="33"/>
  <c r="G257" i="33"/>
  <c r="G256" i="33"/>
  <c r="G255" i="33"/>
  <c r="H255" i="33" s="1"/>
  <c r="G254" i="33"/>
  <c r="G250" i="33"/>
  <c r="H250" i="33" s="1"/>
  <c r="G249" i="33"/>
  <c r="H249" i="33" s="1"/>
  <c r="G247" i="33"/>
  <c r="H247" i="33"/>
  <c r="G231" i="33"/>
  <c r="H231" i="33" s="1"/>
  <c r="G222" i="33"/>
  <c r="H222" i="33" s="1"/>
  <c r="G216" i="33"/>
  <c r="G214" i="33"/>
  <c r="G212" i="33"/>
  <c r="G211" i="33"/>
  <c r="F547" i="33"/>
  <c r="E547" i="33"/>
  <c r="G546" i="33"/>
  <c r="H546" i="33" s="1"/>
  <c r="G545" i="33"/>
  <c r="H545" i="33" s="1"/>
  <c r="G544" i="33"/>
  <c r="H544" i="33" s="1"/>
  <c r="G541" i="33"/>
  <c r="H541" i="33" s="1"/>
  <c r="F533" i="33"/>
  <c r="E533" i="33"/>
  <c r="F525" i="33"/>
  <c r="E525" i="33"/>
  <c r="H524" i="33"/>
  <c r="G522" i="33"/>
  <c r="H522" i="33" s="1"/>
  <c r="G518" i="33"/>
  <c r="H518" i="33" s="1"/>
  <c r="G516" i="33"/>
  <c r="H516" i="33"/>
  <c r="G514" i="33"/>
  <c r="H514" i="33" s="1"/>
  <c r="G512" i="33"/>
  <c r="H512" i="33" s="1"/>
  <c r="G511" i="33"/>
  <c r="H511" i="33" s="1"/>
  <c r="F502" i="33"/>
  <c r="E502" i="33"/>
  <c r="F499" i="33"/>
  <c r="E499" i="33"/>
  <c r="F496" i="33"/>
  <c r="E496" i="33"/>
  <c r="F493" i="33"/>
  <c r="E493" i="33"/>
  <c r="H492" i="33"/>
  <c r="G491" i="33"/>
  <c r="H491" i="33" s="1"/>
  <c r="G490" i="33"/>
  <c r="H490" i="33"/>
  <c r="G489" i="33"/>
  <c r="H489" i="33" s="1"/>
  <c r="G488" i="33"/>
  <c r="H488" i="33" s="1"/>
  <c r="G487" i="33"/>
  <c r="H487" i="33" s="1"/>
  <c r="G486" i="33"/>
  <c r="H486" i="33" s="1"/>
  <c r="G485" i="33"/>
  <c r="H485" i="33" s="1"/>
  <c r="G454" i="33"/>
  <c r="H454" i="33" s="1"/>
  <c r="F427" i="33"/>
  <c r="E427" i="33"/>
  <c r="G405" i="33"/>
  <c r="H405" i="33" s="1"/>
  <c r="G394" i="33"/>
  <c r="H394" i="33" s="1"/>
  <c r="G389" i="33"/>
  <c r="F389" i="33"/>
  <c r="E389" i="33"/>
  <c r="H388" i="33"/>
  <c r="H387" i="33"/>
  <c r="H386" i="33"/>
  <c r="H389" i="33" s="1"/>
  <c r="F385" i="33"/>
  <c r="E385" i="33"/>
  <c r="H384" i="33"/>
  <c r="G383" i="33"/>
  <c r="H383" i="33"/>
  <c r="G382" i="33"/>
  <c r="H382" i="33" s="1"/>
  <c r="G380" i="33"/>
  <c r="H380" i="33" s="1"/>
  <c r="G379" i="33"/>
  <c r="H379" i="33" s="1"/>
  <c r="G376" i="33"/>
  <c r="H376" i="33" s="1"/>
  <c r="G373" i="33"/>
  <c r="H373" i="33" s="1"/>
  <c r="G356" i="33"/>
  <c r="H356" i="33" s="1"/>
  <c r="G354" i="33"/>
  <c r="H354" i="33"/>
  <c r="G353" i="33"/>
  <c r="H353" i="33" s="1"/>
  <c r="H338" i="33"/>
  <c r="H337" i="33"/>
  <c r="H336" i="33"/>
  <c r="H335" i="33"/>
  <c r="H326" i="33"/>
  <c r="H325" i="33"/>
  <c r="H324" i="33"/>
  <c r="H323" i="33"/>
  <c r="H322" i="33"/>
  <c r="H321" i="33"/>
  <c r="H320" i="33"/>
  <c r="H319" i="33"/>
  <c r="H318" i="33"/>
  <c r="H317" i="33"/>
  <c r="H316" i="33"/>
  <c r="H315" i="33"/>
  <c r="H314" i="33"/>
  <c r="H313" i="33"/>
  <c r="H312" i="33"/>
  <c r="H311" i="33"/>
  <c r="H310" i="33"/>
  <c r="H309" i="33"/>
  <c r="H308" i="33"/>
  <c r="H307" i="33"/>
  <c r="H306" i="33"/>
  <c r="H305" i="33"/>
  <c r="H304" i="33"/>
  <c r="H303" i="33"/>
  <c r="H302" i="33"/>
  <c r="H301" i="33"/>
  <c r="H300" i="33"/>
  <c r="H299" i="33"/>
  <c r="H298" i="33"/>
  <c r="H297" i="33"/>
  <c r="H296" i="33"/>
  <c r="H295" i="33"/>
  <c r="H294" i="33"/>
  <c r="H293" i="33"/>
  <c r="H292" i="33"/>
  <c r="F287" i="33"/>
  <c r="E287" i="33"/>
  <c r="H285" i="33"/>
  <c r="H284" i="33"/>
  <c r="H283" i="33"/>
  <c r="H282" i="33"/>
  <c r="H281" i="33"/>
  <c r="H280" i="33"/>
  <c r="H279" i="33"/>
  <c r="H276" i="33"/>
  <c r="H275" i="33"/>
  <c r="H274" i="33"/>
  <c r="H273" i="33"/>
  <c r="H272" i="33"/>
  <c r="H271" i="33"/>
  <c r="H269" i="33"/>
  <c r="H268" i="33"/>
  <c r="H267" i="33"/>
  <c r="H266" i="33"/>
  <c r="H265" i="33"/>
  <c r="H262" i="33"/>
  <c r="H261" i="33"/>
  <c r="H259" i="33"/>
  <c r="H257" i="33"/>
  <c r="H256" i="33"/>
  <c r="H254" i="33"/>
  <c r="H253" i="33"/>
  <c r="H252" i="33"/>
  <c r="H251" i="33"/>
  <c r="H248" i="33"/>
  <c r="H246" i="33"/>
  <c r="H245" i="33"/>
  <c r="H244" i="33"/>
  <c r="H243" i="33"/>
  <c r="H242" i="33"/>
  <c r="H241" i="33"/>
  <c r="H240" i="33"/>
  <c r="H239" i="33"/>
  <c r="H238" i="33"/>
  <c r="H237" i="33"/>
  <c r="H236" i="33"/>
  <c r="H235" i="33"/>
  <c r="H234" i="33"/>
  <c r="H233" i="33"/>
  <c r="H232" i="33"/>
  <c r="H226" i="33"/>
  <c r="H225" i="33"/>
  <c r="H224" i="33"/>
  <c r="H223" i="33"/>
  <c r="H221" i="33"/>
  <c r="H220" i="33"/>
  <c r="H219" i="33"/>
  <c r="H218" i="33"/>
  <c r="H217" i="33"/>
  <c r="H216" i="33"/>
  <c r="H215" i="33"/>
  <c r="H214" i="33"/>
  <c r="H213" i="33"/>
  <c r="H212" i="33"/>
  <c r="H210" i="33"/>
  <c r="H209" i="33"/>
  <c r="H208" i="33"/>
  <c r="H207" i="33"/>
  <c r="H206" i="33"/>
  <c r="H205" i="33"/>
  <c r="H204" i="33"/>
  <c r="H203" i="33"/>
  <c r="H202" i="33"/>
  <c r="H201" i="33"/>
  <c r="H200" i="33"/>
  <c r="H199" i="33"/>
  <c r="H198" i="33"/>
  <c r="H197" i="33"/>
  <c r="H196" i="33"/>
  <c r="G195" i="33"/>
  <c r="F195" i="33"/>
  <c r="E195" i="33"/>
  <c r="H194" i="33"/>
  <c r="H193" i="33"/>
  <c r="H192" i="33"/>
  <c r="H191" i="33"/>
  <c r="H190" i="33"/>
  <c r="H189" i="33"/>
  <c r="H188" i="33"/>
  <c r="H187" i="33"/>
  <c r="H186" i="33"/>
  <c r="H185" i="33"/>
  <c r="H184" i="33"/>
  <c r="H183" i="33"/>
  <c r="H182" i="33"/>
  <c r="H181" i="33"/>
  <c r="H180" i="33"/>
  <c r="H179" i="33"/>
  <c r="H178" i="33"/>
  <c r="H177" i="33"/>
  <c r="H176" i="33"/>
  <c r="H175" i="33"/>
  <c r="H174" i="33"/>
  <c r="H169" i="33"/>
  <c r="H168" i="33"/>
  <c r="H167" i="33"/>
  <c r="H166" i="33"/>
  <c r="H165" i="33"/>
  <c r="H164" i="33"/>
  <c r="H163" i="33"/>
  <c r="H162" i="33"/>
  <c r="G161" i="33"/>
  <c r="F161" i="33"/>
  <c r="E161" i="33"/>
  <c r="H160" i="33"/>
  <c r="H159" i="33"/>
  <c r="H158" i="33"/>
  <c r="H157" i="33"/>
  <c r="H156" i="33"/>
  <c r="H155" i="33"/>
  <c r="H154" i="33"/>
  <c r="H153" i="33"/>
  <c r="H152" i="33"/>
  <c r="H151" i="33"/>
  <c r="H150" i="33"/>
  <c r="H149" i="33"/>
  <c r="H148" i="33"/>
  <c r="H147" i="33"/>
  <c r="H146" i="33"/>
  <c r="H145" i="33"/>
  <c r="H144" i="33"/>
  <c r="H143" i="33"/>
  <c r="H142" i="33"/>
  <c r="H141" i="33"/>
  <c r="H140" i="33"/>
  <c r="H139" i="33"/>
  <c r="H138" i="33"/>
  <c r="H137" i="33"/>
  <c r="H136" i="33"/>
  <c r="H135" i="33"/>
  <c r="H134" i="33"/>
  <c r="H133" i="33"/>
  <c r="H132" i="33"/>
  <c r="H131" i="33"/>
  <c r="H130" i="33"/>
  <c r="H129" i="33"/>
  <c r="H128" i="33"/>
  <c r="H127" i="33"/>
  <c r="H126" i="33"/>
  <c r="H125" i="33"/>
  <c r="H124" i="33"/>
  <c r="H123" i="33"/>
  <c r="H122" i="33"/>
  <c r="H121" i="33"/>
  <c r="H120" i="33"/>
  <c r="H119" i="33"/>
  <c r="H118" i="33"/>
  <c r="H117" i="33"/>
  <c r="H116" i="33"/>
  <c r="H111" i="33"/>
  <c r="H110" i="33"/>
  <c r="H109" i="33"/>
  <c r="H108" i="33"/>
  <c r="H107" i="33"/>
  <c r="H106" i="33"/>
  <c r="H105" i="33"/>
  <c r="H104" i="33"/>
  <c r="H103" i="33"/>
  <c r="H102" i="33"/>
  <c r="H101" i="33"/>
  <c r="H100" i="33"/>
  <c r="H99" i="33"/>
  <c r="H98" i="33"/>
  <c r="H97" i="33"/>
  <c r="H96" i="33"/>
  <c r="H95" i="33"/>
  <c r="H94" i="33"/>
  <c r="H93" i="33"/>
  <c r="H92" i="33"/>
  <c r="H91" i="33"/>
  <c r="H90" i="33"/>
  <c r="H89" i="33"/>
  <c r="H88" i="33"/>
  <c r="H87" i="33"/>
  <c r="H86" i="33"/>
  <c r="H85" i="33"/>
  <c r="H84" i="33"/>
  <c r="H83" i="33"/>
  <c r="H82" i="33"/>
  <c r="H81" i="33"/>
  <c r="H80" i="33"/>
  <c r="H79" i="33"/>
  <c r="G78" i="33"/>
  <c r="F78" i="33"/>
  <c r="E78" i="33"/>
  <c r="H77" i="33"/>
  <c r="H76" i="33"/>
  <c r="H75" i="33"/>
  <c r="H74" i="33"/>
  <c r="H73" i="33"/>
  <c r="H72" i="33"/>
  <c r="H71" i="33"/>
  <c r="H70" i="33"/>
  <c r="H69" i="33"/>
  <c r="H68" i="33"/>
  <c r="H67" i="33"/>
  <c r="H66" i="33"/>
  <c r="H65" i="33"/>
  <c r="H64" i="33"/>
  <c r="H63" i="33"/>
  <c r="H62" i="33"/>
  <c r="H61" i="33"/>
  <c r="H60" i="33"/>
  <c r="H55" i="33"/>
  <c r="H54" i="33"/>
  <c r="H53" i="33"/>
  <c r="H52" i="33"/>
  <c r="H51" i="33"/>
  <c r="H50" i="33"/>
  <c r="H49" i="33"/>
  <c r="H48" i="33"/>
  <c r="H47" i="33"/>
  <c r="H46" i="33"/>
  <c r="H45" i="33"/>
  <c r="H44" i="33"/>
  <c r="G43" i="33"/>
  <c r="F43" i="33"/>
  <c r="E43" i="33"/>
  <c r="H42" i="33"/>
  <c r="H41" i="33"/>
  <c r="H40" i="33"/>
  <c r="H39" i="33"/>
  <c r="H38" i="33"/>
  <c r="H37" i="33"/>
  <c r="H36" i="33"/>
  <c r="H35" i="33"/>
  <c r="H34" i="33"/>
  <c r="H33" i="33"/>
  <c r="H32" i="33"/>
  <c r="H31" i="33"/>
  <c r="H30" i="33"/>
  <c r="H29" i="33"/>
  <c r="H28" i="33"/>
  <c r="H27" i="33"/>
  <c r="H26" i="33"/>
  <c r="H25" i="33"/>
  <c r="G24" i="33"/>
  <c r="F24" i="33"/>
  <c r="E24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H8" i="33"/>
  <c r="H7" i="33"/>
  <c r="H6" i="33"/>
  <c r="H5" i="33"/>
  <c r="F524" i="32"/>
  <c r="E524" i="32"/>
  <c r="F493" i="32"/>
  <c r="E493" i="32"/>
  <c r="H492" i="32"/>
  <c r="H523" i="32"/>
  <c r="G278" i="32"/>
  <c r="G277" i="32"/>
  <c r="H277" i="32" s="1"/>
  <c r="G276" i="32"/>
  <c r="H276" i="32" s="1"/>
  <c r="G275" i="32"/>
  <c r="H275" i="32"/>
  <c r="G353" i="32"/>
  <c r="H353" i="32" s="1"/>
  <c r="G354" i="32"/>
  <c r="H354" i="32" s="1"/>
  <c r="G356" i="32"/>
  <c r="H356" i="32" s="1"/>
  <c r="G540" i="32"/>
  <c r="H540" i="32" s="1"/>
  <c r="G541" i="32"/>
  <c r="H541" i="32" s="1"/>
  <c r="G542" i="32"/>
  <c r="G543" i="33" s="1"/>
  <c r="H543" i="33" s="1"/>
  <c r="G543" i="32"/>
  <c r="G544" i="32"/>
  <c r="H544" i="32" s="1"/>
  <c r="G545" i="32"/>
  <c r="H545" i="32" s="1"/>
  <c r="G531" i="32"/>
  <c r="G506" i="32"/>
  <c r="G506" i="33" s="1"/>
  <c r="H506" i="33" s="1"/>
  <c r="G508" i="32"/>
  <c r="G508" i="33" s="1"/>
  <c r="H508" i="33" s="1"/>
  <c r="G511" i="32"/>
  <c r="H511" i="32" s="1"/>
  <c r="G512" i="32"/>
  <c r="H512" i="32" s="1"/>
  <c r="G514" i="32"/>
  <c r="H514" i="32"/>
  <c r="G516" i="32"/>
  <c r="H516" i="32" s="1"/>
  <c r="G518" i="32"/>
  <c r="H518" i="32" s="1"/>
  <c r="G519" i="32"/>
  <c r="H519" i="32" s="1"/>
  <c r="G519" i="33"/>
  <c r="H519" i="33" s="1"/>
  <c r="G520" i="32"/>
  <c r="G520" i="33" s="1"/>
  <c r="H520" i="33" s="1"/>
  <c r="G521" i="32"/>
  <c r="H521" i="32" s="1"/>
  <c r="G522" i="32"/>
  <c r="H522" i="32" s="1"/>
  <c r="G477" i="32"/>
  <c r="G477" i="33" s="1"/>
  <c r="H477" i="33" s="1"/>
  <c r="G478" i="32"/>
  <c r="G478" i="33" s="1"/>
  <c r="H478" i="33" s="1"/>
  <c r="G479" i="32"/>
  <c r="G480" i="32"/>
  <c r="G480" i="33" s="1"/>
  <c r="H480" i="33" s="1"/>
  <c r="G481" i="32"/>
  <c r="G481" i="33" s="1"/>
  <c r="H481" i="33" s="1"/>
  <c r="G482" i="32"/>
  <c r="G483" i="32"/>
  <c r="H483" i="32" s="1"/>
  <c r="G484" i="32"/>
  <c r="G484" i="33"/>
  <c r="H484" i="33" s="1"/>
  <c r="G485" i="32"/>
  <c r="H485" i="32" s="1"/>
  <c r="G486" i="32"/>
  <c r="H486" i="32" s="1"/>
  <c r="G487" i="32"/>
  <c r="H487" i="32" s="1"/>
  <c r="G488" i="32"/>
  <c r="H488" i="32" s="1"/>
  <c r="G489" i="32"/>
  <c r="H489" i="32"/>
  <c r="G490" i="32"/>
  <c r="H490" i="32" s="1"/>
  <c r="G491" i="32"/>
  <c r="H491" i="32" s="1"/>
  <c r="G454" i="32"/>
  <c r="H454" i="32"/>
  <c r="G419" i="32"/>
  <c r="G419" i="33" s="1"/>
  <c r="H419" i="33" s="1"/>
  <c r="G394" i="32"/>
  <c r="H394" i="32" s="1"/>
  <c r="G405" i="32"/>
  <c r="H405" i="32" s="1"/>
  <c r="G378" i="32"/>
  <c r="G379" i="32"/>
  <c r="H379" i="32" s="1"/>
  <c r="G380" i="32"/>
  <c r="H380" i="32" s="1"/>
  <c r="G381" i="32"/>
  <c r="G381" i="33" s="1"/>
  <c r="H381" i="33" s="1"/>
  <c r="G382" i="32"/>
  <c r="G383" i="32"/>
  <c r="H383" i="32"/>
  <c r="G373" i="32"/>
  <c r="H373" i="32" s="1"/>
  <c r="G375" i="32"/>
  <c r="G375" i="33" s="1"/>
  <c r="H375" i="33" s="1"/>
  <c r="G376" i="32"/>
  <c r="H376" i="32" s="1"/>
  <c r="G344" i="32"/>
  <c r="G344" i="33" s="1"/>
  <c r="H344" i="33" s="1"/>
  <c r="G343" i="32"/>
  <c r="G342" i="32"/>
  <c r="G342" i="33" s="1"/>
  <c r="H342" i="33" s="1"/>
  <c r="G341" i="32"/>
  <c r="H341" i="32" s="1"/>
  <c r="G341" i="33"/>
  <c r="H341" i="33"/>
  <c r="G340" i="32"/>
  <c r="H340" i="32" s="1"/>
  <c r="G339" i="32"/>
  <c r="G339" i="33"/>
  <c r="H339" i="33" s="1"/>
  <c r="H339" i="32"/>
  <c r="G286" i="32"/>
  <c r="H286" i="32"/>
  <c r="G285" i="32"/>
  <c r="G284" i="32"/>
  <c r="H284" i="32" s="1"/>
  <c r="G270" i="32"/>
  <c r="H270" i="32" s="1"/>
  <c r="G264" i="32"/>
  <c r="H264" i="32" s="1"/>
  <c r="G263" i="32"/>
  <c r="H263" i="32" s="1"/>
  <c r="G260" i="32"/>
  <c r="H260" i="32" s="1"/>
  <c r="G259" i="32"/>
  <c r="H259" i="32" s="1"/>
  <c r="G258" i="32"/>
  <c r="H258" i="32" s="1"/>
  <c r="G257" i="32"/>
  <c r="G256" i="32"/>
  <c r="H256" i="32" s="1"/>
  <c r="G255" i="32"/>
  <c r="H255" i="32" s="1"/>
  <c r="G254" i="32"/>
  <c r="H254" i="32" s="1"/>
  <c r="G250" i="32"/>
  <c r="H250" i="32" s="1"/>
  <c r="G249" i="32"/>
  <c r="H249" i="32" s="1"/>
  <c r="G247" i="32"/>
  <c r="H247" i="32" s="1"/>
  <c r="G231" i="32"/>
  <c r="H231" i="32" s="1"/>
  <c r="G222" i="32"/>
  <c r="H222" i="32" s="1"/>
  <c r="G216" i="32"/>
  <c r="H216" i="32" s="1"/>
  <c r="G214" i="32"/>
  <c r="H214" i="32" s="1"/>
  <c r="G212" i="32"/>
  <c r="H212" i="32"/>
  <c r="G211" i="32"/>
  <c r="F546" i="32"/>
  <c r="E546" i="32"/>
  <c r="H543" i="32"/>
  <c r="F532" i="32"/>
  <c r="E532" i="32"/>
  <c r="F502" i="32"/>
  <c r="E502" i="32"/>
  <c r="F499" i="32"/>
  <c r="E499" i="32"/>
  <c r="F496" i="32"/>
  <c r="E496" i="32"/>
  <c r="F427" i="32"/>
  <c r="E427" i="32"/>
  <c r="G389" i="32"/>
  <c r="F389" i="32"/>
  <c r="E389" i="32"/>
  <c r="H388" i="32"/>
  <c r="H387" i="32"/>
  <c r="H386" i="32"/>
  <c r="F385" i="32"/>
  <c r="E385" i="32"/>
  <c r="H384" i="32"/>
  <c r="H382" i="32"/>
  <c r="H338" i="32"/>
  <c r="H337" i="32"/>
  <c r="H336" i="32"/>
  <c r="H335" i="32"/>
  <c r="H326" i="32"/>
  <c r="H325" i="32"/>
  <c r="H324" i="32"/>
  <c r="H323" i="32"/>
  <c r="H322" i="32"/>
  <c r="H321" i="32"/>
  <c r="H320" i="32"/>
  <c r="H319" i="32"/>
  <c r="H318" i="32"/>
  <c r="H317" i="32"/>
  <c r="H316" i="32"/>
  <c r="H315" i="32"/>
  <c r="H314" i="32"/>
  <c r="H313" i="32"/>
  <c r="H312" i="32"/>
  <c r="H311" i="32"/>
  <c r="H310" i="32"/>
  <c r="H309" i="32"/>
  <c r="H308" i="32"/>
  <c r="H307" i="32"/>
  <c r="H306" i="32"/>
  <c r="H305" i="32"/>
  <c r="H304" i="32"/>
  <c r="H303" i="32"/>
  <c r="H302" i="32"/>
  <c r="H301" i="32"/>
  <c r="H300" i="32"/>
  <c r="H299" i="32"/>
  <c r="H298" i="32"/>
  <c r="H297" i="32"/>
  <c r="H296" i="32"/>
  <c r="H295" i="32"/>
  <c r="H294" i="32"/>
  <c r="H293" i="32"/>
  <c r="H292" i="32"/>
  <c r="F287" i="32"/>
  <c r="E287" i="32"/>
  <c r="H285" i="32"/>
  <c r="H283" i="32"/>
  <c r="H282" i="32"/>
  <c r="H281" i="32"/>
  <c r="H280" i="32"/>
  <c r="H279" i="32"/>
  <c r="H278" i="32"/>
  <c r="H274" i="32"/>
  <c r="H273" i="32"/>
  <c r="H272" i="32"/>
  <c r="H271" i="32"/>
  <c r="H269" i="32"/>
  <c r="H268" i="32"/>
  <c r="H267" i="32"/>
  <c r="H266" i="32"/>
  <c r="H265" i="32"/>
  <c r="H262" i="32"/>
  <c r="H261" i="32"/>
  <c r="H257" i="32"/>
  <c r="H253" i="32"/>
  <c r="H252" i="32"/>
  <c r="H251" i="32"/>
  <c r="H248" i="32"/>
  <c r="H246" i="32"/>
  <c r="H245" i="32"/>
  <c r="H244" i="32"/>
  <c r="H243" i="32"/>
  <c r="H242" i="32"/>
  <c r="H241" i="32"/>
  <c r="H240" i="32"/>
  <c r="H239" i="32"/>
  <c r="H238" i="32"/>
  <c r="H237" i="32"/>
  <c r="H236" i="32"/>
  <c r="H235" i="32"/>
  <c r="H234" i="32"/>
  <c r="H233" i="32"/>
  <c r="H232" i="32"/>
  <c r="H226" i="32"/>
  <c r="H225" i="32"/>
  <c r="H224" i="32"/>
  <c r="H223" i="32"/>
  <c r="H221" i="32"/>
  <c r="H220" i="32"/>
  <c r="H219" i="32"/>
  <c r="H218" i="32"/>
  <c r="H217" i="32"/>
  <c r="H215" i="32"/>
  <c r="H213" i="32"/>
  <c r="H210" i="32"/>
  <c r="H209" i="32"/>
  <c r="H208" i="32"/>
  <c r="H207" i="32"/>
  <c r="H206" i="32"/>
  <c r="H205" i="32"/>
  <c r="H204" i="32"/>
  <c r="H203" i="32"/>
  <c r="H202" i="32"/>
  <c r="H201" i="32"/>
  <c r="H200" i="32"/>
  <c r="H199" i="32"/>
  <c r="H198" i="32"/>
  <c r="H197" i="32"/>
  <c r="H196" i="32"/>
  <c r="G195" i="32"/>
  <c r="F195" i="32"/>
  <c r="E195" i="32"/>
  <c r="H194" i="32"/>
  <c r="H193" i="32"/>
  <c r="H192" i="32"/>
  <c r="H191" i="32"/>
  <c r="H190" i="32"/>
  <c r="H189" i="32"/>
  <c r="H188" i="32"/>
  <c r="H187" i="32"/>
  <c r="H186" i="32"/>
  <c r="H185" i="32"/>
  <c r="H184" i="32"/>
  <c r="H183" i="32"/>
  <c r="H182" i="32"/>
  <c r="H181" i="32"/>
  <c r="H180" i="32"/>
  <c r="H179" i="32"/>
  <c r="H178" i="32"/>
  <c r="H177" i="32"/>
  <c r="H176" i="32"/>
  <c r="H175" i="32"/>
  <c r="H174" i="32"/>
  <c r="H169" i="32"/>
  <c r="H168" i="32"/>
  <c r="H167" i="32"/>
  <c r="H166" i="32"/>
  <c r="H165" i="32"/>
  <c r="H164" i="32"/>
  <c r="H163" i="32"/>
  <c r="H162" i="32"/>
  <c r="G161" i="32"/>
  <c r="F161" i="32"/>
  <c r="E161" i="32"/>
  <c r="H160" i="32"/>
  <c r="H159" i="32"/>
  <c r="H158" i="32"/>
  <c r="H157" i="32"/>
  <c r="H156" i="32"/>
  <c r="H155" i="32"/>
  <c r="H154" i="32"/>
  <c r="H153" i="32"/>
  <c r="H152" i="32"/>
  <c r="H151" i="32"/>
  <c r="H150" i="32"/>
  <c r="H149" i="32"/>
  <c r="H148" i="32"/>
  <c r="H147" i="32"/>
  <c r="H146" i="32"/>
  <c r="H145" i="32"/>
  <c r="H144" i="32"/>
  <c r="H143" i="32"/>
  <c r="H142" i="32"/>
  <c r="H141" i="32"/>
  <c r="H140" i="32"/>
  <c r="H139" i="32"/>
  <c r="H138" i="32"/>
  <c r="H137" i="32"/>
  <c r="H136" i="32"/>
  <c r="H135" i="32"/>
  <c r="H134" i="32"/>
  <c r="H133" i="32"/>
  <c r="H132" i="32"/>
  <c r="H131" i="32"/>
  <c r="H130" i="32"/>
  <c r="H129" i="32"/>
  <c r="H128" i="32"/>
  <c r="H127" i="32"/>
  <c r="H126" i="32"/>
  <c r="H125" i="32"/>
  <c r="H124" i="32"/>
  <c r="H123" i="32"/>
  <c r="H122" i="32"/>
  <c r="H121" i="32"/>
  <c r="H120" i="32"/>
  <c r="H119" i="32"/>
  <c r="H118" i="32"/>
  <c r="H117" i="32"/>
  <c r="H116" i="32"/>
  <c r="H111" i="32"/>
  <c r="H110" i="32"/>
  <c r="H109" i="32"/>
  <c r="H108" i="32"/>
  <c r="H107" i="32"/>
  <c r="H106" i="32"/>
  <c r="H105" i="32"/>
  <c r="H104" i="32"/>
  <c r="H103" i="32"/>
  <c r="H102" i="32"/>
  <c r="H101" i="32"/>
  <c r="H100" i="32"/>
  <c r="H99" i="32"/>
  <c r="H98" i="32"/>
  <c r="H97" i="32"/>
  <c r="H96" i="32"/>
  <c r="H95" i="32"/>
  <c r="H94" i="32"/>
  <c r="H93" i="32"/>
  <c r="H92" i="32"/>
  <c r="H91" i="32"/>
  <c r="H90" i="32"/>
  <c r="H89" i="32"/>
  <c r="H88" i="32"/>
  <c r="H87" i="32"/>
  <c r="H86" i="32"/>
  <c r="H85" i="32"/>
  <c r="H84" i="32"/>
  <c r="H161" i="32" s="1"/>
  <c r="H83" i="32"/>
  <c r="H82" i="32"/>
  <c r="H81" i="32"/>
  <c r="H80" i="32"/>
  <c r="H79" i="32"/>
  <c r="G78" i="32"/>
  <c r="F78" i="32"/>
  <c r="E78" i="32"/>
  <c r="H77" i="32"/>
  <c r="H76" i="32"/>
  <c r="H75" i="32"/>
  <c r="H74" i="32"/>
  <c r="H73" i="32"/>
  <c r="H72" i="32"/>
  <c r="H71" i="32"/>
  <c r="H70" i="32"/>
  <c r="H69" i="32"/>
  <c r="H68" i="32"/>
  <c r="H67" i="32"/>
  <c r="H66" i="32"/>
  <c r="H65" i="32"/>
  <c r="H64" i="32"/>
  <c r="H63" i="32"/>
  <c r="H62" i="32"/>
  <c r="H61" i="32"/>
  <c r="H60" i="32"/>
  <c r="H55" i="32"/>
  <c r="H54" i="32"/>
  <c r="H53" i="32"/>
  <c r="H52" i="32"/>
  <c r="H51" i="32"/>
  <c r="H50" i="32"/>
  <c r="H49" i="32"/>
  <c r="H48" i="32"/>
  <c r="H47" i="32"/>
  <c r="H46" i="32"/>
  <c r="H45" i="32"/>
  <c r="H44" i="32"/>
  <c r="G43" i="32"/>
  <c r="F43" i="32"/>
  <c r="F547" i="32" s="1"/>
  <c r="E43" i="32"/>
  <c r="H42" i="32"/>
  <c r="H41" i="32"/>
  <c r="H40" i="32"/>
  <c r="H39" i="32"/>
  <c r="H38" i="32"/>
  <c r="H37" i="32"/>
  <c r="H36" i="32"/>
  <c r="H35" i="32"/>
  <c r="H34" i="32"/>
  <c r="H33" i="32"/>
  <c r="H32" i="32"/>
  <c r="H31" i="32"/>
  <c r="H30" i="32"/>
  <c r="H29" i="32"/>
  <c r="H28" i="32"/>
  <c r="H27" i="32"/>
  <c r="H26" i="32"/>
  <c r="H25" i="32"/>
  <c r="G24" i="32"/>
  <c r="F24" i="32"/>
  <c r="E24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E492" i="31"/>
  <c r="G465" i="31"/>
  <c r="G465" i="32" s="1"/>
  <c r="G465" i="33" s="1"/>
  <c r="H465" i="33" s="1"/>
  <c r="H491" i="31"/>
  <c r="G278" i="31"/>
  <c r="G277" i="31"/>
  <c r="G276" i="31"/>
  <c r="G275" i="31"/>
  <c r="H275" i="31" s="1"/>
  <c r="G537" i="31"/>
  <c r="G528" i="31"/>
  <c r="G530" i="32" s="1"/>
  <c r="G516" i="31"/>
  <c r="H516" i="31" s="1"/>
  <c r="G476" i="31"/>
  <c r="G536" i="31"/>
  <c r="H536" i="31" s="1"/>
  <c r="G538" i="32"/>
  <c r="G539" i="33" s="1"/>
  <c r="H539" i="33" s="1"/>
  <c r="G535" i="31"/>
  <c r="G537" i="32" s="1"/>
  <c r="G534" i="31"/>
  <c r="G527" i="31"/>
  <c r="G529" i="32" s="1"/>
  <c r="H529" i="32" s="1"/>
  <c r="H527" i="31"/>
  <c r="G526" i="31"/>
  <c r="G528" i="32"/>
  <c r="G525" i="31"/>
  <c r="G524" i="31"/>
  <c r="G526" i="32"/>
  <c r="G527" i="33" s="1"/>
  <c r="H527" i="33" s="1"/>
  <c r="G523" i="31"/>
  <c r="G525" i="32" s="1"/>
  <c r="G514" i="31"/>
  <c r="H514" i="31" s="1"/>
  <c r="G512" i="31"/>
  <c r="G513" i="32" s="1"/>
  <c r="G513" i="33" s="1"/>
  <c r="H513" i="33" s="1"/>
  <c r="H512" i="31"/>
  <c r="G509" i="31"/>
  <c r="G510" i="32" s="1"/>
  <c r="G508" i="31"/>
  <c r="G509" i="32" s="1"/>
  <c r="G506" i="31"/>
  <c r="G507" i="32" s="1"/>
  <c r="G504" i="31"/>
  <c r="G505" i="32" s="1"/>
  <c r="H505" i="32" s="1"/>
  <c r="G503" i="31"/>
  <c r="G502" i="31"/>
  <c r="G503" i="33" s="1"/>
  <c r="G500" i="31"/>
  <c r="G501" i="32" s="1"/>
  <c r="G499" i="31"/>
  <c r="G497" i="31"/>
  <c r="G498" i="33" s="1"/>
  <c r="G496" i="31"/>
  <c r="G494" i="31"/>
  <c r="G495" i="32" s="1"/>
  <c r="G493" i="31"/>
  <c r="G495" i="31" s="1"/>
  <c r="G475" i="31"/>
  <c r="G474" i="31"/>
  <c r="G474" i="32" s="1"/>
  <c r="G473" i="31"/>
  <c r="G473" i="32" s="1"/>
  <c r="G472" i="31"/>
  <c r="G471" i="31"/>
  <c r="G471" i="32"/>
  <c r="G471" i="33" s="1"/>
  <c r="H471" i="33" s="1"/>
  <c r="G466" i="31"/>
  <c r="H466" i="31" s="1"/>
  <c r="G464" i="31"/>
  <c r="H464" i="31" s="1"/>
  <c r="G463" i="31"/>
  <c r="G462" i="31"/>
  <c r="G462" i="32"/>
  <c r="G461" i="31"/>
  <c r="G461" i="32" s="1"/>
  <c r="G460" i="31"/>
  <c r="H460" i="31" s="1"/>
  <c r="G459" i="31"/>
  <c r="G458" i="31"/>
  <c r="G458" i="33" s="1"/>
  <c r="H458" i="33" s="1"/>
  <c r="H458" i="31"/>
  <c r="G457" i="31"/>
  <c r="G456" i="31"/>
  <c r="G456" i="32" s="1"/>
  <c r="G455" i="31"/>
  <c r="H455" i="31"/>
  <c r="G453" i="31"/>
  <c r="G453" i="33"/>
  <c r="H453" i="33" s="1"/>
  <c r="G452" i="31"/>
  <c r="G451" i="31"/>
  <c r="G451" i="32" s="1"/>
  <c r="H451" i="32" s="1"/>
  <c r="G450" i="31"/>
  <c r="G450" i="32" s="1"/>
  <c r="G449" i="31"/>
  <c r="G448" i="31"/>
  <c r="G448" i="32" s="1"/>
  <c r="G447" i="31"/>
  <c r="G447" i="32" s="1"/>
  <c r="G446" i="31"/>
  <c r="G445" i="31"/>
  <c r="G445" i="32" s="1"/>
  <c r="G444" i="31"/>
  <c r="G444" i="32" s="1"/>
  <c r="H444" i="32" s="1"/>
  <c r="G443" i="31"/>
  <c r="G443" i="32" s="1"/>
  <c r="H443" i="32" s="1"/>
  <c r="G442" i="31"/>
  <c r="G442" i="32"/>
  <c r="G441" i="31"/>
  <c r="G441" i="32" s="1"/>
  <c r="G441" i="33" s="1"/>
  <c r="H441" i="33" s="1"/>
  <c r="G440" i="31"/>
  <c r="G440" i="32" s="1"/>
  <c r="H440" i="32" s="1"/>
  <c r="G440" i="33"/>
  <c r="H440" i="33"/>
  <c r="G439" i="31"/>
  <c r="G438" i="31"/>
  <c r="G438" i="32" s="1"/>
  <c r="G437" i="31"/>
  <c r="G436" i="31"/>
  <c r="G436" i="33" s="1"/>
  <c r="H436" i="33" s="1"/>
  <c r="G435" i="31"/>
  <c r="H435" i="31" s="1"/>
  <c r="G434" i="31"/>
  <c r="G433" i="31"/>
  <c r="G432" i="31"/>
  <c r="G432" i="32" s="1"/>
  <c r="H432" i="32" s="1"/>
  <c r="G431" i="31"/>
  <c r="G431" i="32"/>
  <c r="H431" i="32" s="1"/>
  <c r="G430" i="31"/>
  <c r="G429" i="31"/>
  <c r="G429" i="32"/>
  <c r="H429" i="32"/>
  <c r="H429" i="31"/>
  <c r="G428" i="31"/>
  <c r="G426" i="31"/>
  <c r="G426" i="32" s="1"/>
  <c r="H426" i="32" s="1"/>
  <c r="G425" i="31"/>
  <c r="G425" i="32" s="1"/>
  <c r="H425" i="32" s="1"/>
  <c r="H425" i="31"/>
  <c r="G424" i="31"/>
  <c r="G424" i="33" s="1"/>
  <c r="H424" i="33" s="1"/>
  <c r="G423" i="31"/>
  <c r="G423" i="32" s="1"/>
  <c r="H423" i="32" s="1"/>
  <c r="G423" i="33"/>
  <c r="H423" i="33" s="1"/>
  <c r="G422" i="31"/>
  <c r="G422" i="32" s="1"/>
  <c r="G422" i="33" s="1"/>
  <c r="H422" i="31"/>
  <c r="G421" i="31"/>
  <c r="G421" i="32" s="1"/>
  <c r="G420" i="31"/>
  <c r="G420" i="32"/>
  <c r="G420" i="33" s="1"/>
  <c r="H420" i="33" s="1"/>
  <c r="H420" i="31"/>
  <c r="G419" i="31"/>
  <c r="H419" i="31" s="1"/>
  <c r="G418" i="31"/>
  <c r="H418" i="31" s="1"/>
  <c r="G417" i="31"/>
  <c r="G417" i="32"/>
  <c r="G417" i="33" s="1"/>
  <c r="H417" i="33" s="1"/>
  <c r="G416" i="31"/>
  <c r="H416" i="31" s="1"/>
  <c r="G415" i="31"/>
  <c r="H415" i="31" s="1"/>
  <c r="G414" i="31"/>
  <c r="G414" i="32" s="1"/>
  <c r="H414" i="32" s="1"/>
  <c r="G413" i="31"/>
  <c r="H413" i="31" s="1"/>
  <c r="G412" i="31"/>
  <c r="H412" i="31" s="1"/>
  <c r="G412" i="33"/>
  <c r="H412" i="33" s="1"/>
  <c r="G411" i="31"/>
  <c r="G411" i="32" s="1"/>
  <c r="G411" i="33" s="1"/>
  <c r="H411" i="33" s="1"/>
  <c r="G406" i="31"/>
  <c r="G406" i="32" s="1"/>
  <c r="G404" i="31"/>
  <c r="G403" i="31"/>
  <c r="G403" i="32" s="1"/>
  <c r="G402" i="31"/>
  <c r="G401" i="31"/>
  <c r="G400" i="31"/>
  <c r="G400" i="32" s="1"/>
  <c r="G399" i="31"/>
  <c r="G399" i="32"/>
  <c r="G399" i="33" s="1"/>
  <c r="H399" i="33" s="1"/>
  <c r="G398" i="31"/>
  <c r="G397" i="31"/>
  <c r="H397" i="31" s="1"/>
  <c r="G396" i="31"/>
  <c r="G396" i="32" s="1"/>
  <c r="G395" i="31"/>
  <c r="G395" i="32" s="1"/>
  <c r="G395" i="33" s="1"/>
  <c r="H395" i="33" s="1"/>
  <c r="G393" i="31"/>
  <c r="G392" i="31"/>
  <c r="G391" i="31"/>
  <c r="G390" i="31"/>
  <c r="G377" i="31"/>
  <c r="G377" i="33" s="1"/>
  <c r="H377" i="33" s="1"/>
  <c r="H377" i="31"/>
  <c r="G374" i="31"/>
  <c r="G374" i="33" s="1"/>
  <c r="H374" i="33" s="1"/>
  <c r="G372" i="31"/>
  <c r="G372" i="32" s="1"/>
  <c r="G372" i="33" s="1"/>
  <c r="H372" i="33" s="1"/>
  <c r="G371" i="31"/>
  <c r="G371" i="32" s="1"/>
  <c r="G370" i="31"/>
  <c r="G370" i="32" s="1"/>
  <c r="G369" i="31"/>
  <c r="G369" i="32" s="1"/>
  <c r="G368" i="31"/>
  <c r="G367" i="31"/>
  <c r="G366" i="31"/>
  <c r="H366" i="31" s="1"/>
  <c r="G365" i="31"/>
  <c r="G364" i="31"/>
  <c r="G364" i="32" s="1"/>
  <c r="H364" i="31"/>
  <c r="G363" i="31"/>
  <c r="G363" i="32" s="1"/>
  <c r="G363" i="33" s="1"/>
  <c r="G362" i="31"/>
  <c r="G361" i="31"/>
  <c r="G361" i="32"/>
  <c r="H361" i="31"/>
  <c r="G360" i="31"/>
  <c r="G359" i="31"/>
  <c r="H359" i="31" s="1"/>
  <c r="G359" i="32"/>
  <c r="G359" i="33" s="1"/>
  <c r="H359" i="33" s="1"/>
  <c r="G358" i="31"/>
  <c r="G357" i="31"/>
  <c r="G357" i="32" s="1"/>
  <c r="H357" i="31"/>
  <c r="G355" i="31"/>
  <c r="G352" i="31"/>
  <c r="H352" i="31" s="1"/>
  <c r="G351" i="31"/>
  <c r="G350" i="31"/>
  <c r="G350" i="32" s="1"/>
  <c r="H350" i="31"/>
  <c r="G349" i="31"/>
  <c r="G344" i="31"/>
  <c r="H344" i="31" s="1"/>
  <c r="G343" i="31"/>
  <c r="H343" i="31" s="1"/>
  <c r="G342" i="31"/>
  <c r="G341" i="31"/>
  <c r="G340" i="31"/>
  <c r="G339" i="31"/>
  <c r="H339" i="31" s="1"/>
  <c r="G334" i="31"/>
  <c r="G334" i="32" s="1"/>
  <c r="G333" i="31"/>
  <c r="G332" i="31"/>
  <c r="G331" i="31"/>
  <c r="G331" i="32" s="1"/>
  <c r="H331" i="32" s="1"/>
  <c r="H331" i="31"/>
  <c r="G330" i="31"/>
  <c r="G329" i="31"/>
  <c r="G329" i="32" s="1"/>
  <c r="G328" i="31"/>
  <c r="G327" i="31"/>
  <c r="E287" i="31"/>
  <c r="G286" i="31"/>
  <c r="H286" i="31" s="1"/>
  <c r="G285" i="31"/>
  <c r="H285" i="31" s="1"/>
  <c r="G284" i="31"/>
  <c r="H284" i="31"/>
  <c r="G283" i="31"/>
  <c r="H283" i="31" s="1"/>
  <c r="G282" i="31"/>
  <c r="H282" i="31" s="1"/>
  <c r="G264" i="31"/>
  <c r="H264" i="31" s="1"/>
  <c r="G263" i="31"/>
  <c r="H263" i="31" s="1"/>
  <c r="G260" i="31"/>
  <c r="G259" i="31"/>
  <c r="H259" i="31" s="1"/>
  <c r="G258" i="31"/>
  <c r="H258" i="31" s="1"/>
  <c r="G257" i="31"/>
  <c r="H257" i="31"/>
  <c r="G256" i="31"/>
  <c r="H256" i="31" s="1"/>
  <c r="G255" i="31"/>
  <c r="H255" i="31" s="1"/>
  <c r="G254" i="31"/>
  <c r="H254" i="31" s="1"/>
  <c r="G250" i="31"/>
  <c r="H250" i="31"/>
  <c r="G249" i="31"/>
  <c r="H249" i="31" s="1"/>
  <c r="G247" i="31"/>
  <c r="H247" i="31" s="1"/>
  <c r="G231" i="31"/>
  <c r="H231" i="31" s="1"/>
  <c r="G222" i="31"/>
  <c r="H222" i="31" s="1"/>
  <c r="G216" i="31"/>
  <c r="H216" i="31" s="1"/>
  <c r="G214" i="31"/>
  <c r="G212" i="31"/>
  <c r="G211" i="31"/>
  <c r="H211" i="31" s="1"/>
  <c r="F544" i="31"/>
  <c r="E544" i="31"/>
  <c r="H543" i="31"/>
  <c r="H542" i="31"/>
  <c r="H541" i="31"/>
  <c r="H540" i="31"/>
  <c r="H539" i="31"/>
  <c r="H538" i="31"/>
  <c r="F530" i="31"/>
  <c r="E530" i="31"/>
  <c r="H529" i="31"/>
  <c r="H528" i="31"/>
  <c r="F522" i="31"/>
  <c r="E522" i="31"/>
  <c r="H521" i="31"/>
  <c r="H520" i="31"/>
  <c r="H519" i="31"/>
  <c r="H518" i="31"/>
  <c r="H517" i="31"/>
  <c r="H515" i="31"/>
  <c r="H513" i="31"/>
  <c r="H511" i="31"/>
  <c r="H510" i="31"/>
  <c r="H507" i="31"/>
  <c r="H506" i="31"/>
  <c r="H505" i="31"/>
  <c r="F501" i="31"/>
  <c r="E501" i="31"/>
  <c r="F498" i="31"/>
  <c r="E498" i="31"/>
  <c r="F495" i="31"/>
  <c r="E495" i="31"/>
  <c r="F492" i="31"/>
  <c r="H490" i="31"/>
  <c r="H489" i="31"/>
  <c r="H488" i="31"/>
  <c r="H487" i="31"/>
  <c r="H486" i="31"/>
  <c r="H485" i="31"/>
  <c r="H484" i="31"/>
  <c r="H483" i="31"/>
  <c r="H482" i="31"/>
  <c r="H481" i="31"/>
  <c r="H480" i="31"/>
  <c r="H479" i="31"/>
  <c r="H478" i="31"/>
  <c r="H477" i="31"/>
  <c r="H474" i="31"/>
  <c r="H473" i="31"/>
  <c r="H471" i="31"/>
  <c r="H454" i="31"/>
  <c r="H453" i="31"/>
  <c r="H452" i="31"/>
  <c r="H451" i="31"/>
  <c r="H448" i="31"/>
  <c r="H447" i="31"/>
  <c r="H446" i="31"/>
  <c r="H445" i="31"/>
  <c r="H443" i="31"/>
  <c r="H442" i="31"/>
  <c r="H441" i="31"/>
  <c r="H440" i="31"/>
  <c r="H438" i="31"/>
  <c r="H436" i="31"/>
  <c r="H434" i="31"/>
  <c r="H432" i="31"/>
  <c r="H431" i="31"/>
  <c r="F427" i="31"/>
  <c r="E427" i="31"/>
  <c r="H405" i="31"/>
  <c r="H400" i="31"/>
  <c r="H399" i="31"/>
  <c r="H396" i="31"/>
  <c r="H395" i="31"/>
  <c r="H394" i="31"/>
  <c r="G389" i="31"/>
  <c r="F389" i="31"/>
  <c r="E389" i="31"/>
  <c r="H388" i="31"/>
  <c r="H387" i="31"/>
  <c r="H386" i="31"/>
  <c r="H389" i="31" s="1"/>
  <c r="F385" i="31"/>
  <c r="E385" i="31"/>
  <c r="H384" i="31"/>
  <c r="H383" i="31"/>
  <c r="H382" i="31"/>
  <c r="H381" i="31"/>
  <c r="H380" i="31"/>
  <c r="H379" i="31"/>
  <c r="H378" i="31"/>
  <c r="H376" i="31"/>
  <c r="H375" i="31"/>
  <c r="H373" i="31"/>
  <c r="H372" i="31"/>
  <c r="H371" i="31"/>
  <c r="H363" i="31"/>
  <c r="H356" i="31"/>
  <c r="H354" i="31"/>
  <c r="H353" i="31"/>
  <c r="H342" i="31"/>
  <c r="H341" i="31"/>
  <c r="H340" i="31"/>
  <c r="H338" i="31"/>
  <c r="H337" i="31"/>
  <c r="H336" i="31"/>
  <c r="H335" i="31"/>
  <c r="H329" i="31"/>
  <c r="H326" i="31"/>
  <c r="H325" i="31"/>
  <c r="H324" i="31"/>
  <c r="H323" i="31"/>
  <c r="H322" i="31"/>
  <c r="H321" i="31"/>
  <c r="H320" i="31"/>
  <c r="H319" i="31"/>
  <c r="H318" i="31"/>
  <c r="H317" i="31"/>
  <c r="H316" i="31"/>
  <c r="H315" i="31"/>
  <c r="H314" i="31"/>
  <c r="H313" i="31"/>
  <c r="H312" i="31"/>
  <c r="H311" i="31"/>
  <c r="H310" i="31"/>
  <c r="H309" i="31"/>
  <c r="H308" i="31"/>
  <c r="H307" i="31"/>
  <c r="H306" i="31"/>
  <c r="H305" i="31"/>
  <c r="H304" i="31"/>
  <c r="H303" i="31"/>
  <c r="H302" i="31"/>
  <c r="H301" i="31"/>
  <c r="H300" i="31"/>
  <c r="H299" i="31"/>
  <c r="H298" i="31"/>
  <c r="H297" i="31"/>
  <c r="H296" i="31"/>
  <c r="H295" i="31"/>
  <c r="H294" i="31"/>
  <c r="H293" i="31"/>
  <c r="H292" i="31"/>
  <c r="F287" i="31"/>
  <c r="H281" i="31"/>
  <c r="H280" i="31"/>
  <c r="H279" i="31"/>
  <c r="H278" i="31"/>
  <c r="H277" i="31"/>
  <c r="H276" i="31"/>
  <c r="H274" i="31"/>
  <c r="H273" i="31"/>
  <c r="H272" i="31"/>
  <c r="H271" i="31"/>
  <c r="H270" i="31"/>
  <c r="H269" i="31"/>
  <c r="H268" i="31"/>
  <c r="H267" i="31"/>
  <c r="H266" i="31"/>
  <c r="H265" i="31"/>
  <c r="H262" i="31"/>
  <c r="H261" i="31"/>
  <c r="H260" i="31"/>
  <c r="H253" i="31"/>
  <c r="H252" i="31"/>
  <c r="H251" i="31"/>
  <c r="H248" i="31"/>
  <c r="H246" i="31"/>
  <c r="H245" i="31"/>
  <c r="H244" i="31"/>
  <c r="H243" i="31"/>
  <c r="H242" i="31"/>
  <c r="H241" i="31"/>
  <c r="H240" i="31"/>
  <c r="H239" i="31"/>
  <c r="H238" i="31"/>
  <c r="H237" i="31"/>
  <c r="H236" i="31"/>
  <c r="H235" i="31"/>
  <c r="H234" i="31"/>
  <c r="H233" i="31"/>
  <c r="H232" i="31"/>
  <c r="H226" i="31"/>
  <c r="H225" i="31"/>
  <c r="H224" i="31"/>
  <c r="H223" i="31"/>
  <c r="H221" i="31"/>
  <c r="H220" i="31"/>
  <c r="H219" i="31"/>
  <c r="H218" i="31"/>
  <c r="H217" i="31"/>
  <c r="H215" i="31"/>
  <c r="H213" i="31"/>
  <c r="H212" i="31"/>
  <c r="H210" i="31"/>
  <c r="H209" i="31"/>
  <c r="H208" i="31"/>
  <c r="H207" i="31"/>
  <c r="H206" i="31"/>
  <c r="H205" i="31"/>
  <c r="H204" i="31"/>
  <c r="H203" i="31"/>
  <c r="H202" i="31"/>
  <c r="H201" i="31"/>
  <c r="H200" i="31"/>
  <c r="H199" i="31"/>
  <c r="H198" i="31"/>
  <c r="H197" i="31"/>
  <c r="H196" i="31"/>
  <c r="G195" i="31"/>
  <c r="F195" i="31"/>
  <c r="E195" i="31"/>
  <c r="H194" i="31"/>
  <c r="H193" i="31"/>
  <c r="H192" i="31"/>
  <c r="H191" i="31"/>
  <c r="H190" i="31"/>
  <c r="H189" i="31"/>
  <c r="H188" i="31"/>
  <c r="H187" i="31"/>
  <c r="H186" i="31"/>
  <c r="H185" i="31"/>
  <c r="H184" i="31"/>
  <c r="H183" i="31"/>
  <c r="H182" i="31"/>
  <c r="H181" i="31"/>
  <c r="H180" i="31"/>
  <c r="H179" i="31"/>
  <c r="H178" i="31"/>
  <c r="H177" i="31"/>
  <c r="H176" i="31"/>
  <c r="H175" i="31"/>
  <c r="H174" i="31"/>
  <c r="H169" i="31"/>
  <c r="H168" i="31"/>
  <c r="H167" i="31"/>
  <c r="H166" i="31"/>
  <c r="H165" i="31"/>
  <c r="H164" i="31"/>
  <c r="H163" i="31"/>
  <c r="H162" i="31"/>
  <c r="G161" i="31"/>
  <c r="F161" i="31"/>
  <c r="E161" i="31"/>
  <c r="H160" i="31"/>
  <c r="H159" i="31"/>
  <c r="H158" i="31"/>
  <c r="H157" i="31"/>
  <c r="H156" i="31"/>
  <c r="H155" i="31"/>
  <c r="H154" i="31"/>
  <c r="H153" i="31"/>
  <c r="H152" i="31"/>
  <c r="H151" i="31"/>
  <c r="H150" i="31"/>
  <c r="H149" i="31"/>
  <c r="H148" i="31"/>
  <c r="H147" i="31"/>
  <c r="H146" i="31"/>
  <c r="H145" i="31"/>
  <c r="H144" i="31"/>
  <c r="H143" i="31"/>
  <c r="H142" i="31"/>
  <c r="H141" i="31"/>
  <c r="H140" i="31"/>
  <c r="H139" i="31"/>
  <c r="H138" i="31"/>
  <c r="H137" i="31"/>
  <c r="H136" i="31"/>
  <c r="H135" i="31"/>
  <c r="H134" i="31"/>
  <c r="H133" i="31"/>
  <c r="H132" i="31"/>
  <c r="H131" i="31"/>
  <c r="H130" i="31"/>
  <c r="H129" i="31"/>
  <c r="H128" i="31"/>
  <c r="H127" i="31"/>
  <c r="H126" i="31"/>
  <c r="H125" i="31"/>
  <c r="H124" i="31"/>
  <c r="H123" i="31"/>
  <c r="H122" i="31"/>
  <c r="H121" i="31"/>
  <c r="H120" i="31"/>
  <c r="H119" i="31"/>
  <c r="H118" i="31"/>
  <c r="H117" i="31"/>
  <c r="H116" i="31"/>
  <c r="H111" i="31"/>
  <c r="H110" i="31"/>
  <c r="H109" i="31"/>
  <c r="H108" i="31"/>
  <c r="H107" i="31"/>
  <c r="H106" i="31"/>
  <c r="H105" i="31"/>
  <c r="H104" i="31"/>
  <c r="H103" i="31"/>
  <c r="H102" i="31"/>
  <c r="H101" i="31"/>
  <c r="H100" i="31"/>
  <c r="H99" i="31"/>
  <c r="H98" i="31"/>
  <c r="H97" i="31"/>
  <c r="H96" i="31"/>
  <c r="H95" i="31"/>
  <c r="H94" i="31"/>
  <c r="H93" i="31"/>
  <c r="H92" i="31"/>
  <c r="H91" i="31"/>
  <c r="H90" i="31"/>
  <c r="H89" i="31"/>
  <c r="H88" i="31"/>
  <c r="H87" i="31"/>
  <c r="H86" i="31"/>
  <c r="H85" i="31"/>
  <c r="H84" i="31"/>
  <c r="H83" i="31"/>
  <c r="H82" i="31"/>
  <c r="H81" i="31"/>
  <c r="H80" i="31"/>
  <c r="H79" i="31"/>
  <c r="G78" i="31"/>
  <c r="F78" i="31"/>
  <c r="E78" i="31"/>
  <c r="H77" i="31"/>
  <c r="H76" i="31"/>
  <c r="H75" i="31"/>
  <c r="H74" i="31"/>
  <c r="H73" i="31"/>
  <c r="H72" i="31"/>
  <c r="H71" i="31"/>
  <c r="H70" i="31"/>
  <c r="H69" i="31"/>
  <c r="H68" i="31"/>
  <c r="H67" i="31"/>
  <c r="H66" i="31"/>
  <c r="H65" i="31"/>
  <c r="H64" i="31"/>
  <c r="H63" i="31"/>
  <c r="H62" i="31"/>
  <c r="H61" i="31"/>
  <c r="H60" i="31"/>
  <c r="H55" i="31"/>
  <c r="H54" i="31"/>
  <c r="H53" i="31"/>
  <c r="H52" i="31"/>
  <c r="H51" i="31"/>
  <c r="H50" i="31"/>
  <c r="H49" i="31"/>
  <c r="H48" i="31"/>
  <c r="H47" i="31"/>
  <c r="H46" i="31"/>
  <c r="H45" i="31"/>
  <c r="H44" i="31"/>
  <c r="G43" i="31"/>
  <c r="F43" i="31"/>
  <c r="E43" i="31"/>
  <c r="H42" i="31"/>
  <c r="H41" i="31"/>
  <c r="H40" i="31"/>
  <c r="H39" i="31"/>
  <c r="H38" i="31"/>
  <c r="H37" i="31"/>
  <c r="H36" i="31"/>
  <c r="H35" i="31"/>
  <c r="H34" i="31"/>
  <c r="H33" i="31"/>
  <c r="H32" i="31"/>
  <c r="H31" i="31"/>
  <c r="H30" i="31"/>
  <c r="H29" i="31"/>
  <c r="H28" i="31"/>
  <c r="H27" i="31"/>
  <c r="H26" i="31"/>
  <c r="H25" i="31"/>
  <c r="G24" i="31"/>
  <c r="F24" i="31"/>
  <c r="F545" i="31" s="1"/>
  <c r="E24" i="31"/>
  <c r="E545" i="31" s="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88" i="30"/>
  <c r="F287" i="30"/>
  <c r="F491" i="30"/>
  <c r="F24" i="30"/>
  <c r="F43" i="30"/>
  <c r="F78" i="30"/>
  <c r="F161" i="30"/>
  <c r="F195" i="30"/>
  <c r="F385" i="30"/>
  <c r="F389" i="30"/>
  <c r="F427" i="30"/>
  <c r="F494" i="30"/>
  <c r="F497" i="30"/>
  <c r="F500" i="30"/>
  <c r="F521" i="30"/>
  <c r="F529" i="30"/>
  <c r="F543" i="30"/>
  <c r="G287" i="30"/>
  <c r="G465" i="30"/>
  <c r="H465" i="30" s="1"/>
  <c r="G491" i="30"/>
  <c r="G24" i="30"/>
  <c r="G43" i="30"/>
  <c r="G78" i="30"/>
  <c r="G161" i="30"/>
  <c r="G195" i="30"/>
  <c r="G385" i="30"/>
  <c r="G389" i="30"/>
  <c r="G427" i="30"/>
  <c r="G494" i="30"/>
  <c r="G497" i="30"/>
  <c r="G500" i="30"/>
  <c r="G521" i="30"/>
  <c r="G529" i="30"/>
  <c r="G543" i="30"/>
  <c r="H210" i="30"/>
  <c r="H223" i="30"/>
  <c r="H218" i="30"/>
  <c r="H233" i="30"/>
  <c r="H275" i="30"/>
  <c r="H276" i="30"/>
  <c r="H277" i="30"/>
  <c r="H278" i="30"/>
  <c r="H196" i="30"/>
  <c r="H197" i="30"/>
  <c r="H198" i="30"/>
  <c r="H199" i="30"/>
  <c r="H200" i="30"/>
  <c r="H201" i="30"/>
  <c r="H202" i="30"/>
  <c r="H203" i="30"/>
  <c r="H204" i="30"/>
  <c r="H205" i="30"/>
  <c r="H206" i="30"/>
  <c r="H207" i="30"/>
  <c r="H208" i="30"/>
  <c r="H209" i="30"/>
  <c r="H211" i="30"/>
  <c r="H212" i="30"/>
  <c r="H213" i="30"/>
  <c r="H214" i="30"/>
  <c r="H215" i="30"/>
  <c r="H216" i="30"/>
  <c r="H217" i="30"/>
  <c r="H219" i="30"/>
  <c r="H220" i="30"/>
  <c r="H221" i="30"/>
  <c r="H222" i="30"/>
  <c r="H224" i="30"/>
  <c r="H225" i="30"/>
  <c r="H226" i="30"/>
  <c r="H231" i="30"/>
  <c r="H232" i="30"/>
  <c r="H234" i="30"/>
  <c r="H235" i="30"/>
  <c r="H236" i="30"/>
  <c r="H237" i="30"/>
  <c r="H238" i="30"/>
  <c r="H239" i="30"/>
  <c r="H240" i="30"/>
  <c r="H241" i="30"/>
  <c r="H242" i="30"/>
  <c r="H243" i="30"/>
  <c r="H244" i="30"/>
  <c r="H245" i="30"/>
  <c r="H246" i="30"/>
  <c r="H247" i="30"/>
  <c r="H248" i="30"/>
  <c r="H249" i="30"/>
  <c r="H250" i="30"/>
  <c r="H251" i="30"/>
  <c r="H252" i="30"/>
  <c r="H253" i="30"/>
  <c r="H254" i="30"/>
  <c r="H255" i="30"/>
  <c r="H256" i="30"/>
  <c r="H257" i="30"/>
  <c r="H258" i="30"/>
  <c r="H259" i="30"/>
  <c r="H260" i="30"/>
  <c r="H261" i="30"/>
  <c r="H262" i="30"/>
  <c r="H263" i="30"/>
  <c r="H264" i="30"/>
  <c r="H265" i="30"/>
  <c r="H266" i="30"/>
  <c r="H267" i="30"/>
  <c r="H268" i="30"/>
  <c r="H269" i="30"/>
  <c r="H270" i="30"/>
  <c r="H271" i="30"/>
  <c r="H272" i="30"/>
  <c r="H273" i="30"/>
  <c r="H274" i="30"/>
  <c r="H279" i="30"/>
  <c r="H280" i="30"/>
  <c r="H281" i="30"/>
  <c r="H282" i="30"/>
  <c r="H283" i="30"/>
  <c r="H284" i="30"/>
  <c r="H285" i="30"/>
  <c r="H286" i="30"/>
  <c r="H489" i="30"/>
  <c r="H428" i="30"/>
  <c r="H429" i="30"/>
  <c r="H430" i="30"/>
  <c r="H431" i="30"/>
  <c r="H432" i="30"/>
  <c r="H433" i="30"/>
  <c r="H434" i="30"/>
  <c r="H435" i="30"/>
  <c r="H436" i="30"/>
  <c r="H437" i="30"/>
  <c r="H438" i="30"/>
  <c r="H439" i="30"/>
  <c r="H440" i="30"/>
  <c r="H441" i="30"/>
  <c r="H442" i="30"/>
  <c r="H443" i="30"/>
  <c r="H444" i="30"/>
  <c r="H445" i="30"/>
  <c r="H446" i="30"/>
  <c r="H447" i="30"/>
  <c r="H448" i="30"/>
  <c r="H449" i="30"/>
  <c r="H450" i="30"/>
  <c r="H451" i="30"/>
  <c r="H452" i="30"/>
  <c r="H453" i="30"/>
  <c r="H454" i="30"/>
  <c r="H455" i="30"/>
  <c r="H456" i="30"/>
  <c r="H457" i="30"/>
  <c r="H458" i="30"/>
  <c r="H459" i="30"/>
  <c r="H460" i="30"/>
  <c r="H461" i="30"/>
  <c r="H462" i="30"/>
  <c r="H463" i="30"/>
  <c r="H464" i="30"/>
  <c r="H466" i="30"/>
  <c r="H471" i="30"/>
  <c r="H472" i="30"/>
  <c r="H473" i="30"/>
  <c r="H474" i="30"/>
  <c r="H475" i="30"/>
  <c r="H476" i="30"/>
  <c r="H477" i="30"/>
  <c r="H478" i="30"/>
  <c r="H479" i="30"/>
  <c r="H480" i="30"/>
  <c r="H481" i="30"/>
  <c r="H482" i="30"/>
  <c r="H483" i="30"/>
  <c r="H484" i="30"/>
  <c r="H485" i="30"/>
  <c r="H486" i="30"/>
  <c r="H487" i="30"/>
  <c r="H490" i="30"/>
  <c r="H5" i="30"/>
  <c r="H6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5" i="30"/>
  <c r="H26" i="30"/>
  <c r="H27" i="30"/>
  <c r="H28" i="30"/>
  <c r="H29" i="30"/>
  <c r="H30" i="30"/>
  <c r="H31" i="30"/>
  <c r="H32" i="30"/>
  <c r="H33" i="30"/>
  <c r="H34" i="30"/>
  <c r="H35" i="30"/>
  <c r="H36" i="30"/>
  <c r="H37" i="30"/>
  <c r="H38" i="30"/>
  <c r="H39" i="30"/>
  <c r="H40" i="30"/>
  <c r="H41" i="30"/>
  <c r="H42" i="30"/>
  <c r="H44" i="30"/>
  <c r="H45" i="30"/>
  <c r="H46" i="30"/>
  <c r="H47" i="30"/>
  <c r="H48" i="30"/>
  <c r="H49" i="30"/>
  <c r="H50" i="30"/>
  <c r="H51" i="30"/>
  <c r="H52" i="30"/>
  <c r="H53" i="30"/>
  <c r="H54" i="30"/>
  <c r="H55" i="30"/>
  <c r="H60" i="30"/>
  <c r="H61" i="30"/>
  <c r="H62" i="30"/>
  <c r="H63" i="30"/>
  <c r="H64" i="30"/>
  <c r="H65" i="30"/>
  <c r="H66" i="30"/>
  <c r="H67" i="30"/>
  <c r="H68" i="30"/>
  <c r="H69" i="30"/>
  <c r="H70" i="30"/>
  <c r="H71" i="30"/>
  <c r="H72" i="30"/>
  <c r="H73" i="30"/>
  <c r="H74" i="30"/>
  <c r="H75" i="30"/>
  <c r="H76" i="30"/>
  <c r="H77" i="30"/>
  <c r="H79" i="30"/>
  <c r="H80" i="30"/>
  <c r="H81" i="30"/>
  <c r="H82" i="30"/>
  <c r="H83" i="30"/>
  <c r="H84" i="30"/>
  <c r="H85" i="30"/>
  <c r="H86" i="30"/>
  <c r="H87" i="30"/>
  <c r="H88" i="30"/>
  <c r="H89" i="30"/>
  <c r="H90" i="30"/>
  <c r="H91" i="30"/>
  <c r="H92" i="30"/>
  <c r="H93" i="30"/>
  <c r="H94" i="30"/>
  <c r="H95" i="30"/>
  <c r="H96" i="30"/>
  <c r="H97" i="30"/>
  <c r="H98" i="30"/>
  <c r="H99" i="30"/>
  <c r="H100" i="30"/>
  <c r="H101" i="30"/>
  <c r="H102" i="30"/>
  <c r="H103" i="30"/>
  <c r="H104" i="30"/>
  <c r="H105" i="30"/>
  <c r="H106" i="30"/>
  <c r="H107" i="30"/>
  <c r="H108" i="30"/>
  <c r="H109" i="30"/>
  <c r="H110" i="30"/>
  <c r="H111" i="30"/>
  <c r="H116" i="30"/>
  <c r="H117" i="30"/>
  <c r="H118" i="30"/>
  <c r="H119" i="30"/>
  <c r="H120" i="30"/>
  <c r="H121" i="30"/>
  <c r="H122" i="30"/>
  <c r="H123" i="30"/>
  <c r="H124" i="30"/>
  <c r="H125" i="30"/>
  <c r="H126" i="30"/>
  <c r="H127" i="30"/>
  <c r="H128" i="30"/>
  <c r="H129" i="30"/>
  <c r="H130" i="30"/>
  <c r="H131" i="30"/>
  <c r="H132" i="30"/>
  <c r="H133" i="30"/>
  <c r="H134" i="30"/>
  <c r="H135" i="30"/>
  <c r="H136" i="30"/>
  <c r="H137" i="30"/>
  <c r="H138" i="30"/>
  <c r="H139" i="30"/>
  <c r="H140" i="30"/>
  <c r="H141" i="30"/>
  <c r="H142" i="30"/>
  <c r="H143" i="30"/>
  <c r="H144" i="30"/>
  <c r="H145" i="30"/>
  <c r="H146" i="30"/>
  <c r="H147" i="30"/>
  <c r="H148" i="30"/>
  <c r="H149" i="30"/>
  <c r="H150" i="30"/>
  <c r="H151" i="30"/>
  <c r="H152" i="30"/>
  <c r="H153" i="30"/>
  <c r="H154" i="30"/>
  <c r="H155" i="30"/>
  <c r="H156" i="30"/>
  <c r="H157" i="30"/>
  <c r="H158" i="30"/>
  <c r="H159" i="30"/>
  <c r="H160" i="30"/>
  <c r="H162" i="30"/>
  <c r="H163" i="30"/>
  <c r="H164" i="30"/>
  <c r="H165" i="30"/>
  <c r="H166" i="30"/>
  <c r="H167" i="30"/>
  <c r="H168" i="30"/>
  <c r="H169" i="30"/>
  <c r="H174" i="30"/>
  <c r="H175" i="30"/>
  <c r="H176" i="30"/>
  <c r="H177" i="30"/>
  <c r="H178" i="30"/>
  <c r="H179" i="30"/>
  <c r="H180" i="30"/>
  <c r="H181" i="30"/>
  <c r="H182" i="30"/>
  <c r="H183" i="30"/>
  <c r="H184" i="30"/>
  <c r="H185" i="30"/>
  <c r="H186" i="30"/>
  <c r="H187" i="30"/>
  <c r="H188" i="30"/>
  <c r="H189" i="30"/>
  <c r="H190" i="30"/>
  <c r="H191" i="30"/>
  <c r="H192" i="30"/>
  <c r="H193" i="30"/>
  <c r="H194" i="30"/>
  <c r="H292" i="30"/>
  <c r="H293" i="30"/>
  <c r="H294" i="30"/>
  <c r="H295" i="30"/>
  <c r="H296" i="30"/>
  <c r="H297" i="30"/>
  <c r="H298" i="30"/>
  <c r="H299" i="30"/>
  <c r="H300" i="30"/>
  <c r="H301" i="30"/>
  <c r="H302" i="30"/>
  <c r="H303" i="30"/>
  <c r="H304" i="30"/>
  <c r="H305" i="30"/>
  <c r="H306" i="30"/>
  <c r="H307" i="30"/>
  <c r="H308" i="30"/>
  <c r="H309" i="30"/>
  <c r="H310" i="30"/>
  <c r="H311" i="30"/>
  <c r="H312" i="30"/>
  <c r="H313" i="30"/>
  <c r="H314" i="30"/>
  <c r="H315" i="30"/>
  <c r="H316" i="30"/>
  <c r="H317" i="30"/>
  <c r="H318" i="30"/>
  <c r="H319" i="30"/>
  <c r="H320" i="30"/>
  <c r="H321" i="30"/>
  <c r="H322" i="30"/>
  <c r="H323" i="30"/>
  <c r="H324" i="30"/>
  <c r="H325" i="30"/>
  <c r="H326" i="30"/>
  <c r="H327" i="30"/>
  <c r="H328" i="30"/>
  <c r="H329" i="30"/>
  <c r="H330" i="30"/>
  <c r="H331" i="30"/>
  <c r="H332" i="30"/>
  <c r="H333" i="30"/>
  <c r="H334" i="30"/>
  <c r="H335" i="30"/>
  <c r="H336" i="30"/>
  <c r="H337" i="30"/>
  <c r="H338" i="30"/>
  <c r="H339" i="30"/>
  <c r="H340" i="30"/>
  <c r="H341" i="30"/>
  <c r="H342" i="30"/>
  <c r="H343" i="30"/>
  <c r="H344" i="30"/>
  <c r="H349" i="30"/>
  <c r="H350" i="30"/>
  <c r="H351" i="30"/>
  <c r="H352" i="30"/>
  <c r="H353" i="30"/>
  <c r="H354" i="30"/>
  <c r="H355" i="30"/>
  <c r="H356" i="30"/>
  <c r="H357" i="30"/>
  <c r="H358" i="30"/>
  <c r="H359" i="30"/>
  <c r="H360" i="30"/>
  <c r="H361" i="30"/>
  <c r="H362" i="30"/>
  <c r="H363" i="30"/>
  <c r="H364" i="30"/>
  <c r="H365" i="30"/>
  <c r="H366" i="30"/>
  <c r="H367" i="30"/>
  <c r="H368" i="30"/>
  <c r="H369" i="30"/>
  <c r="H370" i="30"/>
  <c r="H371" i="30"/>
  <c r="H372" i="30"/>
  <c r="H373" i="30"/>
  <c r="H374" i="30"/>
  <c r="H375" i="30"/>
  <c r="H376" i="30"/>
  <c r="H377" i="30"/>
  <c r="H378" i="30"/>
  <c r="H379" i="30"/>
  <c r="H380" i="30"/>
  <c r="H381" i="30"/>
  <c r="H382" i="30"/>
  <c r="H383" i="30"/>
  <c r="H384" i="30"/>
  <c r="H386" i="30"/>
  <c r="H387" i="30"/>
  <c r="H388" i="30"/>
  <c r="H390" i="30"/>
  <c r="H391" i="30"/>
  <c r="H392" i="30"/>
  <c r="H393" i="30"/>
  <c r="H394" i="30"/>
  <c r="H395" i="30"/>
  <c r="H396" i="30"/>
  <c r="H397" i="30"/>
  <c r="H398" i="30"/>
  <c r="H399" i="30"/>
  <c r="H400" i="30"/>
  <c r="H401" i="30"/>
  <c r="H402" i="30"/>
  <c r="H403" i="30"/>
  <c r="H404" i="30"/>
  <c r="H405" i="30"/>
  <c r="H406" i="30"/>
  <c r="H411" i="30"/>
  <c r="H412" i="30"/>
  <c r="H413" i="30"/>
  <c r="H414" i="30"/>
  <c r="H415" i="30"/>
  <c r="H416" i="30"/>
  <c r="H417" i="30"/>
  <c r="H418" i="30"/>
  <c r="H419" i="30"/>
  <c r="H420" i="30"/>
  <c r="H421" i="30"/>
  <c r="H422" i="30"/>
  <c r="H423" i="30"/>
  <c r="H424" i="30"/>
  <c r="H425" i="30"/>
  <c r="H426" i="30"/>
  <c r="H492" i="30"/>
  <c r="H493" i="30"/>
  <c r="H494" i="30" s="1"/>
  <c r="H495" i="30"/>
  <c r="H496" i="30"/>
  <c r="H498" i="30"/>
  <c r="H500" i="30" s="1"/>
  <c r="H499" i="30"/>
  <c r="H501" i="30"/>
  <c r="H502" i="30"/>
  <c r="H503" i="30"/>
  <c r="H504" i="30"/>
  <c r="H505" i="30"/>
  <c r="H506" i="30"/>
  <c r="H507" i="30"/>
  <c r="H508" i="30"/>
  <c r="H509" i="30"/>
  <c r="H510" i="30"/>
  <c r="H511" i="30"/>
  <c r="H512" i="30"/>
  <c r="H513" i="30"/>
  <c r="H514" i="30"/>
  <c r="H515" i="30"/>
  <c r="H516" i="30"/>
  <c r="H517" i="30"/>
  <c r="H518" i="30"/>
  <c r="H519" i="30"/>
  <c r="H520" i="30"/>
  <c r="H522" i="30"/>
  <c r="H523" i="30"/>
  <c r="H524" i="30"/>
  <c r="H525" i="30"/>
  <c r="H526" i="30"/>
  <c r="H527" i="30"/>
  <c r="H528" i="30"/>
  <c r="H533" i="30"/>
  <c r="H534" i="30"/>
  <c r="H535" i="30"/>
  <c r="H536" i="30"/>
  <c r="H537" i="30"/>
  <c r="H538" i="30"/>
  <c r="H539" i="30"/>
  <c r="H540" i="30"/>
  <c r="H541" i="30"/>
  <c r="H542" i="30"/>
  <c r="E521" i="30"/>
  <c r="E24" i="30"/>
  <c r="E43" i="30"/>
  <c r="E78" i="30"/>
  <c r="E161" i="30"/>
  <c r="E195" i="30"/>
  <c r="E287" i="30"/>
  <c r="E385" i="30"/>
  <c r="E389" i="30"/>
  <c r="E427" i="30"/>
  <c r="E491" i="30"/>
  <c r="E494" i="30"/>
  <c r="E497" i="30"/>
  <c r="E500" i="30"/>
  <c r="E529" i="30"/>
  <c r="E543" i="30"/>
  <c r="H493" i="31"/>
  <c r="H495" i="31" s="1"/>
  <c r="H462" i="31"/>
  <c r="H214" i="31"/>
  <c r="H390" i="31"/>
  <c r="H494" i="31"/>
  <c r="H502" i="31"/>
  <c r="H524" i="31"/>
  <c r="H526" i="32"/>
  <c r="H389" i="32"/>
  <c r="H327" i="34"/>
  <c r="H390" i="34"/>
  <c r="H417" i="32"/>
  <c r="H471" i="32"/>
  <c r="H484" i="32"/>
  <c r="H480" i="32"/>
  <c r="H508" i="32"/>
  <c r="H506" i="32"/>
  <c r="H542" i="32"/>
  <c r="G429" i="33"/>
  <c r="H429" i="33" s="1"/>
  <c r="H395" i="32"/>
  <c r="H389" i="34"/>
  <c r="H428" i="34"/>
  <c r="H258" i="34"/>
  <c r="H504" i="34"/>
  <c r="H522" i="34"/>
  <c r="H531" i="34"/>
  <c r="H211" i="32"/>
  <c r="G327" i="32"/>
  <c r="G327" i="33" s="1"/>
  <c r="H327" i="33" s="1"/>
  <c r="H327" i="31"/>
  <c r="G360" i="32"/>
  <c r="H360" i="31"/>
  <c r="H363" i="33"/>
  <c r="H363" i="32"/>
  <c r="G398" i="32"/>
  <c r="H398" i="32" s="1"/>
  <c r="H398" i="31"/>
  <c r="G430" i="33"/>
  <c r="H430" i="33"/>
  <c r="G430" i="32"/>
  <c r="H430" i="32"/>
  <c r="H430" i="31"/>
  <c r="G434" i="33"/>
  <c r="H434" i="33"/>
  <c r="G434" i="32"/>
  <c r="H434" i="32" s="1"/>
  <c r="G442" i="33"/>
  <c r="H442" i="33"/>
  <c r="H442" i="32"/>
  <c r="G446" i="32"/>
  <c r="H446" i="32" s="1"/>
  <c r="G446" i="33"/>
  <c r="H446" i="33"/>
  <c r="H503" i="31"/>
  <c r="H401" i="31"/>
  <c r="G401" i="32"/>
  <c r="H457" i="31"/>
  <c r="G457" i="32"/>
  <c r="G358" i="32"/>
  <c r="G358" i="33" s="1"/>
  <c r="H358" i="33" s="1"/>
  <c r="H358" i="31"/>
  <c r="G368" i="32"/>
  <c r="H368" i="31"/>
  <c r="G428" i="32"/>
  <c r="G494" i="32"/>
  <c r="G507" i="33"/>
  <c r="H507" i="33" s="1"/>
  <c r="H507" i="32"/>
  <c r="G330" i="32"/>
  <c r="H330" i="31"/>
  <c r="G351" i="32"/>
  <c r="G351" i="33" s="1"/>
  <c r="H351" i="33" s="1"/>
  <c r="H351" i="31"/>
  <c r="H362" i="31"/>
  <c r="G362" i="32"/>
  <c r="G362" i="33" s="1"/>
  <c r="H362" i="33" s="1"/>
  <c r="H374" i="31"/>
  <c r="G374" i="32"/>
  <c r="H374" i="32" s="1"/>
  <c r="G497" i="34"/>
  <c r="G497" i="33"/>
  <c r="G497" i="32"/>
  <c r="H496" i="31"/>
  <c r="H420" i="32"/>
  <c r="H535" i="31"/>
  <c r="G332" i="32"/>
  <c r="H332" i="32" s="1"/>
  <c r="H332" i="31"/>
  <c r="G355" i="32"/>
  <c r="G355" i="33" s="1"/>
  <c r="H355" i="33" s="1"/>
  <c r="H355" i="31"/>
  <c r="G361" i="33"/>
  <c r="H361" i="33" s="1"/>
  <c r="H361" i="32"/>
  <c r="G365" i="32"/>
  <c r="H365" i="31"/>
  <c r="G390" i="32"/>
  <c r="G462" i="33"/>
  <c r="H462" i="33"/>
  <c r="H462" i="32"/>
  <c r="H476" i="31"/>
  <c r="G476" i="32"/>
  <c r="G476" i="33" s="1"/>
  <c r="H476" i="33" s="1"/>
  <c r="G539" i="32"/>
  <c r="G540" i="33" s="1"/>
  <c r="H540" i="33" s="1"/>
  <c r="H537" i="31"/>
  <c r="H422" i="33"/>
  <c r="H422" i="32"/>
  <c r="G464" i="32"/>
  <c r="G504" i="32"/>
  <c r="H504" i="32" s="1"/>
  <c r="G439" i="32"/>
  <c r="H439" i="32" s="1"/>
  <c r="H359" i="32"/>
  <c r="G412" i="32"/>
  <c r="H412" i="32" s="1"/>
  <c r="H513" i="32"/>
  <c r="H334" i="31"/>
  <c r="H417" i="31"/>
  <c r="H423" i="31"/>
  <c r="G452" i="33"/>
  <c r="H452" i="33" s="1"/>
  <c r="G452" i="32"/>
  <c r="H452" i="32"/>
  <c r="G503" i="34"/>
  <c r="G527" i="34" s="1"/>
  <c r="G503" i="32"/>
  <c r="H503" i="32" s="1"/>
  <c r="G505" i="33"/>
  <c r="H505" i="33" s="1"/>
  <c r="H509" i="31"/>
  <c r="G530" i="31"/>
  <c r="H526" i="31"/>
  <c r="H342" i="32"/>
  <c r="H344" i="32"/>
  <c r="H375" i="32"/>
  <c r="G424" i="32"/>
  <c r="H424" i="32" s="1"/>
  <c r="G453" i="32"/>
  <c r="H453" i="32"/>
  <c r="G425" i="34"/>
  <c r="H425" i="34" s="1"/>
  <c r="G425" i="33"/>
  <c r="H425" i="33"/>
  <c r="H441" i="32"/>
  <c r="G377" i="32"/>
  <c r="H377" i="32" s="1"/>
  <c r="G449" i="32"/>
  <c r="H449" i="32" s="1"/>
  <c r="G532" i="33"/>
  <c r="H532" i="33" s="1"/>
  <c r="H531" i="32"/>
  <c r="H481" i="32"/>
  <c r="G398" i="33"/>
  <c r="H398" i="33" s="1"/>
  <c r="G390" i="33"/>
  <c r="H390" i="33" s="1"/>
  <c r="H390" i="32"/>
  <c r="H497" i="33"/>
  <c r="H358" i="32"/>
  <c r="G457" i="33"/>
  <c r="H457" i="33" s="1"/>
  <c r="H457" i="32"/>
  <c r="G365" i="33"/>
  <c r="H365" i="33" s="1"/>
  <c r="H365" i="32"/>
  <c r="H539" i="32"/>
  <c r="G332" i="33"/>
  <c r="H332" i="33" s="1"/>
  <c r="H497" i="34"/>
  <c r="G360" i="33"/>
  <c r="H360" i="33" s="1"/>
  <c r="H360" i="32"/>
  <c r="H362" i="32"/>
  <c r="G494" i="33"/>
  <c r="H494" i="33" s="1"/>
  <c r="H494" i="32"/>
  <c r="H476" i="32"/>
  <c r="H351" i="32"/>
  <c r="H401" i="32"/>
  <c r="G401" i="33"/>
  <c r="H401" i="33" s="1"/>
  <c r="H370" i="32" l="1"/>
  <c r="G370" i="33"/>
  <c r="H370" i="33" s="1"/>
  <c r="G473" i="33"/>
  <c r="H473" i="33" s="1"/>
  <c r="H473" i="32"/>
  <c r="G531" i="33"/>
  <c r="H531" i="33" s="1"/>
  <c r="H530" i="32"/>
  <c r="G450" i="33"/>
  <c r="H450" i="33" s="1"/>
  <c r="H450" i="32"/>
  <c r="H525" i="32"/>
  <c r="G526" i="33"/>
  <c r="H526" i="33" s="1"/>
  <c r="G329" i="33"/>
  <c r="H329" i="33" s="1"/>
  <c r="H329" i="32"/>
  <c r="G538" i="33"/>
  <c r="H538" i="33" s="1"/>
  <c r="H537" i="32"/>
  <c r="G421" i="33"/>
  <c r="H421" i="33" s="1"/>
  <c r="H421" i="32"/>
  <c r="G495" i="33"/>
  <c r="H495" i="33" s="1"/>
  <c r="H495" i="32"/>
  <c r="G496" i="32"/>
  <c r="G499" i="33"/>
  <c r="H498" i="33"/>
  <c r="H499" i="33" s="1"/>
  <c r="H287" i="34"/>
  <c r="H334" i="32"/>
  <c r="G334" i="33"/>
  <c r="H334" i="33" s="1"/>
  <c r="G447" i="33"/>
  <c r="H447" i="33" s="1"/>
  <c r="H447" i="32"/>
  <c r="H421" i="31"/>
  <c r="H498" i="31"/>
  <c r="H370" i="31"/>
  <c r="H450" i="31"/>
  <c r="H399" i="32"/>
  <c r="H406" i="31"/>
  <c r="G413" i="32"/>
  <c r="G431" i="33"/>
  <c r="H431" i="33" s="1"/>
  <c r="G435" i="33"/>
  <c r="H435" i="33" s="1"/>
  <c r="G460" i="32"/>
  <c r="H523" i="31"/>
  <c r="H411" i="32"/>
  <c r="G483" i="33"/>
  <c r="H483" i="33" s="1"/>
  <c r="H478" i="32"/>
  <c r="H496" i="32"/>
  <c r="H529" i="30"/>
  <c r="H497" i="31"/>
  <c r="H411" i="31"/>
  <c r="H414" i="31"/>
  <c r="G416" i="32"/>
  <c r="H195" i="32"/>
  <c r="H477" i="32"/>
  <c r="H538" i="32"/>
  <c r="G498" i="32"/>
  <c r="H498" i="32" s="1"/>
  <c r="G498" i="31"/>
  <c r="H389" i="30"/>
  <c r="G436" i="32"/>
  <c r="H436" i="32" s="1"/>
  <c r="E547" i="32"/>
  <c r="E549" i="34"/>
  <c r="G435" i="32"/>
  <c r="H435" i="32" s="1"/>
  <c r="H503" i="34"/>
  <c r="H527" i="34" s="1"/>
  <c r="H355" i="32"/>
  <c r="G498" i="34"/>
  <c r="H498" i="34" s="1"/>
  <c r="H521" i="30"/>
  <c r="G458" i="32"/>
  <c r="H458" i="32" s="1"/>
  <c r="F548" i="33"/>
  <c r="H496" i="33"/>
  <c r="H497" i="32"/>
  <c r="H497" i="30"/>
  <c r="H78" i="30"/>
  <c r="H456" i="31"/>
  <c r="G415" i="32"/>
  <c r="H415" i="32" s="1"/>
  <c r="G542" i="33"/>
  <c r="H542" i="33" s="1"/>
  <c r="H161" i="34"/>
  <c r="H195" i="34"/>
  <c r="H327" i="32"/>
  <c r="H381" i="32"/>
  <c r="G515" i="32"/>
  <c r="H43" i="32"/>
  <c r="G340" i="33"/>
  <c r="H340" i="33" s="1"/>
  <c r="H78" i="33"/>
  <c r="H43" i="30"/>
  <c r="H24" i="31"/>
  <c r="H369" i="31"/>
  <c r="E548" i="33"/>
  <c r="H501" i="32"/>
  <c r="G501" i="33"/>
  <c r="H501" i="33" s="1"/>
  <c r="H491" i="30"/>
  <c r="H385" i="34"/>
  <c r="H493" i="34"/>
  <c r="H287" i="32"/>
  <c r="H287" i="31"/>
  <c r="H509" i="32"/>
  <c r="G509" i="33"/>
  <c r="H509" i="33" s="1"/>
  <c r="H463" i="31"/>
  <c r="G463" i="32"/>
  <c r="G437" i="32"/>
  <c r="H437" i="31"/>
  <c r="H474" i="32"/>
  <c r="G474" i="33"/>
  <c r="H474" i="33" s="1"/>
  <c r="H503" i="33"/>
  <c r="H495" i="34"/>
  <c r="H496" i="34" s="1"/>
  <c r="G496" i="34"/>
  <c r="G496" i="33"/>
  <c r="G504" i="33"/>
  <c r="H504" i="33" s="1"/>
  <c r="H464" i="32"/>
  <c r="G464" i="33"/>
  <c r="H464" i="33" s="1"/>
  <c r="G428" i="33"/>
  <c r="H419" i="32"/>
  <c r="H357" i="32"/>
  <c r="G357" i="33"/>
  <c r="H357" i="33" s="1"/>
  <c r="G432" i="33"/>
  <c r="H432" i="33" s="1"/>
  <c r="H438" i="32"/>
  <c r="G438" i="33"/>
  <c r="H438" i="33" s="1"/>
  <c r="H444" i="31"/>
  <c r="G444" i="33"/>
  <c r="H444" i="33" s="1"/>
  <c r="G475" i="32"/>
  <c r="H475" i="31"/>
  <c r="G418" i="32"/>
  <c r="G493" i="34"/>
  <c r="G502" i="34"/>
  <c r="H500" i="34"/>
  <c r="H502" i="34" s="1"/>
  <c r="G287" i="34"/>
  <c r="H368" i="32"/>
  <c r="G368" i="33"/>
  <c r="H368" i="33" s="1"/>
  <c r="H385" i="30"/>
  <c r="H287" i="30"/>
  <c r="H426" i="31"/>
  <c r="G426" i="34"/>
  <c r="H426" i="34" s="1"/>
  <c r="H427" i="34" s="1"/>
  <c r="G426" i="33"/>
  <c r="H426" i="33" s="1"/>
  <c r="G439" i="33"/>
  <c r="H439" i="33" s="1"/>
  <c r="H439" i="31"/>
  <c r="G479" i="33"/>
  <c r="H479" i="33" s="1"/>
  <c r="H479" i="32"/>
  <c r="H543" i="34"/>
  <c r="H548" i="34" s="1"/>
  <c r="G548" i="34"/>
  <c r="G536" i="32"/>
  <c r="G544" i="31"/>
  <c r="H534" i="31"/>
  <c r="H544" i="31" s="1"/>
  <c r="H367" i="31"/>
  <c r="G367" i="32"/>
  <c r="H400" i="32"/>
  <c r="G400" i="33"/>
  <c r="H400" i="33" s="1"/>
  <c r="G492" i="31"/>
  <c r="H428" i="31"/>
  <c r="H433" i="31"/>
  <c r="G433" i="32"/>
  <c r="H43" i="33"/>
  <c r="H43" i="34"/>
  <c r="G343" i="33"/>
  <c r="H343" i="33" s="1"/>
  <c r="H343" i="32"/>
  <c r="G499" i="34"/>
  <c r="H428" i="32"/>
  <c r="G330" i="33"/>
  <c r="H330" i="33" s="1"/>
  <c r="H330" i="32"/>
  <c r="H465" i="32"/>
  <c r="F544" i="30"/>
  <c r="H403" i="31"/>
  <c r="G349" i="32"/>
  <c r="H349" i="31"/>
  <c r="G391" i="32"/>
  <c r="G427" i="31"/>
  <c r="H391" i="31"/>
  <c r="H378" i="32"/>
  <c r="G378" i="33"/>
  <c r="H378" i="33" s="1"/>
  <c r="H161" i="33"/>
  <c r="H499" i="34"/>
  <c r="H427" i="30"/>
  <c r="H161" i="31"/>
  <c r="H333" i="31"/>
  <c r="H385" i="31" s="1"/>
  <c r="G333" i="32"/>
  <c r="H392" i="31"/>
  <c r="G392" i="32"/>
  <c r="G402" i="32"/>
  <c r="H402" i="31"/>
  <c r="H448" i="32"/>
  <c r="G448" i="33"/>
  <c r="H448" i="33" s="1"/>
  <c r="G455" i="32"/>
  <c r="H455" i="32" s="1"/>
  <c r="G455" i="33"/>
  <c r="H455" i="33" s="1"/>
  <c r="H461" i="32"/>
  <c r="G461" i="33"/>
  <c r="H461" i="33" s="1"/>
  <c r="H508" i="31"/>
  <c r="G522" i="31"/>
  <c r="G451" i="33"/>
  <c r="H451" i="33" s="1"/>
  <c r="G287" i="33"/>
  <c r="H211" i="33"/>
  <c r="H287" i="33" s="1"/>
  <c r="G515" i="33"/>
  <c r="H515" i="33" s="1"/>
  <c r="H515" i="32"/>
  <c r="H78" i="31"/>
  <c r="G328" i="32"/>
  <c r="G385" i="31"/>
  <c r="H328" i="31"/>
  <c r="G350" i="33"/>
  <c r="H350" i="33" s="1"/>
  <c r="H350" i="32"/>
  <c r="H369" i="32"/>
  <c r="G369" i="33"/>
  <c r="H369" i="33" s="1"/>
  <c r="G393" i="32"/>
  <c r="H393" i="31"/>
  <c r="G403" i="33"/>
  <c r="H403" i="33" s="1"/>
  <c r="H403" i="32"/>
  <c r="H456" i="32"/>
  <c r="G456" i="33"/>
  <c r="H456" i="33" s="1"/>
  <c r="G510" i="33"/>
  <c r="H510" i="33" s="1"/>
  <c r="H510" i="32"/>
  <c r="G527" i="32"/>
  <c r="H525" i="31"/>
  <c r="G287" i="32"/>
  <c r="H195" i="33"/>
  <c r="H537" i="34"/>
  <c r="H520" i="32"/>
  <c r="H195" i="30"/>
  <c r="H24" i="30"/>
  <c r="H43" i="31"/>
  <c r="H195" i="31"/>
  <c r="G287" i="31"/>
  <c r="H404" i="31"/>
  <c r="G404" i="32"/>
  <c r="G449" i="33"/>
  <c r="H449" i="33" s="1"/>
  <c r="H449" i="31"/>
  <c r="H24" i="32"/>
  <c r="H78" i="32"/>
  <c r="G366" i="32"/>
  <c r="H24" i="33"/>
  <c r="G537" i="34"/>
  <c r="G415" i="33"/>
  <c r="H415" i="33" s="1"/>
  <c r="H161" i="30"/>
  <c r="H445" i="32"/>
  <c r="G445" i="33"/>
  <c r="H445" i="33" s="1"/>
  <c r="H500" i="31"/>
  <c r="H543" i="30"/>
  <c r="G352" i="32"/>
  <c r="G371" i="33"/>
  <c r="H371" i="33" s="1"/>
  <c r="H371" i="32"/>
  <c r="G396" i="33"/>
  <c r="H396" i="33" s="1"/>
  <c r="H396" i="32"/>
  <c r="H472" i="31"/>
  <c r="G472" i="32"/>
  <c r="H528" i="32"/>
  <c r="G529" i="33"/>
  <c r="H529" i="33" s="1"/>
  <c r="H364" i="32"/>
  <c r="G364" i="33"/>
  <c r="H364" i="33" s="1"/>
  <c r="H24" i="34"/>
  <c r="H459" i="31"/>
  <c r="G459" i="32"/>
  <c r="H465" i="31"/>
  <c r="E544" i="30"/>
  <c r="G544" i="30"/>
  <c r="H372" i="32"/>
  <c r="G397" i="32"/>
  <c r="H406" i="32"/>
  <c r="G406" i="33"/>
  <c r="H406" i="33" s="1"/>
  <c r="G443" i="33"/>
  <c r="H443" i="33" s="1"/>
  <c r="G500" i="32"/>
  <c r="G501" i="31"/>
  <c r="H499" i="31"/>
  <c r="H501" i="31" s="1"/>
  <c r="G517" i="32"/>
  <c r="G482" i="33"/>
  <c r="H482" i="33" s="1"/>
  <c r="H482" i="32"/>
  <c r="G385" i="34"/>
  <c r="G414" i="33"/>
  <c r="H414" i="33" s="1"/>
  <c r="H424" i="31"/>
  <c r="G466" i="32"/>
  <c r="H504" i="31"/>
  <c r="H522" i="31" s="1"/>
  <c r="G521" i="33"/>
  <c r="H521" i="33" s="1"/>
  <c r="H461" i="31"/>
  <c r="G530" i="33"/>
  <c r="H530" i="33" s="1"/>
  <c r="G331" i="33"/>
  <c r="H331" i="33" s="1"/>
  <c r="G545" i="31" l="1"/>
  <c r="H416" i="32"/>
  <c r="G416" i="33"/>
  <c r="H416" i="33" s="1"/>
  <c r="H530" i="31"/>
  <c r="H460" i="32"/>
  <c r="G460" i="33"/>
  <c r="H460" i="33" s="1"/>
  <c r="G413" i="33"/>
  <c r="H413" i="33" s="1"/>
  <c r="H413" i="32"/>
  <c r="H499" i="32"/>
  <c r="G499" i="32"/>
  <c r="H366" i="32"/>
  <c r="G366" i="33"/>
  <c r="H366" i="33" s="1"/>
  <c r="G367" i="33"/>
  <c r="H367" i="33" s="1"/>
  <c r="H367" i="32"/>
  <c r="G437" i="33"/>
  <c r="H437" i="33" s="1"/>
  <c r="H437" i="32"/>
  <c r="H544" i="30"/>
  <c r="H418" i="32"/>
  <c r="G418" i="33"/>
  <c r="H418" i="33" s="1"/>
  <c r="G500" i="33"/>
  <c r="G502" i="32"/>
  <c r="H500" i="32"/>
  <c r="H502" i="32" s="1"/>
  <c r="G352" i="33"/>
  <c r="H352" i="33" s="1"/>
  <c r="H352" i="32"/>
  <c r="H393" i="32"/>
  <c r="G393" i="33"/>
  <c r="H393" i="33" s="1"/>
  <c r="H427" i="31"/>
  <c r="G475" i="33"/>
  <c r="H475" i="33" s="1"/>
  <c r="H475" i="32"/>
  <c r="G463" i="33"/>
  <c r="H463" i="33" s="1"/>
  <c r="H463" i="32"/>
  <c r="H402" i="32"/>
  <c r="G402" i="33"/>
  <c r="H402" i="33" s="1"/>
  <c r="H392" i="32"/>
  <c r="G392" i="33"/>
  <c r="H392" i="33" s="1"/>
  <c r="G427" i="34"/>
  <c r="G549" i="34" s="1"/>
  <c r="H555" i="34" s="1"/>
  <c r="G385" i="32"/>
  <c r="H328" i="32"/>
  <c r="G328" i="33"/>
  <c r="G517" i="33"/>
  <c r="H517" i="32"/>
  <c r="H524" i="32" s="1"/>
  <c r="G524" i="32"/>
  <c r="H428" i="33"/>
  <c r="H549" i="34"/>
  <c r="H552" i="34" s="1"/>
  <c r="H391" i="32"/>
  <c r="G391" i="33"/>
  <c r="G427" i="32"/>
  <c r="G537" i="33"/>
  <c r="H536" i="32"/>
  <c r="H546" i="32" s="1"/>
  <c r="G546" i="32"/>
  <c r="G466" i="33"/>
  <c r="H466" i="33" s="1"/>
  <c r="H466" i="32"/>
  <c r="G404" i="33"/>
  <c r="H404" i="33" s="1"/>
  <c r="H404" i="32"/>
  <c r="G397" i="33"/>
  <c r="H397" i="33" s="1"/>
  <c r="H397" i="32"/>
  <c r="G528" i="33"/>
  <c r="H527" i="32"/>
  <c r="H532" i="32" s="1"/>
  <c r="G532" i="32"/>
  <c r="H333" i="32"/>
  <c r="G333" i="33"/>
  <c r="H333" i="33" s="1"/>
  <c r="G349" i="33"/>
  <c r="H349" i="33" s="1"/>
  <c r="H349" i="32"/>
  <c r="H492" i="31"/>
  <c r="G493" i="32"/>
  <c r="G433" i="33"/>
  <c r="H433" i="33" s="1"/>
  <c r="H433" i="32"/>
  <c r="H459" i="32"/>
  <c r="G459" i="33"/>
  <c r="H459" i="33" s="1"/>
  <c r="H472" i="32"/>
  <c r="G472" i="33"/>
  <c r="H472" i="33" s="1"/>
  <c r="G547" i="32" l="1"/>
  <c r="H545" i="31"/>
  <c r="H493" i="32"/>
  <c r="H385" i="32"/>
  <c r="H500" i="33"/>
  <c r="H502" i="33" s="1"/>
  <c r="G502" i="33"/>
  <c r="H537" i="33"/>
  <c r="H547" i="33" s="1"/>
  <c r="G547" i="33"/>
  <c r="H328" i="33"/>
  <c r="H385" i="33" s="1"/>
  <c r="G385" i="33"/>
  <c r="H391" i="33"/>
  <c r="H427" i="33" s="1"/>
  <c r="G427" i="33"/>
  <c r="H517" i="33"/>
  <c r="H525" i="33" s="1"/>
  <c r="G525" i="33"/>
  <c r="H528" i="33"/>
  <c r="H533" i="33" s="1"/>
  <c r="G533" i="33"/>
  <c r="H427" i="32"/>
  <c r="H493" i="33"/>
  <c r="G493" i="33"/>
  <c r="H547" i="32" l="1"/>
  <c r="H548" i="33"/>
  <c r="G548" i="33"/>
</calcChain>
</file>

<file path=xl/sharedStrings.xml><?xml version="1.0" encoding="utf-8"?>
<sst xmlns="http://schemas.openxmlformats.org/spreadsheetml/2006/main" count="13991" uniqueCount="1776">
  <si>
    <t>59. 9.21</t>
    <phoneticPr fontId="5"/>
  </si>
  <si>
    <t>60. 3.20</t>
    <phoneticPr fontId="5"/>
  </si>
  <si>
    <t>60. 3.30</t>
    <phoneticPr fontId="5"/>
  </si>
  <si>
    <t>60.10.17</t>
    <phoneticPr fontId="5"/>
  </si>
  <si>
    <t>60.10.25</t>
    <phoneticPr fontId="5"/>
  </si>
  <si>
    <t>61. 3.25</t>
    <phoneticPr fontId="5"/>
  </si>
  <si>
    <t>62. 1.26</t>
    <phoneticPr fontId="5"/>
  </si>
  <si>
    <t>62. 1.30</t>
    <phoneticPr fontId="5"/>
  </si>
  <si>
    <t xml:space="preserve"> 61</t>
    <phoneticPr fontId="5"/>
  </si>
  <si>
    <t xml:space="preserve"> 62. 3.25</t>
    <phoneticPr fontId="5"/>
  </si>
  <si>
    <t>62. 6.18</t>
    <phoneticPr fontId="5"/>
  </si>
  <si>
    <t>62. 8.20</t>
    <phoneticPr fontId="5"/>
  </si>
  <si>
    <t>62.11.25</t>
    <phoneticPr fontId="5"/>
  </si>
  <si>
    <t>63. 3.25</t>
    <phoneticPr fontId="5"/>
  </si>
  <si>
    <t>62</t>
    <phoneticPr fontId="5"/>
  </si>
  <si>
    <t xml:space="preserve"> 63.12.26</t>
    <phoneticPr fontId="5"/>
  </si>
  <si>
    <t>平元. 6.30</t>
    <phoneticPr fontId="5"/>
  </si>
  <si>
    <t>平元</t>
    <phoneticPr fontId="5"/>
  </si>
  <si>
    <t xml:space="preserve"> 2. 3.26</t>
    <phoneticPr fontId="5"/>
  </si>
  <si>
    <t>元</t>
    <phoneticPr fontId="2"/>
  </si>
  <si>
    <t>3. 3.25</t>
    <phoneticPr fontId="5"/>
  </si>
  <si>
    <t>元</t>
    <phoneticPr fontId="5"/>
  </si>
  <si>
    <t xml:space="preserve"> 3. 3.28</t>
    <phoneticPr fontId="5"/>
  </si>
  <si>
    <t>3. 3.28</t>
    <phoneticPr fontId="5"/>
  </si>
  <si>
    <t xml:space="preserve"> 5. 3.25</t>
    <phoneticPr fontId="5"/>
  </si>
  <si>
    <t>5. 3.26</t>
    <phoneticPr fontId="5"/>
  </si>
  <si>
    <t>種　 別</t>
    <phoneticPr fontId="5"/>
  </si>
  <si>
    <t>引 受 先</t>
    <phoneticPr fontId="5"/>
  </si>
  <si>
    <t>発 行 総 額</t>
    <phoneticPr fontId="5"/>
  </si>
  <si>
    <t>償　　　還　　　高</t>
    <phoneticPr fontId="5"/>
  </si>
  <si>
    <t>利 率</t>
    <phoneticPr fontId="5"/>
  </si>
  <si>
    <t>年利％</t>
    <phoneticPr fontId="2"/>
  </si>
  <si>
    <t xml:space="preserve"> 6.12.26</t>
    <phoneticPr fontId="5"/>
  </si>
  <si>
    <t>昭59</t>
    <phoneticPr fontId="5"/>
  </si>
  <si>
    <t xml:space="preserve"> 7. 3.17</t>
    <phoneticPr fontId="5"/>
  </si>
  <si>
    <t>平 6</t>
    <phoneticPr fontId="5"/>
  </si>
  <si>
    <t>7. 3.17</t>
    <phoneticPr fontId="5"/>
  </si>
  <si>
    <t>平 6</t>
    <phoneticPr fontId="5"/>
  </si>
  <si>
    <t xml:space="preserve"> 7.11.30</t>
    <phoneticPr fontId="5"/>
  </si>
  <si>
    <t xml:space="preserve"> 8. 3.22</t>
    <phoneticPr fontId="5"/>
  </si>
  <si>
    <t xml:space="preserve"> 9. 1.31</t>
    <phoneticPr fontId="5"/>
  </si>
  <si>
    <t xml:space="preserve"> 9. 9.25</t>
    <phoneticPr fontId="5"/>
  </si>
  <si>
    <t xml:space="preserve"> 10. 3.25</t>
    <phoneticPr fontId="5"/>
  </si>
  <si>
    <t>H37</t>
    <phoneticPr fontId="5"/>
  </si>
  <si>
    <t xml:space="preserve"> 11. 1.29</t>
    <phoneticPr fontId="5"/>
  </si>
  <si>
    <t xml:space="preserve"> 11. 3.24</t>
    <phoneticPr fontId="5"/>
  </si>
  <si>
    <t xml:space="preserve"> 11. 3.25</t>
    <phoneticPr fontId="5"/>
  </si>
  <si>
    <t xml:space="preserve"> 12. 3.22</t>
    <phoneticPr fontId="5"/>
  </si>
  <si>
    <t>H39</t>
    <phoneticPr fontId="5"/>
  </si>
  <si>
    <t xml:space="preserve"> 12. 3.24</t>
    <phoneticPr fontId="5"/>
  </si>
  <si>
    <t>H41</t>
    <phoneticPr fontId="5"/>
  </si>
  <si>
    <t xml:space="preserve"> 14. 3.22</t>
    <phoneticPr fontId="5"/>
  </si>
  <si>
    <t>H41</t>
    <phoneticPr fontId="5"/>
  </si>
  <si>
    <t xml:space="preserve"> 15. 3.25</t>
    <phoneticPr fontId="5"/>
  </si>
  <si>
    <t>H42</t>
    <phoneticPr fontId="5"/>
  </si>
  <si>
    <t xml:space="preserve"> 16. 3.23</t>
    <phoneticPr fontId="5"/>
  </si>
  <si>
    <t>H43</t>
    <phoneticPr fontId="5"/>
  </si>
  <si>
    <t xml:space="preserve"> 17. 3.23</t>
    <phoneticPr fontId="5"/>
  </si>
  <si>
    <t>H44</t>
    <phoneticPr fontId="5"/>
  </si>
  <si>
    <t xml:space="preserve"> 17.10.28</t>
    <phoneticPr fontId="5"/>
  </si>
  <si>
    <t>H21</t>
    <phoneticPr fontId="5"/>
  </si>
  <si>
    <t>H22</t>
    <phoneticPr fontId="5"/>
  </si>
  <si>
    <t xml:space="preserve"> 18. 3.23</t>
    <phoneticPr fontId="5"/>
  </si>
  <si>
    <t>H45</t>
    <phoneticPr fontId="5"/>
  </si>
  <si>
    <t>18.10.31</t>
    <phoneticPr fontId="2"/>
  </si>
  <si>
    <t>H21</t>
    <phoneticPr fontId="2"/>
  </si>
  <si>
    <t>H23</t>
    <phoneticPr fontId="2"/>
  </si>
  <si>
    <t>20. 3.21</t>
    <phoneticPr fontId="2"/>
  </si>
  <si>
    <t>H21</t>
    <phoneticPr fontId="2"/>
  </si>
  <si>
    <t>H22</t>
    <phoneticPr fontId="2"/>
  </si>
  <si>
    <t>昭53</t>
    <phoneticPr fontId="5"/>
  </si>
  <si>
    <t>昭55. 3.31</t>
    <phoneticPr fontId="5"/>
  </si>
  <si>
    <t>56. 3.31</t>
    <phoneticPr fontId="5"/>
  </si>
  <si>
    <t>57. 3.31</t>
    <phoneticPr fontId="5"/>
  </si>
  <si>
    <t>平 4</t>
    <phoneticPr fontId="5"/>
  </si>
  <si>
    <t>平5. 3.26</t>
    <phoneticPr fontId="5"/>
  </si>
  <si>
    <t xml:space="preserve"> 7.12.25</t>
    <phoneticPr fontId="5"/>
  </si>
  <si>
    <t xml:space="preserve">  8. 3.22</t>
    <phoneticPr fontId="5"/>
  </si>
  <si>
    <t>9. 3.26</t>
    <phoneticPr fontId="5"/>
  </si>
  <si>
    <t>10. 1.30</t>
    <phoneticPr fontId="5"/>
  </si>
  <si>
    <r>
      <t>2</t>
    </r>
    <r>
      <rPr>
        <sz val="8"/>
        <color indexed="8"/>
        <rFont val="ＭＳ 明朝"/>
        <family val="1"/>
        <charset val="128"/>
      </rPr>
      <t>5.</t>
    </r>
    <r>
      <rPr>
        <sz val="8"/>
        <color indexed="8"/>
        <rFont val="ＭＳ 明朝"/>
        <family val="1"/>
        <charset val="128"/>
      </rPr>
      <t xml:space="preserve"> 3.2</t>
    </r>
    <r>
      <rPr>
        <sz val="8"/>
        <color indexed="8"/>
        <rFont val="ＭＳ 明朝"/>
        <family val="1"/>
        <charset val="128"/>
      </rPr>
      <t>5</t>
    </r>
    <phoneticPr fontId="2"/>
  </si>
  <si>
    <t>H34</t>
    <phoneticPr fontId="2"/>
  </si>
  <si>
    <t>H54</t>
  </si>
  <si>
    <r>
      <t>2</t>
    </r>
    <r>
      <rPr>
        <sz val="8"/>
        <color indexed="8"/>
        <rFont val="ＭＳ 明朝"/>
        <family val="1"/>
        <charset val="128"/>
      </rPr>
      <t>5</t>
    </r>
    <r>
      <rPr>
        <sz val="8"/>
        <color indexed="8"/>
        <rFont val="ＭＳ 明朝"/>
        <family val="1"/>
        <charset val="128"/>
      </rPr>
      <t>. 3.2</t>
    </r>
    <r>
      <rPr>
        <sz val="8"/>
        <color indexed="8"/>
        <rFont val="ＭＳ 明朝"/>
        <family val="1"/>
        <charset val="128"/>
      </rPr>
      <t>5</t>
    </r>
    <phoneticPr fontId="2"/>
  </si>
  <si>
    <t xml:space="preserve"> 12. 1.25</t>
    <phoneticPr fontId="5"/>
  </si>
  <si>
    <t>種　 別</t>
    <phoneticPr fontId="5"/>
  </si>
  <si>
    <t>引 受 先</t>
    <phoneticPr fontId="5"/>
  </si>
  <si>
    <t>発 行 総 額</t>
    <phoneticPr fontId="5"/>
  </si>
  <si>
    <t>償　　　還　　　高</t>
    <phoneticPr fontId="5"/>
  </si>
  <si>
    <t>利 率</t>
    <phoneticPr fontId="5"/>
  </si>
  <si>
    <t>年利％</t>
    <phoneticPr fontId="2"/>
  </si>
  <si>
    <t xml:space="preserve"> 13. 1.25</t>
    <phoneticPr fontId="5"/>
  </si>
  <si>
    <t>H22</t>
    <phoneticPr fontId="5"/>
  </si>
  <si>
    <t xml:space="preserve"> 13. 3.22</t>
    <phoneticPr fontId="5"/>
  </si>
  <si>
    <t>H40</t>
    <phoneticPr fontId="5"/>
  </si>
  <si>
    <t xml:space="preserve"> 13. 3.26</t>
    <phoneticPr fontId="5"/>
  </si>
  <si>
    <t>H42</t>
    <phoneticPr fontId="5"/>
  </si>
  <si>
    <t xml:space="preserve"> 14. 3.22</t>
    <phoneticPr fontId="5"/>
  </si>
  <si>
    <t xml:space="preserve"> 14. 3.25</t>
    <phoneticPr fontId="5"/>
  </si>
  <si>
    <t>H43</t>
    <phoneticPr fontId="5"/>
  </si>
  <si>
    <t xml:space="preserve"> 15. 3.25</t>
    <phoneticPr fontId="5"/>
  </si>
  <si>
    <t xml:space="preserve"> 16. 3.23</t>
    <phoneticPr fontId="5"/>
  </si>
  <si>
    <t xml:space="preserve"> 17. 3.23</t>
    <phoneticPr fontId="5"/>
  </si>
  <si>
    <t>平 6</t>
    <phoneticPr fontId="5"/>
  </si>
  <si>
    <t>平 7. 3.27</t>
    <phoneticPr fontId="5"/>
  </si>
  <si>
    <t xml:space="preserve"> 7. 3.27</t>
    <phoneticPr fontId="5"/>
  </si>
  <si>
    <t xml:space="preserve"> 7. 3.31</t>
    <phoneticPr fontId="5"/>
  </si>
  <si>
    <t xml:space="preserve"> 8. 3.14</t>
    <phoneticPr fontId="5"/>
  </si>
  <si>
    <t xml:space="preserve"> 8. 3.22</t>
    <phoneticPr fontId="5"/>
  </si>
  <si>
    <t xml:space="preserve"> 8. 3.25</t>
    <phoneticPr fontId="5"/>
  </si>
  <si>
    <t xml:space="preserve"> 9. 3.25</t>
    <phoneticPr fontId="5"/>
  </si>
  <si>
    <t xml:space="preserve"> 9. 3.26</t>
    <phoneticPr fontId="5"/>
  </si>
  <si>
    <t xml:space="preserve"> 10. 3.19</t>
    <phoneticPr fontId="5"/>
  </si>
  <si>
    <t xml:space="preserve"> 10. 3.25</t>
    <phoneticPr fontId="5"/>
  </si>
  <si>
    <t xml:space="preserve"> 10. 3.25</t>
    <phoneticPr fontId="5"/>
  </si>
  <si>
    <t xml:space="preserve"> 11. 1.20</t>
    <phoneticPr fontId="5"/>
  </si>
  <si>
    <t xml:space="preserve"> 11. 1.26</t>
    <phoneticPr fontId="5"/>
  </si>
  <si>
    <t xml:space="preserve"> 11. 3.24</t>
    <phoneticPr fontId="5"/>
  </si>
  <si>
    <t xml:space="preserve"> 11. 3.24</t>
    <phoneticPr fontId="5"/>
  </si>
  <si>
    <t xml:space="preserve"> 12. 1.20</t>
    <phoneticPr fontId="5"/>
  </si>
  <si>
    <t xml:space="preserve"> 12. 3.22</t>
    <phoneticPr fontId="5"/>
  </si>
  <si>
    <t>H39</t>
    <phoneticPr fontId="5"/>
  </si>
  <si>
    <t xml:space="preserve"> 12. 9.25</t>
    <phoneticPr fontId="5"/>
  </si>
  <si>
    <t xml:space="preserve"> 13. 3.26</t>
    <phoneticPr fontId="5"/>
  </si>
  <si>
    <t xml:space="preserve"> 14. 3.29</t>
    <phoneticPr fontId="5"/>
  </si>
  <si>
    <t>無利子</t>
    <phoneticPr fontId="5"/>
  </si>
  <si>
    <t xml:space="preserve"> 17. 3. 1</t>
    <phoneticPr fontId="5"/>
  </si>
  <si>
    <t>H39</t>
    <phoneticPr fontId="5"/>
  </si>
  <si>
    <t>H42</t>
    <phoneticPr fontId="5"/>
  </si>
  <si>
    <t>H45</t>
    <phoneticPr fontId="5"/>
  </si>
  <si>
    <t>種　 別</t>
    <phoneticPr fontId="5"/>
  </si>
  <si>
    <t>引 受 先</t>
    <phoneticPr fontId="5"/>
  </si>
  <si>
    <t>発 行 総 額</t>
    <phoneticPr fontId="5"/>
  </si>
  <si>
    <t>償　　　還　　　高</t>
    <phoneticPr fontId="5"/>
  </si>
  <si>
    <t>利 率</t>
    <phoneticPr fontId="5"/>
  </si>
  <si>
    <t>年利％</t>
    <phoneticPr fontId="2"/>
  </si>
  <si>
    <t>H40</t>
    <phoneticPr fontId="5"/>
  </si>
  <si>
    <t>17. 3.23</t>
    <phoneticPr fontId="5"/>
  </si>
  <si>
    <t>17. 3.25</t>
    <phoneticPr fontId="5"/>
  </si>
  <si>
    <t>H46</t>
    <phoneticPr fontId="5"/>
  </si>
  <si>
    <t>18. 3.27</t>
    <phoneticPr fontId="5"/>
  </si>
  <si>
    <t>H47</t>
    <phoneticPr fontId="5"/>
  </si>
  <si>
    <t xml:space="preserve"> 50. 3.31</t>
    <phoneticPr fontId="5"/>
  </si>
  <si>
    <t>H17</t>
    <phoneticPr fontId="2"/>
  </si>
  <si>
    <t>H21</t>
    <phoneticPr fontId="2"/>
  </si>
  <si>
    <t xml:space="preserve"> 56</t>
    <phoneticPr fontId="5"/>
  </si>
  <si>
    <t xml:space="preserve"> 57. 9.21</t>
    <phoneticPr fontId="5"/>
  </si>
  <si>
    <t>平17</t>
    <phoneticPr fontId="5"/>
  </si>
  <si>
    <t>平17.10.28</t>
    <phoneticPr fontId="5"/>
  </si>
  <si>
    <t>昭57</t>
    <phoneticPr fontId="5"/>
  </si>
  <si>
    <t>昭58. 3.22</t>
    <phoneticPr fontId="5"/>
  </si>
  <si>
    <t>H18</t>
    <phoneticPr fontId="5"/>
  </si>
  <si>
    <t xml:space="preserve"> 15. 2.20</t>
    <phoneticPr fontId="5"/>
  </si>
  <si>
    <t xml:space="preserve"> 15. 3.25</t>
    <phoneticPr fontId="5"/>
  </si>
  <si>
    <t>H42</t>
    <phoneticPr fontId="5"/>
  </si>
  <si>
    <t xml:space="preserve"> 16. 3.23</t>
    <phoneticPr fontId="5"/>
  </si>
  <si>
    <t>H43</t>
    <phoneticPr fontId="5"/>
  </si>
  <si>
    <t>16. 3.25</t>
    <phoneticPr fontId="5"/>
  </si>
  <si>
    <t xml:space="preserve"> 16.12.24</t>
    <phoneticPr fontId="5"/>
  </si>
  <si>
    <t>H44</t>
    <phoneticPr fontId="5"/>
  </si>
  <si>
    <t xml:space="preserve"> 16.12.27</t>
    <phoneticPr fontId="5"/>
  </si>
  <si>
    <t>H46</t>
    <phoneticPr fontId="5"/>
  </si>
  <si>
    <t xml:space="preserve"> 17. 3. 1</t>
    <phoneticPr fontId="5"/>
  </si>
  <si>
    <t>財務省</t>
    <rPh sb="0" eb="3">
      <t>ザイムショウ</t>
    </rPh>
    <phoneticPr fontId="5"/>
  </si>
  <si>
    <t>財務省</t>
    <rPh sb="0" eb="2">
      <t>ザイム</t>
    </rPh>
    <phoneticPr fontId="5"/>
  </si>
  <si>
    <t>厚生労働省</t>
    <rPh sb="0" eb="2">
      <t>コウセイ</t>
    </rPh>
    <rPh sb="2" eb="5">
      <t>ロウドウショウ</t>
    </rPh>
    <phoneticPr fontId="5"/>
  </si>
  <si>
    <t>整備事業債</t>
    <rPh sb="0" eb="2">
      <t>セイビ</t>
    </rPh>
    <rPh sb="2" eb="4">
      <t>ジギョウ</t>
    </rPh>
    <rPh sb="4" eb="5">
      <t>サイ</t>
    </rPh>
    <phoneticPr fontId="5"/>
  </si>
  <si>
    <r>
      <t>H27</t>
    </r>
    <r>
      <rPr>
        <sz val="11"/>
        <rFont val="明朝"/>
        <family val="1"/>
        <charset val="128"/>
      </rPr>
      <t/>
    </r>
  </si>
  <si>
    <t>印旛沼開発施設</t>
    <rPh sb="0" eb="2">
      <t>インバ</t>
    </rPh>
    <rPh sb="2" eb="3">
      <t>ヌマ</t>
    </rPh>
    <rPh sb="3" eb="5">
      <t>カイハツ</t>
    </rPh>
    <rPh sb="5" eb="7">
      <t>シセツ</t>
    </rPh>
    <phoneticPr fontId="5"/>
  </si>
  <si>
    <t>緊急改築事業</t>
    <rPh sb="0" eb="2">
      <t>キンキュウ</t>
    </rPh>
    <rPh sb="2" eb="4">
      <t>カイチク</t>
    </rPh>
    <rPh sb="4" eb="6">
      <t>ジギョウ</t>
    </rPh>
    <phoneticPr fontId="5"/>
  </si>
  <si>
    <t>合　 計</t>
    <rPh sb="0" eb="1">
      <t>ゴウ</t>
    </rPh>
    <phoneticPr fontId="5"/>
  </si>
  <si>
    <t>S45</t>
  </si>
  <si>
    <t>円</t>
    <rPh sb="0" eb="1">
      <t>エン</t>
    </rPh>
    <phoneticPr fontId="2"/>
  </si>
  <si>
    <t/>
  </si>
  <si>
    <t>未償還残高</t>
  </si>
  <si>
    <t>年度</t>
  </si>
  <si>
    <t>当年度償還高</t>
  </si>
  <si>
    <t>年 月 日</t>
  </si>
  <si>
    <t>円</t>
  </si>
  <si>
    <t>第一次拡張</t>
  </si>
  <si>
    <t>千葉銀行</t>
  </si>
  <si>
    <t>S38</t>
  </si>
  <si>
    <t>事業債</t>
  </si>
  <si>
    <t>31</t>
  </si>
  <si>
    <t>千葉興業銀行</t>
  </si>
  <si>
    <t>大蔵省</t>
  </si>
  <si>
    <t>S50</t>
  </si>
  <si>
    <t>32</t>
  </si>
  <si>
    <t>S57</t>
  </si>
  <si>
    <t>公営企業金融公庫</t>
  </si>
  <si>
    <t>S47</t>
  </si>
  <si>
    <t>33</t>
  </si>
  <si>
    <t>S48</t>
  </si>
  <si>
    <t>郵政省</t>
  </si>
  <si>
    <t>S58</t>
  </si>
  <si>
    <t>34</t>
  </si>
  <si>
    <t>S49</t>
  </si>
  <si>
    <t>S41</t>
  </si>
  <si>
    <t>S59</t>
  </si>
  <si>
    <t>35</t>
  </si>
  <si>
    <t>S43</t>
  </si>
  <si>
    <t>S60</t>
  </si>
  <si>
    <t>36</t>
  </si>
  <si>
    <t>S51</t>
  </si>
  <si>
    <t>S61</t>
  </si>
  <si>
    <t>37</t>
  </si>
  <si>
    <t>S44</t>
  </si>
  <si>
    <t>日本勧業銀行</t>
  </si>
  <si>
    <t>第二次拡張</t>
  </si>
  <si>
    <t>S52</t>
  </si>
  <si>
    <t>S62</t>
  </si>
  <si>
    <t>38</t>
  </si>
  <si>
    <t>S56</t>
  </si>
  <si>
    <t>公立学校共済組合</t>
  </si>
  <si>
    <t>S63</t>
  </si>
  <si>
    <t>39</t>
  </si>
  <si>
    <t>S46</t>
  </si>
  <si>
    <t>H元</t>
  </si>
  <si>
    <t>40</t>
  </si>
  <si>
    <t>H 7</t>
  </si>
  <si>
    <t>41</t>
  </si>
  <si>
    <t>H 8</t>
  </si>
  <si>
    <t>第三次拡張</t>
  </si>
  <si>
    <t>H 2</t>
  </si>
  <si>
    <t>42</t>
  </si>
  <si>
    <t>H 9</t>
  </si>
  <si>
    <t>43</t>
  </si>
  <si>
    <t>H 3</t>
  </si>
  <si>
    <t>H10</t>
  </si>
  <si>
    <t>44</t>
  </si>
  <si>
    <t>H 4</t>
  </si>
  <si>
    <t>S53</t>
  </si>
  <si>
    <t>H11</t>
  </si>
  <si>
    <t>45</t>
  </si>
  <si>
    <t>H 5</t>
  </si>
  <si>
    <t>H12</t>
  </si>
  <si>
    <t>46</t>
  </si>
  <si>
    <t>H 6</t>
  </si>
  <si>
    <t>S55</t>
  </si>
  <si>
    <t>H13</t>
  </si>
  <si>
    <t>第四次拡張</t>
  </si>
  <si>
    <t>47</t>
  </si>
  <si>
    <t>H14</t>
  </si>
  <si>
    <t>48</t>
  </si>
  <si>
    <t>H16</t>
  </si>
  <si>
    <t>49</t>
  </si>
  <si>
    <t>H15</t>
  </si>
  <si>
    <t>H17</t>
  </si>
  <si>
    <t>50</t>
  </si>
  <si>
    <t>H18</t>
  </si>
  <si>
    <t>51</t>
  </si>
  <si>
    <t>H19</t>
  </si>
  <si>
    <t>52</t>
  </si>
  <si>
    <t>H20</t>
  </si>
  <si>
    <t>53</t>
  </si>
  <si>
    <t xml:space="preserve"> 53</t>
  </si>
  <si>
    <t>H21</t>
  </si>
  <si>
    <t>54</t>
  </si>
  <si>
    <t>55</t>
  </si>
  <si>
    <t>56</t>
  </si>
  <si>
    <t>H22</t>
  </si>
  <si>
    <t>57</t>
  </si>
  <si>
    <t>58</t>
  </si>
  <si>
    <t>H23</t>
  </si>
  <si>
    <t>H24</t>
  </si>
  <si>
    <t>59</t>
  </si>
  <si>
    <t>市場公募債</t>
  </si>
  <si>
    <t>H25</t>
  </si>
  <si>
    <t>60</t>
  </si>
  <si>
    <t>H26</t>
  </si>
  <si>
    <t>61</t>
  </si>
  <si>
    <t>H27</t>
  </si>
  <si>
    <t>62</t>
  </si>
  <si>
    <t>厚生省</t>
  </si>
  <si>
    <t>無利子</t>
  </si>
  <si>
    <t>63</t>
  </si>
  <si>
    <t>H28</t>
  </si>
  <si>
    <t>H29</t>
  </si>
  <si>
    <t>元</t>
  </si>
  <si>
    <t>2</t>
  </si>
  <si>
    <t>H30</t>
  </si>
  <si>
    <t>3</t>
  </si>
  <si>
    <t>H33</t>
  </si>
  <si>
    <t>H31</t>
  </si>
  <si>
    <t>H34</t>
  </si>
  <si>
    <t>H32</t>
  </si>
  <si>
    <t>H35</t>
  </si>
  <si>
    <t>H36</t>
  </si>
  <si>
    <t>15. 6.25</t>
  </si>
  <si>
    <t>17. 3.25</t>
  </si>
  <si>
    <t>配水管整備</t>
  </si>
  <si>
    <t xml:space="preserve"> 51</t>
  </si>
  <si>
    <t xml:space="preserve"> 2</t>
  </si>
  <si>
    <t>H37</t>
  </si>
  <si>
    <t>H38</t>
  </si>
  <si>
    <t>H39</t>
  </si>
  <si>
    <t>H40</t>
  </si>
  <si>
    <t xml:space="preserve"> 13. 3.22</t>
  </si>
  <si>
    <t>配水管更生</t>
  </si>
  <si>
    <t>老朽管更新</t>
  </si>
  <si>
    <t>ちば21新水道</t>
  </si>
  <si>
    <t xml:space="preserve"> 17. 3.25</t>
  </si>
  <si>
    <t>建設事業債</t>
  </si>
  <si>
    <t>H41</t>
  </si>
  <si>
    <t>16. 1.30</t>
  </si>
  <si>
    <t>償還高累計</t>
    <rPh sb="0" eb="2">
      <t>ショウカン</t>
    </rPh>
    <rPh sb="2" eb="3">
      <t>タカ</t>
    </rPh>
    <rPh sb="3" eb="5">
      <t>ルイケイ</t>
    </rPh>
    <phoneticPr fontId="5"/>
  </si>
  <si>
    <r>
      <t xml:space="preserve"> 12. 3.22</t>
    </r>
    <r>
      <rPr>
        <sz val="11"/>
        <rFont val="明朝"/>
        <family val="1"/>
        <charset val="128"/>
      </rPr>
      <t/>
    </r>
  </si>
  <si>
    <t xml:space="preserve"> 平14.12.13</t>
    <rPh sb="1" eb="2">
      <t>ヘイ</t>
    </rPh>
    <phoneticPr fontId="5"/>
  </si>
  <si>
    <t xml:space="preserve"> 平14. 3.22</t>
    <rPh sb="1" eb="2">
      <t>ヘイ</t>
    </rPh>
    <phoneticPr fontId="5"/>
  </si>
  <si>
    <t xml:space="preserve"> 平15. 3.25</t>
    <rPh sb="1" eb="2">
      <t>ヘイ</t>
    </rPh>
    <phoneticPr fontId="5"/>
  </si>
  <si>
    <t xml:space="preserve"> 平16. 3.25</t>
    <rPh sb="1" eb="2">
      <t>ヘイ</t>
    </rPh>
    <phoneticPr fontId="5"/>
  </si>
  <si>
    <t>許可
年度</t>
    <rPh sb="3" eb="5">
      <t>ネンド</t>
    </rPh>
    <phoneticPr fontId="2"/>
  </si>
  <si>
    <t>発　行
年月日</t>
    <rPh sb="4" eb="7">
      <t>ネンガッピ</t>
    </rPh>
    <phoneticPr fontId="2"/>
  </si>
  <si>
    <t>償還
終期</t>
    <rPh sb="3" eb="5">
      <t>シュウキ</t>
    </rPh>
    <phoneticPr fontId="2"/>
  </si>
  <si>
    <t>平元</t>
    <rPh sb="1" eb="2">
      <t>ガン</t>
    </rPh>
    <phoneticPr fontId="5"/>
  </si>
  <si>
    <t>昭57</t>
    <rPh sb="0" eb="1">
      <t>アキラ</t>
    </rPh>
    <phoneticPr fontId="5"/>
  </si>
  <si>
    <t>平元</t>
    <rPh sb="0" eb="1">
      <t>ヘイ</t>
    </rPh>
    <phoneticPr fontId="5"/>
  </si>
  <si>
    <t>平12</t>
    <rPh sb="0" eb="1">
      <t>ヘイ</t>
    </rPh>
    <phoneticPr fontId="5"/>
  </si>
  <si>
    <t>平13</t>
    <rPh sb="0" eb="1">
      <t>ヘイ</t>
    </rPh>
    <phoneticPr fontId="5"/>
  </si>
  <si>
    <t>平14</t>
    <rPh sb="0" eb="1">
      <t>ヘイ</t>
    </rPh>
    <phoneticPr fontId="5"/>
  </si>
  <si>
    <t>平15</t>
    <rPh sb="0" eb="1">
      <t>ヘイ</t>
    </rPh>
    <phoneticPr fontId="5"/>
  </si>
  <si>
    <t>平17. 3.25</t>
    <rPh sb="0" eb="1">
      <t>ヘイ</t>
    </rPh>
    <phoneticPr fontId="5"/>
  </si>
  <si>
    <t>44. 3.20</t>
  </si>
  <si>
    <t>44. 3.24</t>
  </si>
  <si>
    <t>51. 5.28</t>
  </si>
  <si>
    <t>51. 8.10</t>
  </si>
  <si>
    <t>51.11.30</t>
  </si>
  <si>
    <t>52. 3.20</t>
  </si>
  <si>
    <t>52. 3.22</t>
  </si>
  <si>
    <t>昭51</t>
    <rPh sb="0" eb="1">
      <t>アキラ</t>
    </rPh>
    <phoneticPr fontId="2"/>
  </si>
  <si>
    <t>昭43</t>
    <rPh sb="0" eb="1">
      <t>アキラ</t>
    </rPh>
    <phoneticPr fontId="2"/>
  </si>
  <si>
    <t>47.12.25</t>
  </si>
  <si>
    <t>48. 7.30</t>
  </si>
  <si>
    <t>48. 9.29</t>
  </si>
  <si>
    <t>63.12.21</t>
  </si>
  <si>
    <t>平元. 3.24</t>
  </si>
  <si>
    <t>元. 3.27</t>
  </si>
  <si>
    <t>元. 3.31</t>
  </si>
  <si>
    <t>平元</t>
  </si>
  <si>
    <t>元.11.24</t>
  </si>
  <si>
    <t>昭47</t>
    <rPh sb="0" eb="1">
      <t>アキラ</t>
    </rPh>
    <phoneticPr fontId="2"/>
  </si>
  <si>
    <t>平 4</t>
    <rPh sb="0" eb="1">
      <t>ヘイ</t>
    </rPh>
    <phoneticPr fontId="2"/>
  </si>
  <si>
    <t>平11</t>
    <rPh sb="0" eb="1">
      <t>ヘイ</t>
    </rPh>
    <phoneticPr fontId="2"/>
  </si>
  <si>
    <t>平 9</t>
    <rPh sb="0" eb="1">
      <t>ヘイ</t>
    </rPh>
    <phoneticPr fontId="2"/>
  </si>
  <si>
    <t>H46</t>
  </si>
  <si>
    <t>財務省</t>
    <rPh sb="0" eb="3">
      <t>ザイムショウ</t>
    </rPh>
    <phoneticPr fontId="2"/>
  </si>
  <si>
    <t>19. 2.23</t>
  </si>
  <si>
    <t>19. 3.23</t>
  </si>
  <si>
    <t>20. 3.25</t>
  </si>
  <si>
    <t>17.10.28</t>
  </si>
  <si>
    <t>20. 3.21</t>
  </si>
  <si>
    <t>18.10.31</t>
  </si>
  <si>
    <t>発 行 総 額</t>
    <phoneticPr fontId="5"/>
  </si>
  <si>
    <t>償　　　還　　　高</t>
    <phoneticPr fontId="5"/>
  </si>
  <si>
    <t>利 率</t>
    <phoneticPr fontId="5"/>
  </si>
  <si>
    <t>年利％</t>
    <phoneticPr fontId="2"/>
  </si>
  <si>
    <t>昭31</t>
    <phoneticPr fontId="5"/>
  </si>
  <si>
    <t>昭32. 2.28</t>
    <phoneticPr fontId="5"/>
  </si>
  <si>
    <t>S38</t>
    <phoneticPr fontId="2"/>
  </si>
  <si>
    <t>32. 2.28</t>
    <phoneticPr fontId="5"/>
  </si>
  <si>
    <t>32. 5.27</t>
    <phoneticPr fontId="5"/>
  </si>
  <si>
    <t>33. 3.29</t>
    <phoneticPr fontId="5"/>
  </si>
  <si>
    <t>33. 4.10</t>
    <phoneticPr fontId="5"/>
  </si>
  <si>
    <t>34. 3.25</t>
    <phoneticPr fontId="5"/>
  </si>
  <si>
    <t>34. 8.31</t>
    <phoneticPr fontId="5"/>
  </si>
  <si>
    <t>35. 3.30</t>
    <phoneticPr fontId="5"/>
  </si>
  <si>
    <t>35. 5.23</t>
    <phoneticPr fontId="5"/>
  </si>
  <si>
    <t>35. 5.31</t>
    <phoneticPr fontId="5"/>
  </si>
  <si>
    <t>36. 3.20</t>
    <phoneticPr fontId="5"/>
  </si>
  <si>
    <t>36. 4.27</t>
    <phoneticPr fontId="5"/>
  </si>
  <si>
    <t>36. 9.30</t>
    <phoneticPr fontId="5"/>
  </si>
  <si>
    <t>36.12.26</t>
    <phoneticPr fontId="5"/>
  </si>
  <si>
    <t>37. 3.20</t>
    <phoneticPr fontId="5"/>
  </si>
  <si>
    <t>37. 5. 7</t>
    <phoneticPr fontId="5"/>
  </si>
  <si>
    <t>38. 3.20</t>
    <phoneticPr fontId="5"/>
  </si>
  <si>
    <t>38. 5.31</t>
    <phoneticPr fontId="5"/>
  </si>
  <si>
    <t>小　 計</t>
    <phoneticPr fontId="5"/>
  </si>
  <si>
    <t>昭37</t>
    <phoneticPr fontId="5"/>
  </si>
  <si>
    <t>昭38. 3.20</t>
    <phoneticPr fontId="5"/>
  </si>
  <si>
    <t>38.12.25</t>
    <phoneticPr fontId="5"/>
  </si>
  <si>
    <t>39. 3.20</t>
    <phoneticPr fontId="5"/>
  </si>
  <si>
    <t>39. 3.21</t>
    <phoneticPr fontId="5"/>
  </si>
  <si>
    <t>39. 3.30</t>
    <phoneticPr fontId="5"/>
  </si>
  <si>
    <t>39. 6.30</t>
    <phoneticPr fontId="5"/>
  </si>
  <si>
    <t>39. 9.30</t>
    <phoneticPr fontId="5"/>
  </si>
  <si>
    <t>40. 3.20</t>
    <phoneticPr fontId="5"/>
  </si>
  <si>
    <t>40. 6.30</t>
    <phoneticPr fontId="5"/>
  </si>
  <si>
    <t>40. 7.31</t>
    <phoneticPr fontId="5"/>
  </si>
  <si>
    <t>41. 3.20</t>
    <phoneticPr fontId="5"/>
  </si>
  <si>
    <t>41. 3.28</t>
    <phoneticPr fontId="5"/>
  </si>
  <si>
    <t>41. 3.30</t>
    <phoneticPr fontId="5"/>
  </si>
  <si>
    <t>42. 3.24</t>
    <phoneticPr fontId="5"/>
  </si>
  <si>
    <t>42. 5.30</t>
    <phoneticPr fontId="5"/>
  </si>
  <si>
    <t>42.12.11</t>
    <phoneticPr fontId="5"/>
  </si>
  <si>
    <t>昭40</t>
    <phoneticPr fontId="5"/>
  </si>
  <si>
    <t>昭41. 3.30</t>
    <phoneticPr fontId="5"/>
  </si>
  <si>
    <t>41.12.26</t>
    <phoneticPr fontId="5"/>
  </si>
  <si>
    <t>42. 9.20</t>
    <phoneticPr fontId="5"/>
  </si>
  <si>
    <t>　 42.11.30</t>
    <phoneticPr fontId="5"/>
  </si>
  <si>
    <t>41</t>
    <phoneticPr fontId="5"/>
  </si>
  <si>
    <t xml:space="preserve"> 42.12.15</t>
    <phoneticPr fontId="5"/>
  </si>
  <si>
    <t>43. 3.22</t>
    <phoneticPr fontId="5"/>
  </si>
  <si>
    <t>43. 7.30</t>
    <phoneticPr fontId="5"/>
  </si>
  <si>
    <t>種　 別</t>
    <phoneticPr fontId="5"/>
  </si>
  <si>
    <t>引 受 先</t>
    <phoneticPr fontId="5"/>
  </si>
  <si>
    <t>44. 8.20</t>
    <phoneticPr fontId="5"/>
  </si>
  <si>
    <t>44.10.15</t>
    <phoneticPr fontId="5"/>
  </si>
  <si>
    <t>45. 3.20</t>
    <phoneticPr fontId="5"/>
  </si>
  <si>
    <t>45. 3.30</t>
    <phoneticPr fontId="5"/>
  </si>
  <si>
    <t>45. 7.20</t>
    <phoneticPr fontId="5"/>
  </si>
  <si>
    <t>45. 8.31</t>
    <phoneticPr fontId="5"/>
  </si>
  <si>
    <t>45. 9.10</t>
    <phoneticPr fontId="5"/>
  </si>
  <si>
    <t>46. 3.20</t>
    <phoneticPr fontId="5"/>
  </si>
  <si>
    <t>46. 5.28</t>
    <phoneticPr fontId="5"/>
  </si>
  <si>
    <t>46. 5.31</t>
    <phoneticPr fontId="5"/>
  </si>
  <si>
    <t>47. 3.20</t>
    <phoneticPr fontId="5"/>
  </si>
  <si>
    <t>47. 3.31</t>
    <phoneticPr fontId="5"/>
  </si>
  <si>
    <t>47. 6.30</t>
    <phoneticPr fontId="5"/>
  </si>
  <si>
    <t>47.11.30</t>
    <phoneticPr fontId="5"/>
  </si>
  <si>
    <t>昭46</t>
    <phoneticPr fontId="5"/>
  </si>
  <si>
    <t>昭47. 3.20</t>
    <phoneticPr fontId="5"/>
  </si>
  <si>
    <t>47. 7.28</t>
    <phoneticPr fontId="5"/>
  </si>
  <si>
    <t>47. 9.11</t>
    <phoneticPr fontId="5"/>
  </si>
  <si>
    <t>47.12.25</t>
    <phoneticPr fontId="5"/>
  </si>
  <si>
    <t>48. 3.20</t>
    <phoneticPr fontId="5"/>
  </si>
  <si>
    <t xml:space="preserve"> 48. 3.22</t>
    <phoneticPr fontId="5"/>
  </si>
  <si>
    <t>48. 3.31</t>
    <phoneticPr fontId="5"/>
  </si>
  <si>
    <t>48. 9.29</t>
    <phoneticPr fontId="5"/>
  </si>
  <si>
    <t>48.12.25</t>
    <phoneticPr fontId="5"/>
  </si>
  <si>
    <t>49. 3.29</t>
    <phoneticPr fontId="5"/>
  </si>
  <si>
    <t>49. 5.30</t>
    <phoneticPr fontId="5"/>
  </si>
  <si>
    <t>49. 7.30</t>
    <phoneticPr fontId="5"/>
  </si>
  <si>
    <t>49. 9.30</t>
    <phoneticPr fontId="5"/>
  </si>
  <si>
    <t>49.10.30</t>
    <phoneticPr fontId="5"/>
  </si>
  <si>
    <t>50. 3.20</t>
    <phoneticPr fontId="5"/>
  </si>
  <si>
    <t xml:space="preserve"> 50. 3.20</t>
    <phoneticPr fontId="5"/>
  </si>
  <si>
    <t>50. 3.22</t>
    <phoneticPr fontId="5"/>
  </si>
  <si>
    <t>49</t>
    <phoneticPr fontId="5"/>
  </si>
  <si>
    <t xml:space="preserve"> 50. 3.31</t>
    <phoneticPr fontId="5"/>
  </si>
  <si>
    <t>50. 7.30</t>
    <phoneticPr fontId="5"/>
  </si>
  <si>
    <t>50. 9.30</t>
    <phoneticPr fontId="5"/>
  </si>
  <si>
    <t>50.12.20</t>
    <phoneticPr fontId="5"/>
  </si>
  <si>
    <t>51. 3.16</t>
    <phoneticPr fontId="5"/>
  </si>
  <si>
    <t>51. 3.20</t>
    <phoneticPr fontId="5"/>
  </si>
  <si>
    <t>52. 6.10</t>
    <phoneticPr fontId="5"/>
  </si>
  <si>
    <t>52. 8.19</t>
    <phoneticPr fontId="5"/>
  </si>
  <si>
    <t>52. 8.29</t>
    <phoneticPr fontId="5"/>
  </si>
  <si>
    <t>52. 9.30</t>
    <phoneticPr fontId="5"/>
  </si>
  <si>
    <t>53. 3.20</t>
    <phoneticPr fontId="5"/>
  </si>
  <si>
    <t>53. 3.24</t>
    <phoneticPr fontId="5"/>
  </si>
  <si>
    <t>53. 3.30</t>
    <phoneticPr fontId="5"/>
  </si>
  <si>
    <t>53. 5.22</t>
    <phoneticPr fontId="5"/>
  </si>
  <si>
    <t>53. 5.29</t>
    <phoneticPr fontId="5"/>
  </si>
  <si>
    <t>53. 6.29</t>
    <phoneticPr fontId="5"/>
  </si>
  <si>
    <t>53. 9.29</t>
    <phoneticPr fontId="5"/>
  </si>
  <si>
    <t>53.11.30</t>
    <phoneticPr fontId="5"/>
  </si>
  <si>
    <t>53.12.25</t>
    <phoneticPr fontId="5"/>
  </si>
  <si>
    <t>54. 3.20</t>
    <phoneticPr fontId="5"/>
  </si>
  <si>
    <t>54. 3.22</t>
    <phoneticPr fontId="5"/>
  </si>
  <si>
    <t>54. 4.27</t>
    <phoneticPr fontId="5"/>
  </si>
  <si>
    <t>54. 7.30</t>
    <phoneticPr fontId="5"/>
  </si>
  <si>
    <t>54.10.29</t>
    <phoneticPr fontId="5"/>
  </si>
  <si>
    <t>55. 3.25</t>
    <phoneticPr fontId="5"/>
  </si>
  <si>
    <t>55. 3.28</t>
    <phoneticPr fontId="5"/>
  </si>
  <si>
    <t>55. 8.29</t>
    <phoneticPr fontId="5"/>
  </si>
  <si>
    <t>H17</t>
    <phoneticPr fontId="5"/>
  </si>
  <si>
    <t>55. 9.24</t>
    <phoneticPr fontId="5"/>
  </si>
  <si>
    <t>H17</t>
    <phoneticPr fontId="2"/>
  </si>
  <si>
    <t>55.12.23</t>
    <phoneticPr fontId="5"/>
  </si>
  <si>
    <t>H16</t>
    <phoneticPr fontId="5"/>
  </si>
  <si>
    <t>55.12.25</t>
    <phoneticPr fontId="5"/>
  </si>
  <si>
    <t>56. 3.23</t>
    <phoneticPr fontId="5"/>
  </si>
  <si>
    <t>56. 8.31</t>
    <phoneticPr fontId="5"/>
  </si>
  <si>
    <t>56. 9.22</t>
    <phoneticPr fontId="5"/>
  </si>
  <si>
    <t>56.12.25</t>
    <phoneticPr fontId="5"/>
  </si>
  <si>
    <t>57. 3.29</t>
    <phoneticPr fontId="5"/>
  </si>
  <si>
    <t>H21</t>
    <phoneticPr fontId="2"/>
  </si>
  <si>
    <t xml:space="preserve"> 56</t>
    <phoneticPr fontId="5"/>
  </si>
  <si>
    <t xml:space="preserve"> 57. 9.21</t>
    <phoneticPr fontId="5"/>
  </si>
  <si>
    <t>H22</t>
    <phoneticPr fontId="5"/>
  </si>
  <si>
    <t xml:space="preserve"> 57.12.24</t>
    <phoneticPr fontId="5"/>
  </si>
  <si>
    <t>北総地区</t>
    <phoneticPr fontId="2"/>
  </si>
  <si>
    <t>事業債</t>
    <phoneticPr fontId="2"/>
  </si>
  <si>
    <t>49. 3.20</t>
    <phoneticPr fontId="5"/>
  </si>
  <si>
    <t>49. 8.31</t>
    <phoneticPr fontId="5"/>
  </si>
  <si>
    <t>50. 4.15</t>
    <phoneticPr fontId="5"/>
  </si>
  <si>
    <t>50. 5.27</t>
    <phoneticPr fontId="5"/>
  </si>
  <si>
    <t>51. 4.30</t>
    <phoneticPr fontId="5"/>
  </si>
  <si>
    <t>51.10.28</t>
    <phoneticPr fontId="5"/>
  </si>
  <si>
    <t>53. 1.30</t>
    <phoneticPr fontId="5"/>
  </si>
  <si>
    <t>55. 1.28</t>
    <phoneticPr fontId="5"/>
  </si>
  <si>
    <t>56. 3.30</t>
    <phoneticPr fontId="5"/>
  </si>
  <si>
    <t>H21</t>
    <phoneticPr fontId="5"/>
  </si>
  <si>
    <t>平17</t>
    <phoneticPr fontId="5"/>
  </si>
  <si>
    <t>平17.10.28</t>
    <phoneticPr fontId="5"/>
  </si>
  <si>
    <t>公営企業金融公庫</t>
    <phoneticPr fontId="2"/>
  </si>
  <si>
    <t>20. 3.21</t>
    <phoneticPr fontId="2"/>
  </si>
  <si>
    <t>四拡統合</t>
    <phoneticPr fontId="2"/>
  </si>
  <si>
    <t>昭57</t>
    <phoneticPr fontId="5"/>
  </si>
  <si>
    <t>昭58. 3.22</t>
    <phoneticPr fontId="5"/>
  </si>
  <si>
    <t>58. 8.17</t>
    <phoneticPr fontId="5"/>
  </si>
  <si>
    <t>58. 8.19</t>
    <phoneticPr fontId="5"/>
  </si>
  <si>
    <t>59. 3.22</t>
    <phoneticPr fontId="5"/>
  </si>
  <si>
    <t>59. 3.29</t>
    <phoneticPr fontId="5"/>
  </si>
  <si>
    <t>H23</t>
    <phoneticPr fontId="2"/>
  </si>
  <si>
    <t>59. 9.21</t>
    <phoneticPr fontId="5"/>
  </si>
  <si>
    <t>59. 9.25</t>
    <phoneticPr fontId="5"/>
  </si>
  <si>
    <t>60. 3.20</t>
    <phoneticPr fontId="5"/>
  </si>
  <si>
    <t>60. 3.25</t>
    <phoneticPr fontId="5"/>
  </si>
  <si>
    <t>60. 3.29</t>
    <phoneticPr fontId="5"/>
  </si>
  <si>
    <t>60.10.17</t>
    <phoneticPr fontId="5"/>
  </si>
  <si>
    <t>61. 3.25</t>
    <phoneticPr fontId="5"/>
  </si>
  <si>
    <t>61. 3.28</t>
    <phoneticPr fontId="5"/>
  </si>
  <si>
    <t>62. 3.25</t>
    <phoneticPr fontId="5"/>
  </si>
  <si>
    <t xml:space="preserve"> 62. 3.25</t>
    <phoneticPr fontId="5"/>
  </si>
  <si>
    <t>62. 6.18</t>
    <phoneticPr fontId="5"/>
  </si>
  <si>
    <t xml:space="preserve"> 62. 9.25</t>
    <phoneticPr fontId="5"/>
  </si>
  <si>
    <t>62.11.10</t>
    <phoneticPr fontId="5"/>
  </si>
  <si>
    <t>63. 3.17</t>
    <phoneticPr fontId="5"/>
  </si>
  <si>
    <t xml:space="preserve"> 63. 3.25</t>
    <phoneticPr fontId="5"/>
  </si>
  <si>
    <t>昭63</t>
    <phoneticPr fontId="5"/>
  </si>
  <si>
    <t>平元</t>
    <phoneticPr fontId="5"/>
  </si>
  <si>
    <t>元.12.25</t>
    <phoneticPr fontId="5"/>
  </si>
  <si>
    <t xml:space="preserve"> 2. 1.25</t>
    <phoneticPr fontId="5"/>
  </si>
  <si>
    <t xml:space="preserve"> 2. 2.28</t>
    <phoneticPr fontId="5"/>
  </si>
  <si>
    <t xml:space="preserve"> 2. 3.23</t>
    <phoneticPr fontId="5"/>
  </si>
  <si>
    <t>2. 3.26</t>
    <phoneticPr fontId="5"/>
  </si>
  <si>
    <t xml:space="preserve"> 2. 3.29</t>
    <phoneticPr fontId="5"/>
  </si>
  <si>
    <t xml:space="preserve"> 2.12.21</t>
    <phoneticPr fontId="5"/>
  </si>
  <si>
    <t xml:space="preserve"> 3. 3.25</t>
    <phoneticPr fontId="5"/>
  </si>
  <si>
    <t xml:space="preserve"> 3. 3.27</t>
    <phoneticPr fontId="5"/>
  </si>
  <si>
    <t xml:space="preserve"> 3. 3.28</t>
    <phoneticPr fontId="5"/>
  </si>
  <si>
    <t xml:space="preserve"> 3. 3.29</t>
    <phoneticPr fontId="5"/>
  </si>
  <si>
    <t xml:space="preserve"> 3.12.24</t>
    <phoneticPr fontId="5"/>
  </si>
  <si>
    <t xml:space="preserve"> 4. 3.25</t>
    <phoneticPr fontId="5"/>
  </si>
  <si>
    <t xml:space="preserve"> 4. 3.26</t>
    <phoneticPr fontId="5"/>
  </si>
  <si>
    <t>4. 3.31</t>
    <phoneticPr fontId="5"/>
  </si>
  <si>
    <t xml:space="preserve"> 5. 3.16</t>
    <phoneticPr fontId="5"/>
  </si>
  <si>
    <t>5. 3.25</t>
    <phoneticPr fontId="5"/>
  </si>
  <si>
    <t xml:space="preserve"> 5. 3.26</t>
    <phoneticPr fontId="5"/>
  </si>
  <si>
    <t xml:space="preserve"> 6. 3.23</t>
    <phoneticPr fontId="5"/>
  </si>
  <si>
    <t xml:space="preserve"> 6. 3.25</t>
    <phoneticPr fontId="5"/>
  </si>
  <si>
    <t>昭59</t>
    <phoneticPr fontId="5"/>
  </si>
  <si>
    <t xml:space="preserve"> 7. 3.17</t>
    <phoneticPr fontId="5"/>
  </si>
  <si>
    <t>平 5</t>
    <phoneticPr fontId="5"/>
  </si>
  <si>
    <t xml:space="preserve">  7. 3.27</t>
    <phoneticPr fontId="5"/>
  </si>
  <si>
    <t>昭60</t>
    <phoneticPr fontId="5"/>
  </si>
  <si>
    <t xml:space="preserve"> 7. 8.25</t>
    <phoneticPr fontId="5"/>
  </si>
  <si>
    <t xml:space="preserve"> 8. 3.21</t>
    <phoneticPr fontId="5"/>
  </si>
  <si>
    <t>8. 8.22</t>
    <phoneticPr fontId="5"/>
  </si>
  <si>
    <t>9. 8.25</t>
    <phoneticPr fontId="5"/>
  </si>
  <si>
    <t>昭48</t>
    <phoneticPr fontId="5"/>
  </si>
  <si>
    <t>昭49. 5.31</t>
    <phoneticPr fontId="5"/>
  </si>
  <si>
    <t>50. 3.31</t>
    <phoneticPr fontId="5"/>
  </si>
  <si>
    <t>51. 3.22</t>
    <phoneticPr fontId="5"/>
  </si>
  <si>
    <t>51. 4. 5</t>
    <phoneticPr fontId="5"/>
  </si>
  <si>
    <t>51.11.22</t>
    <phoneticPr fontId="5"/>
  </si>
  <si>
    <t>52. 3.20</t>
    <phoneticPr fontId="5"/>
  </si>
  <si>
    <t xml:space="preserve"> 53. 2.27</t>
    <phoneticPr fontId="5"/>
  </si>
  <si>
    <t>53. 5.10</t>
    <phoneticPr fontId="5"/>
  </si>
  <si>
    <t>54. 2.26</t>
    <phoneticPr fontId="5"/>
  </si>
  <si>
    <t>54. 3.31</t>
    <phoneticPr fontId="5"/>
  </si>
  <si>
    <t>54.12.24</t>
    <phoneticPr fontId="5"/>
  </si>
  <si>
    <t>H19</t>
    <phoneticPr fontId="2"/>
  </si>
  <si>
    <t>57. 8.30</t>
    <phoneticPr fontId="5"/>
  </si>
  <si>
    <t>58. 3.22</t>
    <phoneticPr fontId="5"/>
  </si>
  <si>
    <t>58. 8.29</t>
    <phoneticPr fontId="5"/>
  </si>
  <si>
    <t>H22</t>
    <phoneticPr fontId="2"/>
  </si>
  <si>
    <t>60. 3.30</t>
    <phoneticPr fontId="5"/>
  </si>
  <si>
    <t>60.10.25</t>
    <phoneticPr fontId="5"/>
  </si>
  <si>
    <t>62. 1.26</t>
    <phoneticPr fontId="5"/>
  </si>
  <si>
    <t>62. 1.30</t>
    <phoneticPr fontId="5"/>
  </si>
  <si>
    <t xml:space="preserve"> 61</t>
    <phoneticPr fontId="5"/>
  </si>
  <si>
    <t>62. 8.20</t>
    <phoneticPr fontId="5"/>
  </si>
  <si>
    <t>62.11.25</t>
    <phoneticPr fontId="5"/>
  </si>
  <si>
    <t>63. 3.25</t>
    <phoneticPr fontId="5"/>
  </si>
  <si>
    <t>62</t>
    <phoneticPr fontId="5"/>
  </si>
  <si>
    <t xml:space="preserve"> 63.12.26</t>
    <phoneticPr fontId="5"/>
  </si>
  <si>
    <t>平元. 6.30</t>
    <phoneticPr fontId="5"/>
  </si>
  <si>
    <t xml:space="preserve"> 2. 3.26</t>
    <phoneticPr fontId="5"/>
  </si>
  <si>
    <t>元</t>
    <phoneticPr fontId="2"/>
  </si>
  <si>
    <t>元</t>
    <phoneticPr fontId="5"/>
  </si>
  <si>
    <t>3. 3.28</t>
    <phoneticPr fontId="5"/>
  </si>
  <si>
    <t xml:space="preserve"> 5. 3.25</t>
    <phoneticPr fontId="5"/>
  </si>
  <si>
    <t>5. 3.26</t>
    <phoneticPr fontId="5"/>
  </si>
  <si>
    <t xml:space="preserve"> 14. 3.29</t>
    <phoneticPr fontId="5"/>
  </si>
  <si>
    <t>無利子</t>
    <phoneticPr fontId="5"/>
  </si>
  <si>
    <t>H18</t>
    <phoneticPr fontId="5"/>
  </si>
  <si>
    <t xml:space="preserve"> 15. 2.20</t>
    <phoneticPr fontId="5"/>
  </si>
  <si>
    <t>H16</t>
    <phoneticPr fontId="5"/>
  </si>
  <si>
    <t xml:space="preserve"> 15. 3.25</t>
    <phoneticPr fontId="5"/>
  </si>
  <si>
    <t>H42</t>
    <phoneticPr fontId="5"/>
  </si>
  <si>
    <t xml:space="preserve"> 16. 3.23</t>
    <phoneticPr fontId="5"/>
  </si>
  <si>
    <t>H43</t>
    <phoneticPr fontId="5"/>
  </si>
  <si>
    <t xml:space="preserve"> 16.12.24</t>
    <phoneticPr fontId="5"/>
  </si>
  <si>
    <t>H44</t>
    <phoneticPr fontId="5"/>
  </si>
  <si>
    <t xml:space="preserve"> 16.12.27</t>
    <phoneticPr fontId="5"/>
  </si>
  <si>
    <t>H46</t>
    <phoneticPr fontId="5"/>
  </si>
  <si>
    <t xml:space="preserve"> 17. 3. 1</t>
    <phoneticPr fontId="5"/>
  </si>
  <si>
    <t>H39</t>
    <phoneticPr fontId="5"/>
  </si>
  <si>
    <t>H45</t>
    <phoneticPr fontId="5"/>
  </si>
  <si>
    <t>種　 別</t>
    <phoneticPr fontId="5"/>
  </si>
  <si>
    <t>引 受 先</t>
    <phoneticPr fontId="5"/>
  </si>
  <si>
    <t>公営企業金融公庫</t>
    <phoneticPr fontId="5"/>
  </si>
  <si>
    <t xml:space="preserve"> 14. 3.22</t>
    <phoneticPr fontId="5"/>
  </si>
  <si>
    <t xml:space="preserve"> 14. 9.25</t>
    <phoneticPr fontId="5"/>
  </si>
  <si>
    <t>H42</t>
    <phoneticPr fontId="5"/>
  </si>
  <si>
    <t>15. 1.24</t>
    <phoneticPr fontId="5"/>
  </si>
  <si>
    <t>H24</t>
    <phoneticPr fontId="5"/>
  </si>
  <si>
    <t>15. 5.29</t>
    <phoneticPr fontId="5"/>
  </si>
  <si>
    <t>16. 1.26</t>
    <phoneticPr fontId="5"/>
  </si>
  <si>
    <t>H25</t>
    <phoneticPr fontId="5"/>
  </si>
  <si>
    <t>16. 3.23</t>
    <phoneticPr fontId="5"/>
  </si>
  <si>
    <t>17. 2.25</t>
    <phoneticPr fontId="5"/>
  </si>
  <si>
    <t>H26</t>
    <phoneticPr fontId="5"/>
  </si>
  <si>
    <r>
      <t>17.12.26</t>
    </r>
    <r>
      <rPr>
        <b/>
        <sz val="11"/>
        <rFont val="明朝"/>
        <family val="1"/>
        <charset val="128"/>
      </rPr>
      <t/>
    </r>
    <phoneticPr fontId="5"/>
  </si>
  <si>
    <t>18. 1.31</t>
    <phoneticPr fontId="5"/>
  </si>
  <si>
    <t>H27</t>
    <phoneticPr fontId="5"/>
  </si>
  <si>
    <t>19. 2.23</t>
    <phoneticPr fontId="2"/>
  </si>
  <si>
    <t>H28</t>
    <phoneticPr fontId="2"/>
  </si>
  <si>
    <t>市場公募債</t>
    <phoneticPr fontId="2"/>
  </si>
  <si>
    <t>20. 2.25</t>
    <phoneticPr fontId="2"/>
  </si>
  <si>
    <t>H29</t>
    <phoneticPr fontId="2"/>
  </si>
  <si>
    <t>21. 2.25</t>
    <phoneticPr fontId="2"/>
  </si>
  <si>
    <t>21. 3.25</t>
    <phoneticPr fontId="2"/>
  </si>
  <si>
    <t>16. 3.23</t>
    <phoneticPr fontId="5"/>
  </si>
  <si>
    <t>H35</t>
    <phoneticPr fontId="5"/>
  </si>
  <si>
    <t>17. 3.23</t>
    <phoneticPr fontId="5"/>
  </si>
  <si>
    <t>H36</t>
    <phoneticPr fontId="5"/>
  </si>
  <si>
    <t>18. 3.30</t>
    <phoneticPr fontId="5"/>
  </si>
  <si>
    <t>H37</t>
    <phoneticPr fontId="5"/>
  </si>
  <si>
    <t>公営企業金融公庫</t>
    <phoneticPr fontId="2"/>
  </si>
  <si>
    <t>20. 3.25</t>
    <phoneticPr fontId="2"/>
  </si>
  <si>
    <t>H39</t>
    <phoneticPr fontId="2"/>
  </si>
  <si>
    <t>21. 3.25</t>
    <phoneticPr fontId="2"/>
  </si>
  <si>
    <t>小　 計</t>
    <phoneticPr fontId="5"/>
  </si>
  <si>
    <t>H50</t>
  </si>
  <si>
    <t>25．企 業 債</t>
    <phoneticPr fontId="5"/>
  </si>
  <si>
    <t>H19</t>
    <phoneticPr fontId="5"/>
  </si>
  <si>
    <t>17. 3.25</t>
    <phoneticPr fontId="2"/>
  </si>
  <si>
    <t>17.10.28</t>
    <phoneticPr fontId="5"/>
  </si>
  <si>
    <t>18.10.31</t>
    <phoneticPr fontId="2"/>
  </si>
  <si>
    <t>H20</t>
    <phoneticPr fontId="2"/>
  </si>
  <si>
    <t>昭45</t>
    <phoneticPr fontId="5"/>
  </si>
  <si>
    <t>昭46. 9. 1</t>
    <phoneticPr fontId="5"/>
  </si>
  <si>
    <t>46.12.25</t>
    <phoneticPr fontId="5"/>
  </si>
  <si>
    <t>11. 8.19</t>
    <phoneticPr fontId="5"/>
  </si>
  <si>
    <t>14. 8.20</t>
    <phoneticPr fontId="5"/>
  </si>
  <si>
    <t>H30</t>
    <phoneticPr fontId="5"/>
  </si>
  <si>
    <t>H24</t>
    <phoneticPr fontId="2"/>
  </si>
  <si>
    <t xml:space="preserve"> 6.12.26</t>
    <phoneticPr fontId="5"/>
  </si>
  <si>
    <t>7. 3.17</t>
    <phoneticPr fontId="5"/>
  </si>
  <si>
    <t xml:space="preserve"> 7.11.30</t>
    <phoneticPr fontId="5"/>
  </si>
  <si>
    <t xml:space="preserve"> 9. 1.31</t>
    <phoneticPr fontId="5"/>
  </si>
  <si>
    <t xml:space="preserve"> 9. 9.25</t>
    <phoneticPr fontId="5"/>
  </si>
  <si>
    <t xml:space="preserve"> 11. 1.29</t>
    <phoneticPr fontId="5"/>
  </si>
  <si>
    <t xml:space="preserve"> 11. 3.25</t>
    <phoneticPr fontId="5"/>
  </si>
  <si>
    <t xml:space="preserve"> 12. 3.24</t>
    <phoneticPr fontId="5"/>
  </si>
  <si>
    <t>H41</t>
    <phoneticPr fontId="5"/>
  </si>
  <si>
    <t xml:space="preserve"> 17.10.28</t>
    <phoneticPr fontId="5"/>
  </si>
  <si>
    <t xml:space="preserve"> 18. 3.23</t>
    <phoneticPr fontId="5"/>
  </si>
  <si>
    <t>H47</t>
    <phoneticPr fontId="2"/>
  </si>
  <si>
    <t>H48</t>
    <phoneticPr fontId="2"/>
  </si>
  <si>
    <t>昭53</t>
    <phoneticPr fontId="5"/>
  </si>
  <si>
    <t>昭55. 3.31</t>
    <phoneticPr fontId="5"/>
  </si>
  <si>
    <t>56. 3.31</t>
    <phoneticPr fontId="5"/>
  </si>
  <si>
    <t>57. 3.31</t>
    <phoneticPr fontId="5"/>
  </si>
  <si>
    <t>平 4</t>
    <phoneticPr fontId="5"/>
  </si>
  <si>
    <t>平5. 3.26</t>
    <phoneticPr fontId="5"/>
  </si>
  <si>
    <t xml:space="preserve"> 7.12.25</t>
    <phoneticPr fontId="5"/>
  </si>
  <si>
    <t xml:space="preserve">  8. 3.22</t>
    <phoneticPr fontId="5"/>
  </si>
  <si>
    <t>10. 1.30</t>
    <phoneticPr fontId="5"/>
  </si>
  <si>
    <t xml:space="preserve"> 17. 9.30</t>
    <phoneticPr fontId="5"/>
  </si>
  <si>
    <t>19. 3.23</t>
    <phoneticPr fontId="2"/>
  </si>
  <si>
    <t>H46</t>
    <phoneticPr fontId="2"/>
  </si>
  <si>
    <t>19. 3.26</t>
    <phoneticPr fontId="2"/>
  </si>
  <si>
    <t>20. 1.28</t>
    <phoneticPr fontId="2"/>
  </si>
  <si>
    <t>H49</t>
    <phoneticPr fontId="2"/>
  </si>
  <si>
    <t>20. 1.31</t>
    <phoneticPr fontId="2"/>
  </si>
  <si>
    <t>21. 1.27</t>
    <phoneticPr fontId="2"/>
  </si>
  <si>
    <t>H50</t>
    <phoneticPr fontId="2"/>
  </si>
  <si>
    <t>21. 1.29</t>
    <phoneticPr fontId="2"/>
  </si>
  <si>
    <t>平 8</t>
    <phoneticPr fontId="5"/>
  </si>
  <si>
    <t>平 9. 3.25</t>
    <phoneticPr fontId="5"/>
  </si>
  <si>
    <t>平13. 1.25</t>
    <phoneticPr fontId="5"/>
  </si>
  <si>
    <t>H23</t>
    <phoneticPr fontId="5"/>
  </si>
  <si>
    <t>H34</t>
    <phoneticPr fontId="5"/>
  </si>
  <si>
    <t>種　 別</t>
    <phoneticPr fontId="5"/>
  </si>
  <si>
    <t>引 受 先</t>
    <phoneticPr fontId="5"/>
  </si>
  <si>
    <t>H30</t>
    <phoneticPr fontId="2"/>
  </si>
  <si>
    <t>昭44. 8.20</t>
    <rPh sb="0" eb="1">
      <t>アキラ</t>
    </rPh>
    <phoneticPr fontId="5"/>
  </si>
  <si>
    <t>昭52. 5.30</t>
    <rPh sb="0" eb="1">
      <t>アキラ</t>
    </rPh>
    <phoneticPr fontId="5"/>
  </si>
  <si>
    <t>昭48.12.25</t>
    <rPh sb="0" eb="1">
      <t>アキラ</t>
    </rPh>
    <phoneticPr fontId="5"/>
  </si>
  <si>
    <t>平元.12.21</t>
    <rPh sb="0" eb="1">
      <t>タイ</t>
    </rPh>
    <phoneticPr fontId="5"/>
  </si>
  <si>
    <t xml:space="preserve"> 平5. 3.26</t>
    <rPh sb="1" eb="2">
      <t>タイ</t>
    </rPh>
    <phoneticPr fontId="5"/>
  </si>
  <si>
    <t>地方公営企業等金融機構</t>
    <rPh sb="0" eb="2">
      <t>チホウ</t>
    </rPh>
    <rPh sb="2" eb="4">
      <t>コウエイ</t>
    </rPh>
    <rPh sb="4" eb="7">
      <t>キギョウトウ</t>
    </rPh>
    <rPh sb="7" eb="9">
      <t>キンユウ</t>
    </rPh>
    <rPh sb="9" eb="11">
      <t>キコウ</t>
    </rPh>
    <phoneticPr fontId="2"/>
  </si>
  <si>
    <t>H51</t>
  </si>
  <si>
    <t>平12. 3.24</t>
    <rPh sb="0" eb="1">
      <t>ヘイ</t>
    </rPh>
    <phoneticPr fontId="5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</si>
  <si>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"/>
  </si>
  <si>
    <t xml:space="preserve"> 17. 3.23</t>
  </si>
  <si>
    <t>H44</t>
  </si>
  <si>
    <t xml:space="preserve"> 平17. 3.25</t>
    <rPh sb="1" eb="2">
      <t>タイ</t>
    </rPh>
    <phoneticPr fontId="2"/>
  </si>
  <si>
    <t>福増浄水場高度</t>
    <rPh sb="0" eb="2">
      <t>フクマス</t>
    </rPh>
    <rPh sb="2" eb="5">
      <t>ジョウスイジョウ</t>
    </rPh>
    <rPh sb="5" eb="7">
      <t>コウド</t>
    </rPh>
    <phoneticPr fontId="5"/>
  </si>
  <si>
    <t>浄水処理事業債</t>
  </si>
  <si>
    <t>船橋合同庁舎</t>
    <rPh sb="0" eb="2">
      <t>フナバシ</t>
    </rPh>
    <rPh sb="2" eb="4">
      <t>ゴウドウ</t>
    </rPh>
    <rPh sb="4" eb="6">
      <t>チョウシャ</t>
    </rPh>
    <phoneticPr fontId="5"/>
  </si>
  <si>
    <t>浄・給水場設備</t>
    <rPh sb="0" eb="1">
      <t>ジョウ</t>
    </rPh>
    <rPh sb="2" eb="5">
      <t>キュウスイジョウ</t>
    </rPh>
    <rPh sb="5" eb="7">
      <t>セツビ</t>
    </rPh>
    <phoneticPr fontId="5"/>
  </si>
  <si>
    <t>鉛給水管更新</t>
    <rPh sb="0" eb="1">
      <t>ナマリ</t>
    </rPh>
    <rPh sb="1" eb="3">
      <t>キュウスイ</t>
    </rPh>
    <rPh sb="3" eb="4">
      <t>カン</t>
    </rPh>
    <rPh sb="4" eb="6">
      <t>コウシン</t>
    </rPh>
    <phoneticPr fontId="5"/>
  </si>
  <si>
    <t>事業債</t>
    <rPh sb="0" eb="3">
      <t>ジギョウサイ</t>
    </rPh>
    <phoneticPr fontId="2"/>
  </si>
  <si>
    <t>25．企 業 債</t>
    <phoneticPr fontId="5"/>
  </si>
  <si>
    <t>種　 別</t>
    <phoneticPr fontId="5"/>
  </si>
  <si>
    <t>引 受 先</t>
    <phoneticPr fontId="5"/>
  </si>
  <si>
    <t>43. 7.31</t>
    <phoneticPr fontId="2"/>
  </si>
  <si>
    <t>51. 3.25</t>
    <phoneticPr fontId="2"/>
  </si>
  <si>
    <t>H19</t>
    <phoneticPr fontId="5"/>
  </si>
  <si>
    <t>17. 3.25</t>
    <phoneticPr fontId="2"/>
  </si>
  <si>
    <t>平17</t>
    <phoneticPr fontId="5"/>
  </si>
  <si>
    <t>17.10.28</t>
    <phoneticPr fontId="5"/>
  </si>
  <si>
    <t>H21</t>
    <phoneticPr fontId="5"/>
  </si>
  <si>
    <t>H22</t>
    <phoneticPr fontId="5"/>
  </si>
  <si>
    <t>18.10.31</t>
    <phoneticPr fontId="2"/>
  </si>
  <si>
    <t>H20</t>
    <phoneticPr fontId="2"/>
  </si>
  <si>
    <t>公営企業金融公庫</t>
    <phoneticPr fontId="2"/>
  </si>
  <si>
    <t>20. 3.21</t>
    <phoneticPr fontId="2"/>
  </si>
  <si>
    <t>H21</t>
    <phoneticPr fontId="2"/>
  </si>
  <si>
    <t>H22</t>
    <phoneticPr fontId="2"/>
  </si>
  <si>
    <t>小　 計</t>
    <phoneticPr fontId="5"/>
  </si>
  <si>
    <t>北総地区</t>
    <phoneticPr fontId="2"/>
  </si>
  <si>
    <t>昭45</t>
    <phoneticPr fontId="5"/>
  </si>
  <si>
    <t>昭46. 9. 1</t>
    <phoneticPr fontId="5"/>
  </si>
  <si>
    <t>事業債</t>
    <phoneticPr fontId="2"/>
  </si>
  <si>
    <t>46.12.25</t>
    <phoneticPr fontId="5"/>
  </si>
  <si>
    <t>47. 3.31</t>
    <phoneticPr fontId="5"/>
  </si>
  <si>
    <t>47. 7.28</t>
    <phoneticPr fontId="2"/>
  </si>
  <si>
    <t>種　 別</t>
    <phoneticPr fontId="5"/>
  </si>
  <si>
    <t>引 受 先</t>
    <phoneticPr fontId="5"/>
  </si>
  <si>
    <t>63.11. 9</t>
    <phoneticPr fontId="2"/>
  </si>
  <si>
    <t>平元</t>
    <phoneticPr fontId="5"/>
  </si>
  <si>
    <t>元.12.25</t>
    <phoneticPr fontId="5"/>
  </si>
  <si>
    <t>昭63</t>
    <phoneticPr fontId="5"/>
  </si>
  <si>
    <t xml:space="preserve"> 2. 1.25</t>
    <phoneticPr fontId="5"/>
  </si>
  <si>
    <t>H16</t>
    <phoneticPr fontId="5"/>
  </si>
  <si>
    <t xml:space="preserve"> 2. 2.28</t>
    <phoneticPr fontId="5"/>
  </si>
  <si>
    <t xml:space="preserve"> 2. 3.23</t>
    <phoneticPr fontId="5"/>
  </si>
  <si>
    <t>2. 3.26</t>
    <phoneticPr fontId="5"/>
  </si>
  <si>
    <t xml:space="preserve"> 2. 3.29</t>
    <phoneticPr fontId="5"/>
  </si>
  <si>
    <t xml:space="preserve"> 2.12.21</t>
    <phoneticPr fontId="5"/>
  </si>
  <si>
    <t xml:space="preserve"> 3. 3.25</t>
    <phoneticPr fontId="5"/>
  </si>
  <si>
    <t xml:space="preserve"> 3. 3.27</t>
    <phoneticPr fontId="5"/>
  </si>
  <si>
    <t xml:space="preserve"> 3. 3.28</t>
    <phoneticPr fontId="5"/>
  </si>
  <si>
    <t xml:space="preserve"> 3. 3.29</t>
    <phoneticPr fontId="5"/>
  </si>
  <si>
    <t xml:space="preserve"> 3.12.24</t>
    <phoneticPr fontId="5"/>
  </si>
  <si>
    <t xml:space="preserve"> 4. 3.25</t>
    <phoneticPr fontId="5"/>
  </si>
  <si>
    <t xml:space="preserve"> 4. 3.26</t>
    <phoneticPr fontId="5"/>
  </si>
  <si>
    <t>4. 3.31</t>
    <phoneticPr fontId="5"/>
  </si>
  <si>
    <t xml:space="preserve"> 5. 3.16</t>
    <phoneticPr fontId="5"/>
  </si>
  <si>
    <t>5. 3.25</t>
    <phoneticPr fontId="5"/>
  </si>
  <si>
    <t xml:space="preserve"> 5. 3.26</t>
    <phoneticPr fontId="5"/>
  </si>
  <si>
    <t xml:space="preserve"> 6. 3.23</t>
    <phoneticPr fontId="5"/>
  </si>
  <si>
    <t xml:space="preserve"> 6. 3.25</t>
    <phoneticPr fontId="5"/>
  </si>
  <si>
    <t>昭59</t>
    <phoneticPr fontId="5"/>
  </si>
  <si>
    <t xml:space="preserve"> 7. 3.17</t>
    <phoneticPr fontId="5"/>
  </si>
  <si>
    <t>平 5</t>
    <phoneticPr fontId="5"/>
  </si>
  <si>
    <t xml:space="preserve">  7. 3.27</t>
    <phoneticPr fontId="5"/>
  </si>
  <si>
    <t xml:space="preserve"> 7. 3.27</t>
    <phoneticPr fontId="5"/>
  </si>
  <si>
    <t>昭60</t>
    <phoneticPr fontId="5"/>
  </si>
  <si>
    <t xml:space="preserve"> 7. 8.25</t>
    <phoneticPr fontId="5"/>
  </si>
  <si>
    <t xml:space="preserve"> 8. 3.21</t>
    <phoneticPr fontId="5"/>
  </si>
  <si>
    <t>8. 8.22</t>
    <phoneticPr fontId="5"/>
  </si>
  <si>
    <t>9. 8.25</t>
    <phoneticPr fontId="5"/>
  </si>
  <si>
    <t>11. 8.19</t>
    <phoneticPr fontId="5"/>
  </si>
  <si>
    <t>14. 8.20</t>
    <phoneticPr fontId="5"/>
  </si>
  <si>
    <t>H24</t>
    <phoneticPr fontId="5"/>
  </si>
  <si>
    <t>17. 3.25</t>
    <phoneticPr fontId="5"/>
  </si>
  <si>
    <t>H19</t>
    <phoneticPr fontId="2"/>
  </si>
  <si>
    <t>H30</t>
    <phoneticPr fontId="5"/>
  </si>
  <si>
    <t>H23</t>
    <phoneticPr fontId="2"/>
  </si>
  <si>
    <t>H24</t>
    <phoneticPr fontId="2"/>
  </si>
  <si>
    <t>3. 3.25</t>
    <phoneticPr fontId="5"/>
  </si>
  <si>
    <t xml:space="preserve"> 6.12.26</t>
    <phoneticPr fontId="5"/>
  </si>
  <si>
    <t>平 6</t>
    <phoneticPr fontId="5"/>
  </si>
  <si>
    <t>7. 3.17</t>
    <phoneticPr fontId="5"/>
  </si>
  <si>
    <t xml:space="preserve"> 7.11.30</t>
    <phoneticPr fontId="5"/>
  </si>
  <si>
    <t xml:space="preserve"> 8. 3.22</t>
    <phoneticPr fontId="5"/>
  </si>
  <si>
    <t xml:space="preserve"> 9. 1.31</t>
    <phoneticPr fontId="5"/>
  </si>
  <si>
    <t xml:space="preserve"> 9. 3.26</t>
    <phoneticPr fontId="5"/>
  </si>
  <si>
    <t xml:space="preserve"> 9. 9.25</t>
    <phoneticPr fontId="5"/>
  </si>
  <si>
    <t xml:space="preserve"> 10. 3.25</t>
    <phoneticPr fontId="5"/>
  </si>
  <si>
    <t>H37</t>
    <phoneticPr fontId="5"/>
  </si>
  <si>
    <t xml:space="preserve"> 11. 1.29</t>
    <phoneticPr fontId="5"/>
  </si>
  <si>
    <t xml:space="preserve"> 11. 3.24</t>
    <phoneticPr fontId="5"/>
  </si>
  <si>
    <t xml:space="preserve"> 11. 3.25</t>
    <phoneticPr fontId="5"/>
  </si>
  <si>
    <t xml:space="preserve"> 12. 3.22</t>
    <phoneticPr fontId="5"/>
  </si>
  <si>
    <t>H39</t>
    <phoneticPr fontId="5"/>
  </si>
  <si>
    <t xml:space="preserve"> 12. 3.24</t>
    <phoneticPr fontId="5"/>
  </si>
  <si>
    <t>H41</t>
    <phoneticPr fontId="5"/>
  </si>
  <si>
    <t xml:space="preserve"> 14. 3.22</t>
    <phoneticPr fontId="5"/>
  </si>
  <si>
    <t xml:space="preserve"> 15. 3.25</t>
    <phoneticPr fontId="5"/>
  </si>
  <si>
    <t>H42</t>
    <phoneticPr fontId="5"/>
  </si>
  <si>
    <t xml:space="preserve"> 16. 3.23</t>
    <phoneticPr fontId="5"/>
  </si>
  <si>
    <t>H43</t>
    <phoneticPr fontId="5"/>
  </si>
  <si>
    <t xml:space="preserve"> 17. 3.23</t>
    <phoneticPr fontId="5"/>
  </si>
  <si>
    <t>H44</t>
    <phoneticPr fontId="5"/>
  </si>
  <si>
    <t xml:space="preserve"> 17.10.28</t>
    <phoneticPr fontId="5"/>
  </si>
  <si>
    <t xml:space="preserve"> 18. 3.23</t>
    <phoneticPr fontId="5"/>
  </si>
  <si>
    <t>H45</t>
    <phoneticPr fontId="5"/>
  </si>
  <si>
    <t>20. 3.25</t>
    <phoneticPr fontId="2"/>
  </si>
  <si>
    <t>H47</t>
    <phoneticPr fontId="2"/>
  </si>
  <si>
    <t>H48</t>
    <phoneticPr fontId="2"/>
  </si>
  <si>
    <t>22. 3.25</t>
    <phoneticPr fontId="2"/>
  </si>
  <si>
    <t>昭53</t>
    <phoneticPr fontId="5"/>
  </si>
  <si>
    <t>昭55. 3.31</t>
    <phoneticPr fontId="5"/>
  </si>
  <si>
    <t>56. 3.31</t>
    <phoneticPr fontId="5"/>
  </si>
  <si>
    <t>57. 3.31</t>
    <phoneticPr fontId="5"/>
  </si>
  <si>
    <t>平 4</t>
    <phoneticPr fontId="5"/>
  </si>
  <si>
    <t>平5. 3.26</t>
    <phoneticPr fontId="5"/>
  </si>
  <si>
    <t xml:space="preserve"> 6. 3.23</t>
    <phoneticPr fontId="5"/>
  </si>
  <si>
    <t xml:space="preserve"> 6.12.26</t>
    <phoneticPr fontId="5"/>
  </si>
  <si>
    <t xml:space="preserve"> 7. 3.17</t>
    <phoneticPr fontId="5"/>
  </si>
  <si>
    <t xml:space="preserve"> 7. 3.27</t>
    <phoneticPr fontId="5"/>
  </si>
  <si>
    <t xml:space="preserve"> 7.12.25</t>
    <phoneticPr fontId="5"/>
  </si>
  <si>
    <t xml:space="preserve">  8. 3.22</t>
    <phoneticPr fontId="5"/>
  </si>
  <si>
    <t xml:space="preserve"> 9. 1.31</t>
    <phoneticPr fontId="5"/>
  </si>
  <si>
    <t>9. 3.26</t>
    <phoneticPr fontId="5"/>
  </si>
  <si>
    <t>10. 1.30</t>
    <phoneticPr fontId="5"/>
  </si>
  <si>
    <t xml:space="preserve"> 10. 3.25</t>
    <phoneticPr fontId="5"/>
  </si>
  <si>
    <t xml:space="preserve"> 11. 1.29</t>
    <phoneticPr fontId="5"/>
  </si>
  <si>
    <t xml:space="preserve"> 11. 3.24</t>
    <phoneticPr fontId="5"/>
  </si>
  <si>
    <t xml:space="preserve"> 11. 3.25</t>
    <phoneticPr fontId="5"/>
  </si>
  <si>
    <t xml:space="preserve"> 12. 1.25</t>
    <phoneticPr fontId="5"/>
  </si>
  <si>
    <t>H21</t>
    <phoneticPr fontId="5"/>
  </si>
  <si>
    <t xml:space="preserve"> 12. 3.22</t>
    <phoneticPr fontId="5"/>
  </si>
  <si>
    <t>H39</t>
    <phoneticPr fontId="5"/>
  </si>
  <si>
    <t xml:space="preserve"> 13. 1.25</t>
    <phoneticPr fontId="5"/>
  </si>
  <si>
    <t xml:space="preserve"> 13. 3.22</t>
    <phoneticPr fontId="5"/>
  </si>
  <si>
    <t>H40</t>
    <phoneticPr fontId="5"/>
  </si>
  <si>
    <t xml:space="preserve"> 13. 3.26</t>
    <phoneticPr fontId="5"/>
  </si>
  <si>
    <t xml:space="preserve"> 14. 3.25</t>
    <phoneticPr fontId="5"/>
  </si>
  <si>
    <t>22. 3.25</t>
    <phoneticPr fontId="2"/>
  </si>
  <si>
    <t>小　 計</t>
    <phoneticPr fontId="5"/>
  </si>
  <si>
    <t>平 6</t>
    <phoneticPr fontId="5"/>
  </si>
  <si>
    <t>平 7. 3.27</t>
    <phoneticPr fontId="5"/>
  </si>
  <si>
    <t xml:space="preserve"> 7. 3.27</t>
    <phoneticPr fontId="5"/>
  </si>
  <si>
    <t xml:space="preserve"> 7. 3.31</t>
    <phoneticPr fontId="5"/>
  </si>
  <si>
    <t xml:space="preserve"> 8. 3.14</t>
    <phoneticPr fontId="5"/>
  </si>
  <si>
    <t xml:space="preserve"> 8. 3.22</t>
    <phoneticPr fontId="5"/>
  </si>
  <si>
    <t xml:space="preserve"> 8. 3.25</t>
    <phoneticPr fontId="5"/>
  </si>
  <si>
    <t xml:space="preserve"> 9. 3.25</t>
    <phoneticPr fontId="5"/>
  </si>
  <si>
    <t>H16</t>
    <phoneticPr fontId="5"/>
  </si>
  <si>
    <t xml:space="preserve"> 9. 3.26</t>
    <phoneticPr fontId="5"/>
  </si>
  <si>
    <t xml:space="preserve"> 10. 3.19</t>
    <phoneticPr fontId="5"/>
  </si>
  <si>
    <t xml:space="preserve"> 10. 3.25</t>
    <phoneticPr fontId="5"/>
  </si>
  <si>
    <t xml:space="preserve"> 11. 1.20</t>
    <phoneticPr fontId="5"/>
  </si>
  <si>
    <t xml:space="preserve"> 11. 1.26</t>
    <phoneticPr fontId="5"/>
  </si>
  <si>
    <t xml:space="preserve"> 11. 1.29</t>
    <phoneticPr fontId="5"/>
  </si>
  <si>
    <t xml:space="preserve"> 11. 3.24</t>
    <phoneticPr fontId="5"/>
  </si>
  <si>
    <t xml:space="preserve"> 12. 1.20</t>
    <phoneticPr fontId="5"/>
  </si>
  <si>
    <t xml:space="preserve"> 12. 3.22</t>
    <phoneticPr fontId="5"/>
  </si>
  <si>
    <t>H39</t>
    <phoneticPr fontId="5"/>
  </si>
  <si>
    <t xml:space="preserve"> 12. 9.25</t>
    <phoneticPr fontId="5"/>
  </si>
  <si>
    <t xml:space="preserve"> 13. 3.26</t>
    <phoneticPr fontId="5"/>
  </si>
  <si>
    <t>16. 3.25</t>
    <phoneticPr fontId="5"/>
  </si>
  <si>
    <t xml:space="preserve"> 17. 9.30</t>
    <phoneticPr fontId="5"/>
  </si>
  <si>
    <t>H47</t>
    <phoneticPr fontId="5"/>
  </si>
  <si>
    <t>19. 3.23</t>
    <phoneticPr fontId="2"/>
  </si>
  <si>
    <t>H46</t>
    <phoneticPr fontId="2"/>
  </si>
  <si>
    <t>20. 1.28</t>
    <phoneticPr fontId="2"/>
  </si>
  <si>
    <t>H49</t>
    <phoneticPr fontId="2"/>
  </si>
  <si>
    <t>20. 1.31</t>
    <phoneticPr fontId="2"/>
  </si>
  <si>
    <t>21. 1.27</t>
    <phoneticPr fontId="2"/>
  </si>
  <si>
    <t>H50</t>
    <phoneticPr fontId="2"/>
  </si>
  <si>
    <t>21. 1.29</t>
    <phoneticPr fontId="2"/>
  </si>
  <si>
    <t>21.11.25</t>
    <phoneticPr fontId="2"/>
  </si>
  <si>
    <t>H51</t>
    <phoneticPr fontId="2"/>
  </si>
  <si>
    <t>水質センター</t>
    <phoneticPr fontId="5"/>
  </si>
  <si>
    <t>平 8</t>
    <phoneticPr fontId="5"/>
  </si>
  <si>
    <t>平 9. 3.25</t>
    <phoneticPr fontId="5"/>
  </si>
  <si>
    <t>平13. 1.25</t>
    <phoneticPr fontId="5"/>
  </si>
  <si>
    <t>公営企業金融公庫</t>
    <phoneticPr fontId="5"/>
  </si>
  <si>
    <t>H23</t>
    <phoneticPr fontId="5"/>
  </si>
  <si>
    <t>H30</t>
    <phoneticPr fontId="2"/>
  </si>
  <si>
    <t>H34</t>
    <phoneticPr fontId="5"/>
  </si>
  <si>
    <t>17. 3.23</t>
    <phoneticPr fontId="5"/>
  </si>
  <si>
    <t>H46</t>
    <phoneticPr fontId="5"/>
  </si>
  <si>
    <t>18. 3.27</t>
    <phoneticPr fontId="5"/>
  </si>
  <si>
    <t>21. 3.25</t>
    <phoneticPr fontId="2"/>
  </si>
  <si>
    <t>22. 3.25</t>
    <phoneticPr fontId="2"/>
  </si>
  <si>
    <t>財務省</t>
    <rPh sb="0" eb="2">
      <t>ザイム</t>
    </rPh>
    <rPh sb="2" eb="3">
      <t>ショウ</t>
    </rPh>
    <phoneticPr fontId="2"/>
  </si>
  <si>
    <t>23. 3.25</t>
    <phoneticPr fontId="2"/>
  </si>
  <si>
    <t>H52</t>
    <phoneticPr fontId="2"/>
  </si>
  <si>
    <t>25．企 業 債</t>
    <phoneticPr fontId="5"/>
  </si>
  <si>
    <t>種　 別</t>
    <phoneticPr fontId="5"/>
  </si>
  <si>
    <t>引 受 先</t>
    <phoneticPr fontId="5"/>
  </si>
  <si>
    <t>発 行 総 額</t>
    <phoneticPr fontId="5"/>
  </si>
  <si>
    <t>償　　　還　　　高</t>
    <phoneticPr fontId="5"/>
  </si>
  <si>
    <t>利 率</t>
    <phoneticPr fontId="5"/>
  </si>
  <si>
    <t>年利％</t>
    <phoneticPr fontId="2"/>
  </si>
  <si>
    <t>44. 8.20</t>
    <phoneticPr fontId="5"/>
  </si>
  <si>
    <t>44.10.15</t>
    <phoneticPr fontId="5"/>
  </si>
  <si>
    <t>45. 3.20</t>
    <phoneticPr fontId="5"/>
  </si>
  <si>
    <t>45. 3.30</t>
    <phoneticPr fontId="5"/>
  </si>
  <si>
    <t>45. 7.20</t>
    <phoneticPr fontId="5"/>
  </si>
  <si>
    <t>45. 8.31</t>
    <phoneticPr fontId="5"/>
  </si>
  <si>
    <t>45. 9.10</t>
    <phoneticPr fontId="5"/>
  </si>
  <si>
    <t>46. 3.20</t>
    <phoneticPr fontId="5"/>
  </si>
  <si>
    <t>46. 5.28</t>
    <phoneticPr fontId="5"/>
  </si>
  <si>
    <t>46. 5.31</t>
    <phoneticPr fontId="5"/>
  </si>
  <si>
    <t>47. 3.20</t>
    <phoneticPr fontId="5"/>
  </si>
  <si>
    <t>47. 3.31</t>
    <phoneticPr fontId="5"/>
  </si>
  <si>
    <t>47. 6.30</t>
    <phoneticPr fontId="5"/>
  </si>
  <si>
    <t>47.11.30</t>
    <phoneticPr fontId="5"/>
  </si>
  <si>
    <t>小　 計</t>
    <phoneticPr fontId="5"/>
  </si>
  <si>
    <t>昭46</t>
    <phoneticPr fontId="5"/>
  </si>
  <si>
    <t>昭47. 3.20</t>
    <phoneticPr fontId="5"/>
  </si>
  <si>
    <t>47. 7.28</t>
    <phoneticPr fontId="5"/>
  </si>
  <si>
    <t>47. 9.11</t>
    <phoneticPr fontId="5"/>
  </si>
  <si>
    <t>47.12.25</t>
    <phoneticPr fontId="5"/>
  </si>
  <si>
    <t>48. 3.20</t>
    <phoneticPr fontId="5"/>
  </si>
  <si>
    <t xml:space="preserve"> 48. 3.22</t>
    <phoneticPr fontId="5"/>
  </si>
  <si>
    <t>48. 3.31</t>
    <phoneticPr fontId="5"/>
  </si>
  <si>
    <t>48. 9.29</t>
    <phoneticPr fontId="5"/>
  </si>
  <si>
    <t>48.12.25</t>
    <phoneticPr fontId="5"/>
  </si>
  <si>
    <t>49. 3.29</t>
    <phoneticPr fontId="5"/>
  </si>
  <si>
    <t>49. 5.30</t>
    <phoneticPr fontId="5"/>
  </si>
  <si>
    <t>49. 7.30</t>
    <phoneticPr fontId="5"/>
  </si>
  <si>
    <t>49. 9.30</t>
    <phoneticPr fontId="5"/>
  </si>
  <si>
    <t>49.10.30</t>
    <phoneticPr fontId="5"/>
  </si>
  <si>
    <t>50. 3.20</t>
    <phoneticPr fontId="5"/>
  </si>
  <si>
    <t xml:space="preserve"> 50. 3.20</t>
    <phoneticPr fontId="5"/>
  </si>
  <si>
    <t>50. 3.22</t>
    <phoneticPr fontId="5"/>
  </si>
  <si>
    <t>49</t>
    <phoneticPr fontId="5"/>
  </si>
  <si>
    <t xml:space="preserve"> 50. 3.31</t>
    <phoneticPr fontId="5"/>
  </si>
  <si>
    <t>50. 7.30</t>
    <phoneticPr fontId="5"/>
  </si>
  <si>
    <t>50. 9.30</t>
    <phoneticPr fontId="5"/>
  </si>
  <si>
    <t>50.12.20</t>
    <phoneticPr fontId="5"/>
  </si>
  <si>
    <t>51. 3.16</t>
    <phoneticPr fontId="5"/>
  </si>
  <si>
    <t>51. 3.20</t>
    <phoneticPr fontId="5"/>
  </si>
  <si>
    <t>51. 3.25</t>
    <phoneticPr fontId="2"/>
  </si>
  <si>
    <t>種　 別</t>
    <phoneticPr fontId="5"/>
  </si>
  <si>
    <t>52. 6.10</t>
    <phoneticPr fontId="5"/>
  </si>
  <si>
    <t>52. 8.19</t>
    <phoneticPr fontId="5"/>
  </si>
  <si>
    <t>52. 8.29</t>
    <phoneticPr fontId="5"/>
  </si>
  <si>
    <t>52. 9.30</t>
    <phoneticPr fontId="5"/>
  </si>
  <si>
    <t>53. 3.20</t>
    <phoneticPr fontId="5"/>
  </si>
  <si>
    <t>53. 3.24</t>
    <phoneticPr fontId="5"/>
  </si>
  <si>
    <t>53. 3.30</t>
    <phoneticPr fontId="5"/>
  </si>
  <si>
    <t>53. 5.22</t>
    <phoneticPr fontId="5"/>
  </si>
  <si>
    <t>53. 5.29</t>
    <phoneticPr fontId="5"/>
  </si>
  <si>
    <t>53. 6.29</t>
    <phoneticPr fontId="5"/>
  </si>
  <si>
    <t>53. 9.29</t>
    <phoneticPr fontId="5"/>
  </si>
  <si>
    <t>53.11.30</t>
    <phoneticPr fontId="5"/>
  </si>
  <si>
    <t>53.12.25</t>
    <phoneticPr fontId="5"/>
  </si>
  <si>
    <t>54. 3.20</t>
    <phoneticPr fontId="5"/>
  </si>
  <si>
    <t>54. 3.22</t>
    <phoneticPr fontId="5"/>
  </si>
  <si>
    <t>54. 4.27</t>
    <phoneticPr fontId="5"/>
  </si>
  <si>
    <t>54. 7.30</t>
    <phoneticPr fontId="5"/>
  </si>
  <si>
    <t>54.10.29</t>
    <phoneticPr fontId="5"/>
  </si>
  <si>
    <t>55. 3.25</t>
    <phoneticPr fontId="5"/>
  </si>
  <si>
    <t>55. 3.28</t>
    <phoneticPr fontId="5"/>
  </si>
  <si>
    <t>55. 8.29</t>
    <phoneticPr fontId="5"/>
  </si>
  <si>
    <t>H17</t>
    <phoneticPr fontId="5"/>
  </si>
  <si>
    <t>55. 9.24</t>
    <phoneticPr fontId="5"/>
  </si>
  <si>
    <t>H17</t>
    <phoneticPr fontId="2"/>
  </si>
  <si>
    <t>55.12.23</t>
    <phoneticPr fontId="5"/>
  </si>
  <si>
    <t>H16</t>
    <phoneticPr fontId="5"/>
  </si>
  <si>
    <t>55.12.25</t>
    <phoneticPr fontId="5"/>
  </si>
  <si>
    <t>56. 3.23</t>
    <phoneticPr fontId="5"/>
  </si>
  <si>
    <t>56. 8.31</t>
    <phoneticPr fontId="5"/>
  </si>
  <si>
    <t>56. 9.22</t>
    <phoneticPr fontId="5"/>
  </si>
  <si>
    <t>56.12.25</t>
    <phoneticPr fontId="5"/>
  </si>
  <si>
    <t>57. 3.29</t>
    <phoneticPr fontId="5"/>
  </si>
  <si>
    <t>H21</t>
    <phoneticPr fontId="2"/>
  </si>
  <si>
    <t xml:space="preserve"> 56</t>
    <phoneticPr fontId="5"/>
  </si>
  <si>
    <t xml:space="preserve"> 57. 9.21</t>
    <phoneticPr fontId="5"/>
  </si>
  <si>
    <t>H22</t>
    <phoneticPr fontId="5"/>
  </si>
  <si>
    <t xml:space="preserve"> 57.12.24</t>
    <phoneticPr fontId="5"/>
  </si>
  <si>
    <t>H19</t>
    <phoneticPr fontId="5"/>
  </si>
  <si>
    <t>17. 3.25</t>
    <phoneticPr fontId="2"/>
  </si>
  <si>
    <t>H19</t>
    <phoneticPr fontId="5"/>
  </si>
  <si>
    <t>平17</t>
    <phoneticPr fontId="5"/>
  </si>
  <si>
    <t>17.10.28</t>
    <phoneticPr fontId="5"/>
  </si>
  <si>
    <t>H21</t>
    <phoneticPr fontId="5"/>
  </si>
  <si>
    <t>H22</t>
    <phoneticPr fontId="5"/>
  </si>
  <si>
    <t>18.10.31</t>
    <phoneticPr fontId="2"/>
  </si>
  <si>
    <t>H20</t>
    <phoneticPr fontId="2"/>
  </si>
  <si>
    <t>公営企業金融公庫</t>
    <phoneticPr fontId="2"/>
  </si>
  <si>
    <t>20. 3.21</t>
    <phoneticPr fontId="2"/>
  </si>
  <si>
    <t>H21</t>
    <phoneticPr fontId="2"/>
  </si>
  <si>
    <t>H22</t>
    <phoneticPr fontId="2"/>
  </si>
  <si>
    <t>小　 計</t>
    <phoneticPr fontId="5"/>
  </si>
  <si>
    <t>北総地区</t>
    <phoneticPr fontId="2"/>
  </si>
  <si>
    <t>昭45</t>
    <phoneticPr fontId="5"/>
  </si>
  <si>
    <t>昭46. 9. 1</t>
    <phoneticPr fontId="5"/>
  </si>
  <si>
    <t>事業債</t>
    <phoneticPr fontId="2"/>
  </si>
  <si>
    <t>46.12.25</t>
    <phoneticPr fontId="5"/>
  </si>
  <si>
    <t>47. 3.31</t>
    <phoneticPr fontId="5"/>
  </si>
  <si>
    <t>47. 7.28</t>
    <phoneticPr fontId="2"/>
  </si>
  <si>
    <t>種　 別</t>
    <phoneticPr fontId="5"/>
  </si>
  <si>
    <t>北総地区</t>
    <phoneticPr fontId="2"/>
  </si>
  <si>
    <t>事業債</t>
    <phoneticPr fontId="2"/>
  </si>
  <si>
    <t>49. 3.20</t>
    <phoneticPr fontId="5"/>
  </si>
  <si>
    <t>49. 8.31</t>
    <phoneticPr fontId="5"/>
  </si>
  <si>
    <t>50. 4.15</t>
    <phoneticPr fontId="5"/>
  </si>
  <si>
    <t>50. 5.27</t>
    <phoneticPr fontId="5"/>
  </si>
  <si>
    <t>51. 4.30</t>
    <phoneticPr fontId="5"/>
  </si>
  <si>
    <t>51.10.28</t>
    <phoneticPr fontId="5"/>
  </si>
  <si>
    <t>53. 1.30</t>
    <phoneticPr fontId="5"/>
  </si>
  <si>
    <t>55. 1.28</t>
    <phoneticPr fontId="5"/>
  </si>
  <si>
    <t>56. 3.30</t>
    <phoneticPr fontId="5"/>
  </si>
  <si>
    <t>H21</t>
    <phoneticPr fontId="5"/>
  </si>
  <si>
    <t>平17</t>
    <phoneticPr fontId="5"/>
  </si>
  <si>
    <t>平17.10.28</t>
    <phoneticPr fontId="5"/>
  </si>
  <si>
    <t>公営企業金融公庫</t>
    <phoneticPr fontId="2"/>
  </si>
  <si>
    <t>20. 3.21</t>
    <phoneticPr fontId="2"/>
  </si>
  <si>
    <t>四拡統合</t>
    <phoneticPr fontId="2"/>
  </si>
  <si>
    <t>昭57</t>
    <phoneticPr fontId="5"/>
  </si>
  <si>
    <t>昭58. 3.22</t>
    <phoneticPr fontId="5"/>
  </si>
  <si>
    <t>58. 8.17</t>
    <phoneticPr fontId="5"/>
  </si>
  <si>
    <t>58. 8.19</t>
    <phoneticPr fontId="5"/>
  </si>
  <si>
    <t>59. 3.22</t>
    <phoneticPr fontId="5"/>
  </si>
  <si>
    <t>59. 3.29</t>
    <phoneticPr fontId="5"/>
  </si>
  <si>
    <t>H23</t>
    <phoneticPr fontId="2"/>
  </si>
  <si>
    <t>59. 9.21</t>
    <phoneticPr fontId="5"/>
  </si>
  <si>
    <t>59. 9.25</t>
    <phoneticPr fontId="5"/>
  </si>
  <si>
    <t>60. 3.20</t>
    <phoneticPr fontId="5"/>
  </si>
  <si>
    <t>60. 3.25</t>
    <phoneticPr fontId="5"/>
  </si>
  <si>
    <t>60. 3.29</t>
    <phoneticPr fontId="5"/>
  </si>
  <si>
    <t>60.10.17</t>
    <phoneticPr fontId="5"/>
  </si>
  <si>
    <t>61. 3.25</t>
    <phoneticPr fontId="5"/>
  </si>
  <si>
    <t>61. 3.28</t>
    <phoneticPr fontId="5"/>
  </si>
  <si>
    <t>62. 3.25</t>
    <phoneticPr fontId="5"/>
  </si>
  <si>
    <t xml:space="preserve"> 62. 3.25</t>
    <phoneticPr fontId="5"/>
  </si>
  <si>
    <t>62. 6.18</t>
    <phoneticPr fontId="5"/>
  </si>
  <si>
    <t xml:space="preserve"> 62. 9.25</t>
    <phoneticPr fontId="5"/>
  </si>
  <si>
    <t>62.11.10</t>
    <phoneticPr fontId="5"/>
  </si>
  <si>
    <t>63. 3.17</t>
    <phoneticPr fontId="5"/>
  </si>
  <si>
    <t xml:space="preserve"> 63. 3.25</t>
    <phoneticPr fontId="5"/>
  </si>
  <si>
    <t>63.11. 9</t>
    <phoneticPr fontId="2"/>
  </si>
  <si>
    <t>H30</t>
    <phoneticPr fontId="2"/>
  </si>
  <si>
    <t>四拡統合</t>
    <phoneticPr fontId="2"/>
  </si>
  <si>
    <t>昭63</t>
    <phoneticPr fontId="5"/>
  </si>
  <si>
    <t>平元</t>
    <phoneticPr fontId="5"/>
  </si>
  <si>
    <t>元.12.25</t>
    <phoneticPr fontId="5"/>
  </si>
  <si>
    <t>昭63</t>
    <phoneticPr fontId="5"/>
  </si>
  <si>
    <t xml:space="preserve"> 2. 1.25</t>
    <phoneticPr fontId="5"/>
  </si>
  <si>
    <t>H31</t>
    <phoneticPr fontId="5"/>
  </si>
  <si>
    <t xml:space="preserve"> 2. 2.28</t>
    <phoneticPr fontId="5"/>
  </si>
  <si>
    <t xml:space="preserve"> 2. 3.23</t>
    <phoneticPr fontId="5"/>
  </si>
  <si>
    <t>2. 3.26</t>
    <phoneticPr fontId="5"/>
  </si>
  <si>
    <t xml:space="preserve"> 2. 3.29</t>
    <phoneticPr fontId="5"/>
  </si>
  <si>
    <t xml:space="preserve"> 2.12.21</t>
    <phoneticPr fontId="5"/>
  </si>
  <si>
    <t xml:space="preserve"> 3. 3.25</t>
    <phoneticPr fontId="5"/>
  </si>
  <si>
    <t>H16</t>
    <phoneticPr fontId="5"/>
  </si>
  <si>
    <t xml:space="preserve"> 3. 3.27</t>
    <phoneticPr fontId="5"/>
  </si>
  <si>
    <t xml:space="preserve"> 3. 3.28</t>
    <phoneticPr fontId="5"/>
  </si>
  <si>
    <t xml:space="preserve"> 3. 3.29</t>
    <phoneticPr fontId="5"/>
  </si>
  <si>
    <t xml:space="preserve"> 3.12.24</t>
    <phoneticPr fontId="5"/>
  </si>
  <si>
    <t xml:space="preserve"> 4. 3.25</t>
    <phoneticPr fontId="5"/>
  </si>
  <si>
    <t xml:space="preserve"> 4. 3.26</t>
    <phoneticPr fontId="5"/>
  </si>
  <si>
    <t>4. 3.31</t>
    <phoneticPr fontId="5"/>
  </si>
  <si>
    <t xml:space="preserve"> 5. 3.16</t>
    <phoneticPr fontId="5"/>
  </si>
  <si>
    <t>5. 3.25</t>
    <phoneticPr fontId="5"/>
  </si>
  <si>
    <t xml:space="preserve"> 5. 3.26</t>
    <phoneticPr fontId="5"/>
  </si>
  <si>
    <t xml:space="preserve"> 6. 3.23</t>
    <phoneticPr fontId="5"/>
  </si>
  <si>
    <t xml:space="preserve"> 6. 3.25</t>
    <phoneticPr fontId="5"/>
  </si>
  <si>
    <t>昭59</t>
    <phoneticPr fontId="5"/>
  </si>
  <si>
    <t xml:space="preserve"> 7. 3.17</t>
    <phoneticPr fontId="5"/>
  </si>
  <si>
    <t>平 5</t>
    <phoneticPr fontId="5"/>
  </si>
  <si>
    <t xml:space="preserve">  7. 3.27</t>
    <phoneticPr fontId="5"/>
  </si>
  <si>
    <t xml:space="preserve"> 7. 3.27</t>
    <phoneticPr fontId="5"/>
  </si>
  <si>
    <t>昭60</t>
    <phoneticPr fontId="5"/>
  </si>
  <si>
    <t xml:space="preserve"> 7. 8.25</t>
    <phoneticPr fontId="5"/>
  </si>
  <si>
    <t xml:space="preserve"> 8. 3.21</t>
    <phoneticPr fontId="5"/>
  </si>
  <si>
    <t>8. 8.22</t>
    <phoneticPr fontId="5"/>
  </si>
  <si>
    <t>9. 8.25</t>
    <phoneticPr fontId="5"/>
  </si>
  <si>
    <t>11. 8.19</t>
    <phoneticPr fontId="5"/>
  </si>
  <si>
    <t>H21</t>
    <phoneticPr fontId="5"/>
  </si>
  <si>
    <t>14. 8.20</t>
    <phoneticPr fontId="5"/>
  </si>
  <si>
    <t>H24</t>
    <phoneticPr fontId="5"/>
  </si>
  <si>
    <t>17. 3.25</t>
    <phoneticPr fontId="5"/>
  </si>
  <si>
    <t>H19</t>
    <phoneticPr fontId="2"/>
  </si>
  <si>
    <t>H30</t>
    <phoneticPr fontId="5"/>
  </si>
  <si>
    <t>H23</t>
    <phoneticPr fontId="2"/>
  </si>
  <si>
    <t>H24</t>
    <phoneticPr fontId="2"/>
  </si>
  <si>
    <t>昭48</t>
    <phoneticPr fontId="5"/>
  </si>
  <si>
    <t>昭49. 5.31</t>
    <phoneticPr fontId="5"/>
  </si>
  <si>
    <t>50. 3.31</t>
    <phoneticPr fontId="5"/>
  </si>
  <si>
    <t>50. 9.30</t>
    <phoneticPr fontId="5"/>
  </si>
  <si>
    <t>51. 3.16</t>
    <phoneticPr fontId="5"/>
  </si>
  <si>
    <t>51. 3.22</t>
    <phoneticPr fontId="5"/>
  </si>
  <si>
    <t>51. 4. 5</t>
    <phoneticPr fontId="5"/>
  </si>
  <si>
    <t>51.11.22</t>
    <phoneticPr fontId="5"/>
  </si>
  <si>
    <t>52. 3.20</t>
    <phoneticPr fontId="5"/>
  </si>
  <si>
    <t xml:space="preserve"> 53. 2.27</t>
    <phoneticPr fontId="5"/>
  </si>
  <si>
    <t>53. 5.10</t>
    <phoneticPr fontId="5"/>
  </si>
  <si>
    <t>54. 2.26</t>
    <phoneticPr fontId="5"/>
  </si>
  <si>
    <t>54. 3.22</t>
    <phoneticPr fontId="5"/>
  </si>
  <si>
    <t>54. 3.31</t>
    <phoneticPr fontId="5"/>
  </si>
  <si>
    <t>54.12.24</t>
    <phoneticPr fontId="5"/>
  </si>
  <si>
    <t>55. 1.28</t>
    <phoneticPr fontId="5"/>
  </si>
  <si>
    <t>55. 3.28</t>
    <phoneticPr fontId="5"/>
  </si>
  <si>
    <t>55.12.25</t>
    <phoneticPr fontId="5"/>
  </si>
  <si>
    <t>H17</t>
    <phoneticPr fontId="5"/>
  </si>
  <si>
    <t>56. 3.30</t>
    <phoneticPr fontId="5"/>
  </si>
  <si>
    <t>56. 9.22</t>
    <phoneticPr fontId="5"/>
  </si>
  <si>
    <t>H19</t>
    <phoneticPr fontId="2"/>
  </si>
  <si>
    <t>57. 3.29</t>
    <phoneticPr fontId="5"/>
  </si>
  <si>
    <t>H21</t>
    <phoneticPr fontId="2"/>
  </si>
  <si>
    <t>57. 8.30</t>
    <phoneticPr fontId="5"/>
  </si>
  <si>
    <t>58. 3.22</t>
    <phoneticPr fontId="5"/>
  </si>
  <si>
    <t>58. 8.29</t>
    <phoneticPr fontId="5"/>
  </si>
  <si>
    <t>H22</t>
    <phoneticPr fontId="2"/>
  </si>
  <si>
    <t>59. 3.29</t>
    <phoneticPr fontId="5"/>
  </si>
  <si>
    <t>H23</t>
    <phoneticPr fontId="2"/>
  </si>
  <si>
    <t>59. 9.21</t>
    <phoneticPr fontId="5"/>
  </si>
  <si>
    <t>60. 3.20</t>
    <phoneticPr fontId="5"/>
  </si>
  <si>
    <t>60. 3.25</t>
    <phoneticPr fontId="5"/>
  </si>
  <si>
    <t>60. 3.29</t>
    <phoneticPr fontId="5"/>
  </si>
  <si>
    <t>60. 3.30</t>
    <phoneticPr fontId="5"/>
  </si>
  <si>
    <t>60.10.17</t>
    <phoneticPr fontId="5"/>
  </si>
  <si>
    <t>60.10.25</t>
    <phoneticPr fontId="5"/>
  </si>
  <si>
    <t>61. 3.25</t>
    <phoneticPr fontId="5"/>
  </si>
  <si>
    <t>61. 3.28</t>
    <phoneticPr fontId="5"/>
  </si>
  <si>
    <t>62. 1.26</t>
    <phoneticPr fontId="5"/>
  </si>
  <si>
    <t>62. 1.30</t>
    <phoneticPr fontId="5"/>
  </si>
  <si>
    <t xml:space="preserve"> 61</t>
    <phoneticPr fontId="5"/>
  </si>
  <si>
    <t xml:space="preserve"> 62. 3.25</t>
    <phoneticPr fontId="5"/>
  </si>
  <si>
    <t>62. 6.18</t>
    <phoneticPr fontId="5"/>
  </si>
  <si>
    <t>62. 8.20</t>
    <phoneticPr fontId="5"/>
  </si>
  <si>
    <t>62.11.25</t>
    <phoneticPr fontId="5"/>
  </si>
  <si>
    <t>63. 3.25</t>
    <phoneticPr fontId="5"/>
  </si>
  <si>
    <t>62</t>
    <phoneticPr fontId="5"/>
  </si>
  <si>
    <t xml:space="preserve"> 63.12.26</t>
    <phoneticPr fontId="5"/>
  </si>
  <si>
    <t>平元. 6.30</t>
    <phoneticPr fontId="5"/>
  </si>
  <si>
    <t xml:space="preserve"> 2. 1.25</t>
    <phoneticPr fontId="5"/>
  </si>
  <si>
    <t>平元</t>
    <phoneticPr fontId="5"/>
  </si>
  <si>
    <t xml:space="preserve"> 2. 3.26</t>
    <phoneticPr fontId="5"/>
  </si>
  <si>
    <t>元</t>
    <phoneticPr fontId="2"/>
  </si>
  <si>
    <t>3. 3.25</t>
    <phoneticPr fontId="5"/>
  </si>
  <si>
    <t>元</t>
    <phoneticPr fontId="5"/>
  </si>
  <si>
    <t xml:space="preserve"> 3. 3.28</t>
    <phoneticPr fontId="5"/>
  </si>
  <si>
    <t>3. 3.28</t>
    <phoneticPr fontId="5"/>
  </si>
  <si>
    <t xml:space="preserve"> 4. 3.25</t>
    <phoneticPr fontId="5"/>
  </si>
  <si>
    <t xml:space="preserve"> 4. 3.26</t>
    <phoneticPr fontId="5"/>
  </si>
  <si>
    <t xml:space="preserve"> 5. 3.25</t>
    <phoneticPr fontId="5"/>
  </si>
  <si>
    <t>5. 3.26</t>
    <phoneticPr fontId="5"/>
  </si>
  <si>
    <t>種　 別</t>
    <phoneticPr fontId="5"/>
  </si>
  <si>
    <t xml:space="preserve"> 6.12.26</t>
    <phoneticPr fontId="5"/>
  </si>
  <si>
    <t>平 6</t>
    <phoneticPr fontId="5"/>
  </si>
  <si>
    <t>7. 3.17</t>
    <phoneticPr fontId="5"/>
  </si>
  <si>
    <t xml:space="preserve"> 7.11.30</t>
    <phoneticPr fontId="5"/>
  </si>
  <si>
    <t xml:space="preserve"> 8. 3.22</t>
    <phoneticPr fontId="5"/>
  </si>
  <si>
    <t xml:space="preserve"> 9. 1.31</t>
    <phoneticPr fontId="5"/>
  </si>
  <si>
    <t xml:space="preserve"> 9. 3.26</t>
    <phoneticPr fontId="5"/>
  </si>
  <si>
    <t xml:space="preserve"> 9. 9.25</t>
    <phoneticPr fontId="5"/>
  </si>
  <si>
    <t xml:space="preserve"> 10. 3.25</t>
    <phoneticPr fontId="5"/>
  </si>
  <si>
    <t>H37</t>
    <phoneticPr fontId="5"/>
  </si>
  <si>
    <t xml:space="preserve"> 11. 1.29</t>
    <phoneticPr fontId="5"/>
  </si>
  <si>
    <t xml:space="preserve"> 11. 3.24</t>
    <phoneticPr fontId="5"/>
  </si>
  <si>
    <t xml:space="preserve"> 11. 3.25</t>
    <phoneticPr fontId="5"/>
  </si>
  <si>
    <t xml:space="preserve"> 12. 3.22</t>
    <phoneticPr fontId="5"/>
  </si>
  <si>
    <t>H39</t>
    <phoneticPr fontId="5"/>
  </si>
  <si>
    <t xml:space="preserve"> 12. 3.24</t>
    <phoneticPr fontId="5"/>
  </si>
  <si>
    <t>H41</t>
    <phoneticPr fontId="5"/>
  </si>
  <si>
    <t xml:space="preserve"> 14. 3.22</t>
    <phoneticPr fontId="5"/>
  </si>
  <si>
    <t xml:space="preserve"> 15. 3.25</t>
    <phoneticPr fontId="5"/>
  </si>
  <si>
    <t>H42</t>
    <phoneticPr fontId="5"/>
  </si>
  <si>
    <t xml:space="preserve"> 16. 3.23</t>
    <phoneticPr fontId="5"/>
  </si>
  <si>
    <t>H43</t>
    <phoneticPr fontId="5"/>
  </si>
  <si>
    <t xml:space="preserve"> 17. 3.23</t>
    <phoneticPr fontId="5"/>
  </si>
  <si>
    <t>H44</t>
    <phoneticPr fontId="5"/>
  </si>
  <si>
    <t xml:space="preserve"> 17.10.28</t>
    <phoneticPr fontId="5"/>
  </si>
  <si>
    <t>H21</t>
    <phoneticPr fontId="5"/>
  </si>
  <si>
    <t>H22</t>
    <phoneticPr fontId="5"/>
  </si>
  <si>
    <t xml:space="preserve"> 18. 3.23</t>
    <phoneticPr fontId="5"/>
  </si>
  <si>
    <t>H45</t>
    <phoneticPr fontId="5"/>
  </si>
  <si>
    <t>18.10.31</t>
    <phoneticPr fontId="2"/>
  </si>
  <si>
    <t>H21</t>
    <phoneticPr fontId="2"/>
  </si>
  <si>
    <t>H23</t>
    <phoneticPr fontId="2"/>
  </si>
  <si>
    <t>公営企業金融公庫</t>
    <phoneticPr fontId="2"/>
  </si>
  <si>
    <t>20. 3.21</t>
    <phoneticPr fontId="2"/>
  </si>
  <si>
    <t>H22</t>
    <phoneticPr fontId="2"/>
  </si>
  <si>
    <t>20. 3.25</t>
    <phoneticPr fontId="2"/>
  </si>
  <si>
    <t>H47</t>
    <phoneticPr fontId="2"/>
  </si>
  <si>
    <t>21. 3.25</t>
    <phoneticPr fontId="2"/>
  </si>
  <si>
    <t>H48</t>
    <phoneticPr fontId="2"/>
  </si>
  <si>
    <t>22. 3.25</t>
    <phoneticPr fontId="2"/>
  </si>
  <si>
    <t>昭53</t>
    <phoneticPr fontId="5"/>
  </si>
  <si>
    <t>昭55. 3.31</t>
    <phoneticPr fontId="5"/>
  </si>
  <si>
    <t>56. 3.31</t>
    <phoneticPr fontId="5"/>
  </si>
  <si>
    <t>57. 3.31</t>
    <phoneticPr fontId="5"/>
  </si>
  <si>
    <t>平 4</t>
    <phoneticPr fontId="5"/>
  </si>
  <si>
    <t>平5. 3.26</t>
    <phoneticPr fontId="5"/>
  </si>
  <si>
    <t xml:space="preserve"> 6. 3.23</t>
    <phoneticPr fontId="5"/>
  </si>
  <si>
    <t xml:space="preserve"> 6.12.26</t>
    <phoneticPr fontId="5"/>
  </si>
  <si>
    <t xml:space="preserve"> 7. 3.17</t>
    <phoneticPr fontId="5"/>
  </si>
  <si>
    <t xml:space="preserve"> 7. 3.27</t>
    <phoneticPr fontId="5"/>
  </si>
  <si>
    <t xml:space="preserve"> 7.12.25</t>
    <phoneticPr fontId="5"/>
  </si>
  <si>
    <t xml:space="preserve">  8. 3.22</t>
    <phoneticPr fontId="5"/>
  </si>
  <si>
    <t xml:space="preserve"> 9. 1.31</t>
    <phoneticPr fontId="5"/>
  </si>
  <si>
    <t>9. 3.26</t>
    <phoneticPr fontId="5"/>
  </si>
  <si>
    <t>10. 1.30</t>
    <phoneticPr fontId="5"/>
  </si>
  <si>
    <t xml:space="preserve"> 10. 3.25</t>
    <phoneticPr fontId="5"/>
  </si>
  <si>
    <t xml:space="preserve"> 11. 1.29</t>
    <phoneticPr fontId="5"/>
  </si>
  <si>
    <t xml:space="preserve"> 11. 3.24</t>
    <phoneticPr fontId="5"/>
  </si>
  <si>
    <t xml:space="preserve"> 11. 3.25</t>
    <phoneticPr fontId="5"/>
  </si>
  <si>
    <t xml:space="preserve"> 12. 1.25</t>
    <phoneticPr fontId="5"/>
  </si>
  <si>
    <t xml:space="preserve"> 12. 3.22</t>
    <phoneticPr fontId="5"/>
  </si>
  <si>
    <t>H39</t>
    <phoneticPr fontId="5"/>
  </si>
  <si>
    <t>H41</t>
    <phoneticPr fontId="5"/>
  </si>
  <si>
    <t xml:space="preserve"> 13. 1.25</t>
    <phoneticPr fontId="5"/>
  </si>
  <si>
    <t>H22</t>
    <phoneticPr fontId="5"/>
  </si>
  <si>
    <t xml:space="preserve"> 13. 3.22</t>
    <phoneticPr fontId="5"/>
  </si>
  <si>
    <t>H40</t>
    <phoneticPr fontId="5"/>
  </si>
  <si>
    <t xml:space="preserve"> 13. 3.26</t>
    <phoneticPr fontId="5"/>
  </si>
  <si>
    <t>H42</t>
    <phoneticPr fontId="5"/>
  </si>
  <si>
    <t xml:space="preserve"> 14. 3.22</t>
    <phoneticPr fontId="5"/>
  </si>
  <si>
    <t>H41</t>
    <phoneticPr fontId="5"/>
  </si>
  <si>
    <t xml:space="preserve"> 14. 3.25</t>
    <phoneticPr fontId="5"/>
  </si>
  <si>
    <t>H43</t>
    <phoneticPr fontId="5"/>
  </si>
  <si>
    <t xml:space="preserve"> 15. 3.25</t>
    <phoneticPr fontId="5"/>
  </si>
  <si>
    <t>H44</t>
    <phoneticPr fontId="5"/>
  </si>
  <si>
    <t xml:space="preserve"> 16. 3.23</t>
    <phoneticPr fontId="5"/>
  </si>
  <si>
    <t xml:space="preserve"> 17. 3.23</t>
    <phoneticPr fontId="5"/>
  </si>
  <si>
    <t xml:space="preserve"> 18. 3.23</t>
    <phoneticPr fontId="5"/>
  </si>
  <si>
    <t>H45</t>
    <phoneticPr fontId="5"/>
  </si>
  <si>
    <t>20. 3.25</t>
    <phoneticPr fontId="2"/>
  </si>
  <si>
    <t>H47</t>
    <phoneticPr fontId="2"/>
  </si>
  <si>
    <t>22. 3.25</t>
    <phoneticPr fontId="2"/>
  </si>
  <si>
    <t>平 6</t>
    <phoneticPr fontId="5"/>
  </si>
  <si>
    <t>平 7. 3.27</t>
    <phoneticPr fontId="5"/>
  </si>
  <si>
    <t xml:space="preserve"> 7. 3.31</t>
    <phoneticPr fontId="5"/>
  </si>
  <si>
    <t xml:space="preserve"> 8. 3.14</t>
    <phoneticPr fontId="5"/>
  </si>
  <si>
    <t xml:space="preserve"> 8. 3.22</t>
    <phoneticPr fontId="5"/>
  </si>
  <si>
    <t xml:space="preserve"> 8. 3.25</t>
    <phoneticPr fontId="5"/>
  </si>
  <si>
    <t xml:space="preserve"> 9. 3.25</t>
    <phoneticPr fontId="5"/>
  </si>
  <si>
    <t>H16</t>
    <phoneticPr fontId="5"/>
  </si>
  <si>
    <t xml:space="preserve"> 9. 3.26</t>
    <phoneticPr fontId="5"/>
  </si>
  <si>
    <t xml:space="preserve"> 10. 3.19</t>
    <phoneticPr fontId="5"/>
  </si>
  <si>
    <t xml:space="preserve"> 11. 1.20</t>
    <phoneticPr fontId="5"/>
  </si>
  <si>
    <t xml:space="preserve"> 11. 1.26</t>
    <phoneticPr fontId="5"/>
  </si>
  <si>
    <t xml:space="preserve"> 12. 1.20</t>
    <phoneticPr fontId="5"/>
  </si>
  <si>
    <t xml:space="preserve"> 12. 9.25</t>
    <phoneticPr fontId="5"/>
  </si>
  <si>
    <t xml:space="preserve"> 14. 3.29</t>
    <phoneticPr fontId="5"/>
  </si>
  <si>
    <t>無利子</t>
    <phoneticPr fontId="5"/>
  </si>
  <si>
    <t>H18</t>
    <phoneticPr fontId="5"/>
  </si>
  <si>
    <t xml:space="preserve"> 15. 2.20</t>
    <phoneticPr fontId="5"/>
  </si>
  <si>
    <t>16. 3.25</t>
    <phoneticPr fontId="5"/>
  </si>
  <si>
    <t xml:space="preserve"> 16.12.24</t>
    <phoneticPr fontId="5"/>
  </si>
  <si>
    <t xml:space="preserve"> 16.12.27</t>
    <phoneticPr fontId="5"/>
  </si>
  <si>
    <t>H46</t>
    <phoneticPr fontId="5"/>
  </si>
  <si>
    <t xml:space="preserve"> 17. 3. 1</t>
    <phoneticPr fontId="5"/>
  </si>
  <si>
    <t>H40</t>
    <phoneticPr fontId="5"/>
  </si>
  <si>
    <t xml:space="preserve"> 17. 9.30</t>
    <phoneticPr fontId="5"/>
  </si>
  <si>
    <t>H47</t>
    <phoneticPr fontId="5"/>
  </si>
  <si>
    <t>19. 3.23</t>
    <phoneticPr fontId="2"/>
  </si>
  <si>
    <t>H46</t>
    <phoneticPr fontId="2"/>
  </si>
  <si>
    <t>19. 3.26</t>
    <phoneticPr fontId="2"/>
  </si>
  <si>
    <t>H48</t>
    <phoneticPr fontId="2"/>
  </si>
  <si>
    <t>20. 1.28</t>
    <phoneticPr fontId="2"/>
  </si>
  <si>
    <t>H49</t>
    <phoneticPr fontId="2"/>
  </si>
  <si>
    <t>20. 1.31</t>
    <phoneticPr fontId="2"/>
  </si>
  <si>
    <t>21. 1.27</t>
    <phoneticPr fontId="2"/>
  </si>
  <si>
    <t>H50</t>
    <phoneticPr fontId="2"/>
  </si>
  <si>
    <t>21. 1.29</t>
    <phoneticPr fontId="2"/>
  </si>
  <si>
    <t>21.11.25</t>
    <phoneticPr fontId="2"/>
  </si>
  <si>
    <t>H51</t>
    <phoneticPr fontId="2"/>
  </si>
  <si>
    <t>23. 3.24</t>
    <phoneticPr fontId="2"/>
  </si>
  <si>
    <t>H52</t>
    <phoneticPr fontId="2"/>
  </si>
  <si>
    <t>水質センター</t>
    <phoneticPr fontId="5"/>
  </si>
  <si>
    <t>平 8</t>
    <phoneticPr fontId="5"/>
  </si>
  <si>
    <t>平 9. 3.25</t>
    <phoneticPr fontId="5"/>
  </si>
  <si>
    <t>平13. 1.25</t>
    <phoneticPr fontId="5"/>
  </si>
  <si>
    <t>公営企業金融公庫</t>
    <phoneticPr fontId="5"/>
  </si>
  <si>
    <t xml:space="preserve"> 14. 3.22</t>
    <phoneticPr fontId="5"/>
  </si>
  <si>
    <t>H23</t>
    <phoneticPr fontId="5"/>
  </si>
  <si>
    <t>小　 計</t>
    <phoneticPr fontId="5"/>
  </si>
  <si>
    <t>H44</t>
    <phoneticPr fontId="5"/>
  </si>
  <si>
    <t>公営企業金融公庫</t>
    <phoneticPr fontId="5"/>
  </si>
  <si>
    <t xml:space="preserve"> 14. 3.22</t>
    <phoneticPr fontId="5"/>
  </si>
  <si>
    <t xml:space="preserve"> 14. 9.25</t>
    <phoneticPr fontId="5"/>
  </si>
  <si>
    <t>H42</t>
    <phoneticPr fontId="5"/>
  </si>
  <si>
    <t>15. 1.24</t>
    <phoneticPr fontId="5"/>
  </si>
  <si>
    <t>H24</t>
    <phoneticPr fontId="5"/>
  </si>
  <si>
    <t>15. 5.29</t>
    <phoneticPr fontId="5"/>
  </si>
  <si>
    <t>16. 1.26</t>
    <phoneticPr fontId="5"/>
  </si>
  <si>
    <t>H25</t>
    <phoneticPr fontId="5"/>
  </si>
  <si>
    <t>16. 3.23</t>
    <phoneticPr fontId="5"/>
  </si>
  <si>
    <t>17. 2.25</t>
    <phoneticPr fontId="5"/>
  </si>
  <si>
    <t>H26</t>
    <phoneticPr fontId="5"/>
  </si>
  <si>
    <r>
      <t>17.12.26</t>
    </r>
    <r>
      <rPr>
        <b/>
        <sz val="11"/>
        <rFont val="明朝"/>
        <family val="1"/>
        <charset val="128"/>
      </rPr>
      <t/>
    </r>
    <phoneticPr fontId="5"/>
  </si>
  <si>
    <t>18. 1.31</t>
    <phoneticPr fontId="5"/>
  </si>
  <si>
    <t>H27</t>
    <phoneticPr fontId="5"/>
  </si>
  <si>
    <t>19. 2.23</t>
    <phoneticPr fontId="2"/>
  </si>
  <si>
    <t>H28</t>
    <phoneticPr fontId="2"/>
  </si>
  <si>
    <t>市場公募債</t>
    <phoneticPr fontId="2"/>
  </si>
  <si>
    <t>20. 2.25</t>
    <phoneticPr fontId="2"/>
  </si>
  <si>
    <t>H29</t>
    <phoneticPr fontId="2"/>
  </si>
  <si>
    <t>21. 2.25</t>
    <phoneticPr fontId="2"/>
  </si>
  <si>
    <t>H30</t>
    <phoneticPr fontId="2"/>
  </si>
  <si>
    <t>H32</t>
    <phoneticPr fontId="2"/>
  </si>
  <si>
    <t>H34</t>
    <phoneticPr fontId="5"/>
  </si>
  <si>
    <t>16. 3.23</t>
    <phoneticPr fontId="5"/>
  </si>
  <si>
    <t>H35</t>
    <phoneticPr fontId="5"/>
  </si>
  <si>
    <t>17. 3.23</t>
    <phoneticPr fontId="5"/>
  </si>
  <si>
    <t>H36</t>
    <phoneticPr fontId="5"/>
  </si>
  <si>
    <t>18. 3.30</t>
    <phoneticPr fontId="5"/>
  </si>
  <si>
    <t>H37</t>
    <phoneticPr fontId="5"/>
  </si>
  <si>
    <t>公営企業金融公庫</t>
    <phoneticPr fontId="2"/>
  </si>
  <si>
    <t>20. 3.25</t>
    <phoneticPr fontId="2"/>
  </si>
  <si>
    <t>H39</t>
    <phoneticPr fontId="2"/>
  </si>
  <si>
    <t>小　 計</t>
    <phoneticPr fontId="5"/>
  </si>
  <si>
    <t>種　 別</t>
    <phoneticPr fontId="5"/>
  </si>
  <si>
    <t>H45</t>
    <phoneticPr fontId="5"/>
  </si>
  <si>
    <t>17. 3.23</t>
    <phoneticPr fontId="5"/>
  </si>
  <si>
    <t>H44</t>
    <phoneticPr fontId="5"/>
  </si>
  <si>
    <t>18. 3.27</t>
    <phoneticPr fontId="5"/>
  </si>
  <si>
    <t>21. 3.25</t>
    <phoneticPr fontId="2"/>
  </si>
  <si>
    <t>財務相</t>
    <rPh sb="0" eb="2">
      <t>ザイム</t>
    </rPh>
    <rPh sb="2" eb="3">
      <t>ショウ</t>
    </rPh>
    <phoneticPr fontId="2"/>
  </si>
  <si>
    <t>H41</t>
    <phoneticPr fontId="5"/>
  </si>
  <si>
    <t>H44</t>
    <phoneticPr fontId="5"/>
  </si>
  <si>
    <t xml:space="preserve"> 17. 9.30</t>
    <phoneticPr fontId="5"/>
  </si>
  <si>
    <t>19. 3.26</t>
    <phoneticPr fontId="2"/>
  </si>
  <si>
    <t>H48</t>
    <phoneticPr fontId="2"/>
  </si>
  <si>
    <t>20. 1.28</t>
    <phoneticPr fontId="2"/>
  </si>
  <si>
    <t>H49</t>
    <phoneticPr fontId="2"/>
  </si>
  <si>
    <t>公営企業金融公庫</t>
    <phoneticPr fontId="2"/>
  </si>
  <si>
    <t>20. 1.31</t>
    <phoneticPr fontId="2"/>
  </si>
  <si>
    <t>H47</t>
    <phoneticPr fontId="2"/>
  </si>
  <si>
    <t>20. 3.25</t>
    <phoneticPr fontId="2"/>
  </si>
  <si>
    <t>21. 1.27</t>
    <phoneticPr fontId="2"/>
  </si>
  <si>
    <t>H50</t>
    <phoneticPr fontId="2"/>
  </si>
  <si>
    <t>21. 1.29</t>
    <phoneticPr fontId="2"/>
  </si>
  <si>
    <t>21. 3.25</t>
    <phoneticPr fontId="2"/>
  </si>
  <si>
    <t>21.11.25</t>
    <phoneticPr fontId="2"/>
  </si>
  <si>
    <t>H51</t>
    <phoneticPr fontId="2"/>
  </si>
  <si>
    <t>22. 3.25</t>
    <phoneticPr fontId="2"/>
  </si>
  <si>
    <t>23. 3.24</t>
    <phoneticPr fontId="2"/>
  </si>
  <si>
    <t>H52</t>
    <phoneticPr fontId="2"/>
  </si>
  <si>
    <t>23. 3.25</t>
    <phoneticPr fontId="2"/>
  </si>
  <si>
    <t>24. 3.26</t>
    <phoneticPr fontId="2"/>
  </si>
  <si>
    <t>H53</t>
    <phoneticPr fontId="2"/>
  </si>
  <si>
    <t>小　 計</t>
    <phoneticPr fontId="5"/>
  </si>
  <si>
    <t>水質センター</t>
    <phoneticPr fontId="5"/>
  </si>
  <si>
    <t>平 8</t>
    <phoneticPr fontId="5"/>
  </si>
  <si>
    <t>平 9. 3.25</t>
    <phoneticPr fontId="5"/>
  </si>
  <si>
    <t xml:space="preserve"> 9. 3.26</t>
    <phoneticPr fontId="5"/>
  </si>
  <si>
    <t>小　 計</t>
    <phoneticPr fontId="5"/>
  </si>
  <si>
    <t>平13. 1.25</t>
    <phoneticPr fontId="5"/>
  </si>
  <si>
    <t>H22</t>
    <phoneticPr fontId="5"/>
  </si>
  <si>
    <t>公営企業金融公庫</t>
    <phoneticPr fontId="5"/>
  </si>
  <si>
    <t xml:space="preserve"> 14. 3.22</t>
    <phoneticPr fontId="5"/>
  </si>
  <si>
    <t>H23</t>
    <phoneticPr fontId="5"/>
  </si>
  <si>
    <t>H44</t>
    <phoneticPr fontId="5"/>
  </si>
  <si>
    <t xml:space="preserve"> 15. 3.25</t>
    <phoneticPr fontId="5"/>
  </si>
  <si>
    <t>公営企業金融公庫</t>
    <phoneticPr fontId="5"/>
  </si>
  <si>
    <t xml:space="preserve"> 14. 9.25</t>
    <phoneticPr fontId="5"/>
  </si>
  <si>
    <t>H42</t>
    <phoneticPr fontId="5"/>
  </si>
  <si>
    <t>15. 1.24</t>
    <phoneticPr fontId="5"/>
  </si>
  <si>
    <t>H24</t>
    <phoneticPr fontId="5"/>
  </si>
  <si>
    <t>15. 5.29</t>
    <phoneticPr fontId="5"/>
  </si>
  <si>
    <t>16. 1.26</t>
    <phoneticPr fontId="5"/>
  </si>
  <si>
    <t>H25</t>
    <phoneticPr fontId="5"/>
  </si>
  <si>
    <t>16. 3.23</t>
    <phoneticPr fontId="5"/>
  </si>
  <si>
    <t>17. 2.25</t>
    <phoneticPr fontId="5"/>
  </si>
  <si>
    <t>H26</t>
    <phoneticPr fontId="5"/>
  </si>
  <si>
    <r>
      <t>17.12.26</t>
    </r>
    <r>
      <rPr>
        <b/>
        <sz val="11"/>
        <rFont val="明朝"/>
        <family val="1"/>
        <charset val="128"/>
      </rPr>
      <t/>
    </r>
    <phoneticPr fontId="5"/>
  </si>
  <si>
    <t>18. 1.31</t>
    <phoneticPr fontId="5"/>
  </si>
  <si>
    <t>H27</t>
    <phoneticPr fontId="5"/>
  </si>
  <si>
    <t>19. 2.23</t>
    <phoneticPr fontId="2"/>
  </si>
  <si>
    <t>H28</t>
    <phoneticPr fontId="2"/>
  </si>
  <si>
    <t>市場公募債</t>
    <phoneticPr fontId="2"/>
  </si>
  <si>
    <t>20. 2.25</t>
    <phoneticPr fontId="2"/>
  </si>
  <si>
    <t>H29</t>
    <phoneticPr fontId="2"/>
  </si>
  <si>
    <t>21. 2.25</t>
    <phoneticPr fontId="2"/>
  </si>
  <si>
    <t>21. 3.25</t>
    <phoneticPr fontId="2"/>
  </si>
  <si>
    <t>H30</t>
    <phoneticPr fontId="2"/>
  </si>
  <si>
    <t>22. 3.25</t>
    <phoneticPr fontId="2"/>
  </si>
  <si>
    <t>H33</t>
    <phoneticPr fontId="2"/>
  </si>
  <si>
    <t>H34</t>
    <phoneticPr fontId="5"/>
  </si>
  <si>
    <t>H35</t>
    <phoneticPr fontId="5"/>
  </si>
  <si>
    <t>17. 3.23</t>
    <phoneticPr fontId="5"/>
  </si>
  <si>
    <t>H36</t>
    <phoneticPr fontId="5"/>
  </si>
  <si>
    <t>18. 3.30</t>
    <phoneticPr fontId="5"/>
  </si>
  <si>
    <t>H37</t>
    <phoneticPr fontId="5"/>
  </si>
  <si>
    <t>公営企業金融公庫</t>
    <phoneticPr fontId="2"/>
  </si>
  <si>
    <t>20. 3.25</t>
    <phoneticPr fontId="2"/>
  </si>
  <si>
    <t>H39</t>
    <phoneticPr fontId="2"/>
  </si>
  <si>
    <t>21. 3.25</t>
    <phoneticPr fontId="2"/>
  </si>
  <si>
    <t>小　 計</t>
    <phoneticPr fontId="5"/>
  </si>
  <si>
    <t>H47</t>
    <phoneticPr fontId="5"/>
  </si>
  <si>
    <t>H45</t>
    <phoneticPr fontId="5"/>
  </si>
  <si>
    <t xml:space="preserve"> 18. 3.23</t>
    <phoneticPr fontId="5"/>
  </si>
  <si>
    <t>19. 3.23</t>
    <phoneticPr fontId="2"/>
  </si>
  <si>
    <t>H46</t>
    <phoneticPr fontId="2"/>
  </si>
  <si>
    <t>19. 3.26</t>
    <phoneticPr fontId="2"/>
  </si>
  <si>
    <t>H48</t>
    <phoneticPr fontId="2"/>
  </si>
  <si>
    <t>H49</t>
    <phoneticPr fontId="2"/>
  </si>
  <si>
    <t>32. 2.28</t>
    <phoneticPr fontId="5"/>
  </si>
  <si>
    <t>32. 5.27</t>
    <phoneticPr fontId="5"/>
  </si>
  <si>
    <t>33. 3.29</t>
    <phoneticPr fontId="5"/>
  </si>
  <si>
    <t>33. 4.10</t>
    <phoneticPr fontId="5"/>
  </si>
  <si>
    <t>34. 3.25</t>
    <phoneticPr fontId="5"/>
  </si>
  <si>
    <t>34. 8.31</t>
    <phoneticPr fontId="5"/>
  </si>
  <si>
    <t>35. 3.30</t>
    <phoneticPr fontId="5"/>
  </si>
  <si>
    <t>35. 5.23</t>
    <phoneticPr fontId="5"/>
  </si>
  <si>
    <t>35. 5.31</t>
    <phoneticPr fontId="5"/>
  </si>
  <si>
    <t>36. 3.20</t>
    <phoneticPr fontId="5"/>
  </si>
  <si>
    <t>36. 4.27</t>
    <phoneticPr fontId="5"/>
  </si>
  <si>
    <t>36. 9.30</t>
    <phoneticPr fontId="5"/>
  </si>
  <si>
    <t>36.12.26</t>
    <phoneticPr fontId="5"/>
  </si>
  <si>
    <t>37. 3.20</t>
    <phoneticPr fontId="5"/>
  </si>
  <si>
    <t>37. 5. 7</t>
    <phoneticPr fontId="5"/>
  </si>
  <si>
    <t>38. 3.20</t>
    <phoneticPr fontId="5"/>
  </si>
  <si>
    <t>38. 5.31</t>
    <phoneticPr fontId="5"/>
  </si>
  <si>
    <t>38. 5.31</t>
    <phoneticPr fontId="5"/>
  </si>
  <si>
    <t>小　 計</t>
    <phoneticPr fontId="5"/>
  </si>
  <si>
    <t>昭37</t>
    <phoneticPr fontId="5"/>
  </si>
  <si>
    <t>昭38. 3.20</t>
    <phoneticPr fontId="5"/>
  </si>
  <si>
    <t>38. 5.31</t>
    <phoneticPr fontId="5"/>
  </si>
  <si>
    <t>38.12.25</t>
    <phoneticPr fontId="5"/>
  </si>
  <si>
    <t>39. 3.20</t>
    <phoneticPr fontId="5"/>
  </si>
  <si>
    <t>39. 3.21</t>
    <phoneticPr fontId="5"/>
  </si>
  <si>
    <t>39. 3.30</t>
    <phoneticPr fontId="5"/>
  </si>
  <si>
    <t>39. 6.30</t>
    <phoneticPr fontId="5"/>
  </si>
  <si>
    <t>39. 9.30</t>
    <phoneticPr fontId="5"/>
  </si>
  <si>
    <t>40. 3.20</t>
    <phoneticPr fontId="5"/>
  </si>
  <si>
    <t>40. 3.20</t>
    <phoneticPr fontId="5"/>
  </si>
  <si>
    <t>40. 6.30</t>
    <phoneticPr fontId="5"/>
  </si>
  <si>
    <t>40. 7.31</t>
    <phoneticPr fontId="5"/>
  </si>
  <si>
    <t>41. 3.20</t>
    <phoneticPr fontId="5"/>
  </si>
  <si>
    <t>41. 3.28</t>
    <phoneticPr fontId="5"/>
  </si>
  <si>
    <t>41. 3.30</t>
    <phoneticPr fontId="5"/>
  </si>
  <si>
    <t>42. 3.24</t>
    <phoneticPr fontId="5"/>
  </si>
  <si>
    <t>42. 5.30</t>
    <phoneticPr fontId="5"/>
  </si>
  <si>
    <t>42.12.11</t>
    <phoneticPr fontId="5"/>
  </si>
  <si>
    <t>小　 計</t>
    <phoneticPr fontId="5"/>
  </si>
  <si>
    <t>昭40</t>
    <phoneticPr fontId="5"/>
  </si>
  <si>
    <t>昭41. 3.30</t>
    <phoneticPr fontId="5"/>
  </si>
  <si>
    <t>41.12.26</t>
    <phoneticPr fontId="5"/>
  </si>
  <si>
    <t>42. 3.24</t>
    <phoneticPr fontId="5"/>
  </si>
  <si>
    <t>42. 9.20</t>
    <phoneticPr fontId="5"/>
  </si>
  <si>
    <t>　 42.11.30</t>
    <phoneticPr fontId="5"/>
  </si>
  <si>
    <t>42.12.11</t>
    <phoneticPr fontId="5"/>
  </si>
  <si>
    <t>41</t>
    <phoneticPr fontId="5"/>
  </si>
  <si>
    <t xml:space="preserve"> 42.12.15</t>
    <phoneticPr fontId="5"/>
  </si>
  <si>
    <t>43. 3.22</t>
    <phoneticPr fontId="5"/>
  </si>
  <si>
    <t>43. 7.30</t>
    <phoneticPr fontId="5"/>
  </si>
  <si>
    <t>43. 7.31</t>
    <phoneticPr fontId="2"/>
  </si>
  <si>
    <t>種　 別</t>
    <phoneticPr fontId="5"/>
  </si>
  <si>
    <t>引 受 先</t>
    <phoneticPr fontId="5"/>
  </si>
  <si>
    <t>発 行 総 額</t>
    <phoneticPr fontId="5"/>
  </si>
  <si>
    <t>償　　　還　　　高</t>
    <phoneticPr fontId="5"/>
  </si>
  <si>
    <t>利 率</t>
    <phoneticPr fontId="5"/>
  </si>
  <si>
    <t>年利％</t>
    <phoneticPr fontId="2"/>
  </si>
  <si>
    <t>44. 8.20</t>
    <phoneticPr fontId="5"/>
  </si>
  <si>
    <t>44.10.15</t>
    <phoneticPr fontId="5"/>
  </si>
  <si>
    <t>45. 3.20</t>
    <phoneticPr fontId="5"/>
  </si>
  <si>
    <t>45. 3.30</t>
    <phoneticPr fontId="5"/>
  </si>
  <si>
    <t>45. 7.20</t>
    <phoneticPr fontId="5"/>
  </si>
  <si>
    <t>45. 8.31</t>
    <phoneticPr fontId="5"/>
  </si>
  <si>
    <t>45. 9.10</t>
    <phoneticPr fontId="5"/>
  </si>
  <si>
    <t>46. 3.20</t>
    <phoneticPr fontId="5"/>
  </si>
  <si>
    <t>46. 3.20</t>
    <phoneticPr fontId="5"/>
  </si>
  <si>
    <t>46. 5.28</t>
    <phoneticPr fontId="5"/>
  </si>
  <si>
    <t>46. 5.31</t>
    <phoneticPr fontId="5"/>
  </si>
  <si>
    <t>47. 3.20</t>
    <phoneticPr fontId="5"/>
  </si>
  <si>
    <t>47. 3.31</t>
    <phoneticPr fontId="5"/>
  </si>
  <si>
    <t>47. 6.30</t>
    <phoneticPr fontId="5"/>
  </si>
  <si>
    <t>47.11.30</t>
    <phoneticPr fontId="5"/>
  </si>
  <si>
    <t>47.11.30</t>
    <phoneticPr fontId="5"/>
  </si>
  <si>
    <t>昭46</t>
    <phoneticPr fontId="5"/>
  </si>
  <si>
    <t>昭47. 3.20</t>
    <phoneticPr fontId="5"/>
  </si>
  <si>
    <t>47. 3.31</t>
    <phoneticPr fontId="5"/>
  </si>
  <si>
    <t>47. 6.30</t>
    <phoneticPr fontId="5"/>
  </si>
  <si>
    <t>47. 7.28</t>
    <phoneticPr fontId="5"/>
  </si>
  <si>
    <t>47. 9.11</t>
    <phoneticPr fontId="5"/>
  </si>
  <si>
    <t>47.11.30</t>
    <phoneticPr fontId="5"/>
  </si>
  <si>
    <t>47.12.25</t>
    <phoneticPr fontId="5"/>
  </si>
  <si>
    <t>47.12.25</t>
    <phoneticPr fontId="5"/>
  </si>
  <si>
    <t>48. 3.20</t>
    <phoneticPr fontId="5"/>
  </si>
  <si>
    <t xml:space="preserve"> 48. 3.22</t>
    <phoneticPr fontId="5"/>
  </si>
  <si>
    <t>48. 3.31</t>
    <phoneticPr fontId="5"/>
  </si>
  <si>
    <t>48. 9.29</t>
    <phoneticPr fontId="5"/>
  </si>
  <si>
    <t>48.12.25</t>
    <phoneticPr fontId="5"/>
  </si>
  <si>
    <t>49. 3.29</t>
    <phoneticPr fontId="5"/>
  </si>
  <si>
    <t>49. 5.30</t>
    <phoneticPr fontId="5"/>
  </si>
  <si>
    <t>49. 7.30</t>
    <phoneticPr fontId="5"/>
  </si>
  <si>
    <t>49. 9.30</t>
    <phoneticPr fontId="5"/>
  </si>
  <si>
    <t>49.10.30</t>
    <phoneticPr fontId="5"/>
  </si>
  <si>
    <t>50. 3.20</t>
    <phoneticPr fontId="5"/>
  </si>
  <si>
    <t xml:space="preserve"> 50. 3.20</t>
    <phoneticPr fontId="5"/>
  </si>
  <si>
    <t>50. 3.22</t>
    <phoneticPr fontId="5"/>
  </si>
  <si>
    <t>49</t>
    <phoneticPr fontId="5"/>
  </si>
  <si>
    <t>50. 7.30</t>
    <phoneticPr fontId="5"/>
  </si>
  <si>
    <t>50. 9.30</t>
    <phoneticPr fontId="5"/>
  </si>
  <si>
    <t>50.12.20</t>
    <phoneticPr fontId="5"/>
  </si>
  <si>
    <t>51. 3.16</t>
    <phoneticPr fontId="5"/>
  </si>
  <si>
    <t>51. 3.20</t>
    <phoneticPr fontId="5"/>
  </si>
  <si>
    <t>51. 3.25</t>
    <phoneticPr fontId="2"/>
  </si>
  <si>
    <t>種　 別</t>
    <phoneticPr fontId="5"/>
  </si>
  <si>
    <t>引 受 先</t>
    <phoneticPr fontId="5"/>
  </si>
  <si>
    <t>発 行 総 額</t>
    <phoneticPr fontId="5"/>
  </si>
  <si>
    <t>償　　　還　　　高</t>
    <phoneticPr fontId="5"/>
  </si>
  <si>
    <t>利 率</t>
    <phoneticPr fontId="5"/>
  </si>
  <si>
    <t>年利％</t>
    <phoneticPr fontId="2"/>
  </si>
  <si>
    <t>52. 6.10</t>
    <phoneticPr fontId="5"/>
  </si>
  <si>
    <t>52. 8.19</t>
    <phoneticPr fontId="5"/>
  </si>
  <si>
    <t>52. 8.29</t>
    <phoneticPr fontId="5"/>
  </si>
  <si>
    <t>52. 9.30</t>
    <phoneticPr fontId="5"/>
  </si>
  <si>
    <t>53. 3.20</t>
    <phoneticPr fontId="5"/>
  </si>
  <si>
    <t>53. 3.24</t>
    <phoneticPr fontId="5"/>
  </si>
  <si>
    <t>53. 3.30</t>
    <phoneticPr fontId="5"/>
  </si>
  <si>
    <t>53. 5.22</t>
    <phoneticPr fontId="5"/>
  </si>
  <si>
    <t>53. 5.29</t>
    <phoneticPr fontId="5"/>
  </si>
  <si>
    <t>53. 6.29</t>
    <phoneticPr fontId="5"/>
  </si>
  <si>
    <t>53. 9.29</t>
    <phoneticPr fontId="5"/>
  </si>
  <si>
    <t>53.11.30</t>
    <phoneticPr fontId="5"/>
  </si>
  <si>
    <t>53.12.25</t>
    <phoneticPr fontId="5"/>
  </si>
  <si>
    <t>53.12.25</t>
    <phoneticPr fontId="5"/>
  </si>
  <si>
    <t>54. 3.20</t>
    <phoneticPr fontId="5"/>
  </si>
  <si>
    <t>54. 3.22</t>
    <phoneticPr fontId="5"/>
  </si>
  <si>
    <t>54. 4.27</t>
    <phoneticPr fontId="5"/>
  </si>
  <si>
    <t>54. 7.30</t>
    <phoneticPr fontId="5"/>
  </si>
  <si>
    <t>54.10.29</t>
    <phoneticPr fontId="5"/>
  </si>
  <si>
    <t>55. 3.25</t>
    <phoneticPr fontId="5"/>
  </si>
  <si>
    <t>55. 3.28</t>
    <phoneticPr fontId="5"/>
  </si>
  <si>
    <t>55. 8.29</t>
    <phoneticPr fontId="5"/>
  </si>
  <si>
    <t>H17</t>
    <phoneticPr fontId="5"/>
  </si>
  <si>
    <t>55. 9.24</t>
    <phoneticPr fontId="5"/>
  </si>
  <si>
    <t>55.12.23</t>
    <phoneticPr fontId="5"/>
  </si>
  <si>
    <t>H16</t>
    <phoneticPr fontId="5"/>
  </si>
  <si>
    <t>55.12.25</t>
    <phoneticPr fontId="5"/>
  </si>
  <si>
    <t>56. 3.23</t>
    <phoneticPr fontId="5"/>
  </si>
  <si>
    <t>H17</t>
    <phoneticPr fontId="5"/>
  </si>
  <si>
    <t>56. 8.31</t>
    <phoneticPr fontId="5"/>
  </si>
  <si>
    <t>56. 9.22</t>
    <phoneticPr fontId="5"/>
  </si>
  <si>
    <t>56.12.25</t>
    <phoneticPr fontId="5"/>
  </si>
  <si>
    <t>57. 3.29</t>
    <phoneticPr fontId="5"/>
  </si>
  <si>
    <t xml:space="preserve"> 57.12.24</t>
    <phoneticPr fontId="5"/>
  </si>
  <si>
    <t>H19</t>
    <phoneticPr fontId="5"/>
  </si>
  <si>
    <t>17. 3.25</t>
    <phoneticPr fontId="2"/>
  </si>
  <si>
    <t>平17</t>
    <phoneticPr fontId="5"/>
  </si>
  <si>
    <t>17.10.28</t>
    <phoneticPr fontId="5"/>
  </si>
  <si>
    <t>H21</t>
    <phoneticPr fontId="5"/>
  </si>
  <si>
    <t>H22</t>
    <phoneticPr fontId="5"/>
  </si>
  <si>
    <t>18.10.31</t>
    <phoneticPr fontId="2"/>
  </si>
  <si>
    <t>H20</t>
    <phoneticPr fontId="2"/>
  </si>
  <si>
    <t>公営企業金融公庫</t>
    <phoneticPr fontId="2"/>
  </si>
  <si>
    <t>20. 3.21</t>
    <phoneticPr fontId="2"/>
  </si>
  <si>
    <t>H21</t>
    <phoneticPr fontId="2"/>
  </si>
  <si>
    <t>H22</t>
    <phoneticPr fontId="2"/>
  </si>
  <si>
    <t>北総地区</t>
    <phoneticPr fontId="2"/>
  </si>
  <si>
    <t>昭45</t>
    <phoneticPr fontId="5"/>
  </si>
  <si>
    <t>昭46. 9. 1</t>
    <phoneticPr fontId="5"/>
  </si>
  <si>
    <t>事業債</t>
    <phoneticPr fontId="2"/>
  </si>
  <si>
    <t>46.12.25</t>
    <phoneticPr fontId="5"/>
  </si>
  <si>
    <t>47. 3.31</t>
    <phoneticPr fontId="5"/>
  </si>
  <si>
    <t>47. 7.28</t>
    <phoneticPr fontId="2"/>
  </si>
  <si>
    <t>種　 別</t>
    <phoneticPr fontId="5"/>
  </si>
  <si>
    <t>引 受 先</t>
    <phoneticPr fontId="5"/>
  </si>
  <si>
    <t>発 行 総 額</t>
    <phoneticPr fontId="5"/>
  </si>
  <si>
    <t>償　　　還　　　高</t>
    <phoneticPr fontId="5"/>
  </si>
  <si>
    <t>利 率</t>
    <phoneticPr fontId="5"/>
  </si>
  <si>
    <t>年利％</t>
    <phoneticPr fontId="2"/>
  </si>
  <si>
    <t>北総地区</t>
    <phoneticPr fontId="2"/>
  </si>
  <si>
    <t>事業債</t>
    <phoneticPr fontId="2"/>
  </si>
  <si>
    <t>49. 3.20</t>
    <phoneticPr fontId="5"/>
  </si>
  <si>
    <t>49. 8.31</t>
    <phoneticPr fontId="5"/>
  </si>
  <si>
    <t>50. 3.22</t>
    <phoneticPr fontId="5"/>
  </si>
  <si>
    <t>50. 4.15</t>
    <phoneticPr fontId="5"/>
  </si>
  <si>
    <t>50. 5.27</t>
    <phoneticPr fontId="5"/>
  </si>
  <si>
    <t>51. 4.30</t>
    <phoneticPr fontId="5"/>
  </si>
  <si>
    <t>51.10.28</t>
    <phoneticPr fontId="5"/>
  </si>
  <si>
    <t>52. 8.29</t>
    <phoneticPr fontId="5"/>
  </si>
  <si>
    <t>53. 1.30</t>
    <phoneticPr fontId="5"/>
  </si>
  <si>
    <t>54. 3.22</t>
    <phoneticPr fontId="5"/>
  </si>
  <si>
    <t>55. 1.28</t>
    <phoneticPr fontId="5"/>
  </si>
  <si>
    <t>55. 3.28</t>
    <phoneticPr fontId="5"/>
  </si>
  <si>
    <t>56. 3.30</t>
    <phoneticPr fontId="5"/>
  </si>
  <si>
    <t>公営企業金融公庫</t>
    <phoneticPr fontId="2"/>
  </si>
  <si>
    <t>20. 3.21</t>
    <phoneticPr fontId="2"/>
  </si>
  <si>
    <t>H21</t>
    <phoneticPr fontId="2"/>
  </si>
  <si>
    <t>小　 計</t>
    <phoneticPr fontId="5"/>
  </si>
  <si>
    <t>四拡統合</t>
    <phoneticPr fontId="2"/>
  </si>
  <si>
    <t>58. 8.17</t>
    <phoneticPr fontId="5"/>
  </si>
  <si>
    <t>58. 8.19</t>
    <phoneticPr fontId="5"/>
  </si>
  <si>
    <t>59. 3.22</t>
    <phoneticPr fontId="5"/>
  </si>
  <si>
    <t>59. 3.29</t>
    <phoneticPr fontId="5"/>
  </si>
  <si>
    <t>H23</t>
    <phoneticPr fontId="2"/>
  </si>
  <si>
    <t>59. 9.21</t>
    <phoneticPr fontId="5"/>
  </si>
  <si>
    <t>59. 9.25</t>
    <phoneticPr fontId="5"/>
  </si>
  <si>
    <t>60. 3.20</t>
    <phoneticPr fontId="5"/>
  </si>
  <si>
    <t>60. 3.25</t>
    <phoneticPr fontId="5"/>
  </si>
  <si>
    <t>60. 3.29</t>
    <phoneticPr fontId="5"/>
  </si>
  <si>
    <t>60.10.17</t>
    <phoneticPr fontId="5"/>
  </si>
  <si>
    <t>61. 3.25</t>
    <phoneticPr fontId="5"/>
  </si>
  <si>
    <t>61. 3.28</t>
    <phoneticPr fontId="5"/>
  </si>
  <si>
    <t>62. 3.25</t>
    <phoneticPr fontId="5"/>
  </si>
  <si>
    <t xml:space="preserve"> 62. 3.25</t>
    <phoneticPr fontId="5"/>
  </si>
  <si>
    <t>62. 3.25</t>
    <phoneticPr fontId="5"/>
  </si>
  <si>
    <t>62. 6.18</t>
    <phoneticPr fontId="5"/>
  </si>
  <si>
    <t xml:space="preserve"> 62. 9.25</t>
    <phoneticPr fontId="5"/>
  </si>
  <si>
    <t>62.11.10</t>
    <phoneticPr fontId="5"/>
  </si>
  <si>
    <t>63. 3.17</t>
    <phoneticPr fontId="5"/>
  </si>
  <si>
    <t xml:space="preserve"> 63. 3.25</t>
    <phoneticPr fontId="5"/>
  </si>
  <si>
    <t>63.11. 9</t>
    <phoneticPr fontId="2"/>
  </si>
  <si>
    <t>H30</t>
    <phoneticPr fontId="2"/>
  </si>
  <si>
    <t>種　 別</t>
    <phoneticPr fontId="5"/>
  </si>
  <si>
    <t>引 受 先</t>
    <phoneticPr fontId="5"/>
  </si>
  <si>
    <t>発 行 総 額</t>
    <phoneticPr fontId="5"/>
  </si>
  <si>
    <t>償　　　還　　　高</t>
    <phoneticPr fontId="5"/>
  </si>
  <si>
    <t>利 率</t>
    <phoneticPr fontId="5"/>
  </si>
  <si>
    <t>年利％</t>
    <phoneticPr fontId="2"/>
  </si>
  <si>
    <t>四拡統合</t>
    <phoneticPr fontId="2"/>
  </si>
  <si>
    <t>昭63</t>
    <phoneticPr fontId="5"/>
  </si>
  <si>
    <t>平元</t>
    <phoneticPr fontId="5"/>
  </si>
  <si>
    <t>元.12.25</t>
    <phoneticPr fontId="5"/>
  </si>
  <si>
    <t xml:space="preserve"> 2. 1.25</t>
    <phoneticPr fontId="5"/>
  </si>
  <si>
    <t>H31</t>
    <phoneticPr fontId="5"/>
  </si>
  <si>
    <t xml:space="preserve"> 2. 2.28</t>
    <phoneticPr fontId="5"/>
  </si>
  <si>
    <t>平元</t>
    <phoneticPr fontId="5"/>
  </si>
  <si>
    <t xml:space="preserve"> 2. 3.23</t>
    <phoneticPr fontId="5"/>
  </si>
  <si>
    <t xml:space="preserve"> 2. 3.23</t>
    <phoneticPr fontId="5"/>
  </si>
  <si>
    <t>2. 3.26</t>
    <phoneticPr fontId="5"/>
  </si>
  <si>
    <t xml:space="preserve"> 2. 3.29</t>
    <phoneticPr fontId="5"/>
  </si>
  <si>
    <t xml:space="preserve"> 2.12.21</t>
    <phoneticPr fontId="5"/>
  </si>
  <si>
    <t xml:space="preserve"> 3. 3.25</t>
    <phoneticPr fontId="5"/>
  </si>
  <si>
    <t xml:space="preserve"> 3. 3.27</t>
    <phoneticPr fontId="5"/>
  </si>
  <si>
    <t xml:space="preserve"> 3. 3.28</t>
    <phoneticPr fontId="5"/>
  </si>
  <si>
    <t xml:space="preserve"> 3. 3.28</t>
    <phoneticPr fontId="5"/>
  </si>
  <si>
    <t xml:space="preserve"> 3. 3.29</t>
    <phoneticPr fontId="5"/>
  </si>
  <si>
    <t xml:space="preserve"> 3.12.24</t>
    <phoneticPr fontId="5"/>
  </si>
  <si>
    <t xml:space="preserve"> 4. 3.25</t>
    <phoneticPr fontId="5"/>
  </si>
  <si>
    <t xml:space="preserve"> 4. 3.25</t>
    <phoneticPr fontId="5"/>
  </si>
  <si>
    <t xml:space="preserve"> 4. 3.26</t>
    <phoneticPr fontId="5"/>
  </si>
  <si>
    <t xml:space="preserve"> 4. 3.26</t>
    <phoneticPr fontId="5"/>
  </si>
  <si>
    <t>4. 3.31</t>
    <phoneticPr fontId="5"/>
  </si>
  <si>
    <t xml:space="preserve"> 5. 3.16</t>
    <phoneticPr fontId="5"/>
  </si>
  <si>
    <t>5. 3.25</t>
    <phoneticPr fontId="5"/>
  </si>
  <si>
    <t xml:space="preserve"> 5. 3.26</t>
    <phoneticPr fontId="5"/>
  </si>
  <si>
    <t xml:space="preserve"> 5. 3.26</t>
    <phoneticPr fontId="5"/>
  </si>
  <si>
    <t xml:space="preserve"> 6. 3.23</t>
    <phoneticPr fontId="5"/>
  </si>
  <si>
    <t xml:space="preserve"> 6. 3.23</t>
    <phoneticPr fontId="5"/>
  </si>
  <si>
    <t xml:space="preserve"> 6. 3.23</t>
    <phoneticPr fontId="5"/>
  </si>
  <si>
    <t xml:space="preserve"> 6. 3.25</t>
    <phoneticPr fontId="5"/>
  </si>
  <si>
    <t>昭59</t>
    <phoneticPr fontId="5"/>
  </si>
  <si>
    <t xml:space="preserve"> 7. 3.17</t>
    <phoneticPr fontId="5"/>
  </si>
  <si>
    <t>平 5</t>
    <phoneticPr fontId="5"/>
  </si>
  <si>
    <t xml:space="preserve">  7. 3.27</t>
    <phoneticPr fontId="5"/>
  </si>
  <si>
    <t xml:space="preserve"> 7. 3.27</t>
    <phoneticPr fontId="5"/>
  </si>
  <si>
    <t>昭60</t>
    <phoneticPr fontId="5"/>
  </si>
  <si>
    <t xml:space="preserve"> 7. 8.25</t>
    <phoneticPr fontId="5"/>
  </si>
  <si>
    <t xml:space="preserve"> 8. 3.21</t>
    <phoneticPr fontId="5"/>
  </si>
  <si>
    <t>8. 8.22</t>
    <phoneticPr fontId="5"/>
  </si>
  <si>
    <t>9. 8.25</t>
    <phoneticPr fontId="5"/>
  </si>
  <si>
    <t>11. 8.19</t>
    <phoneticPr fontId="5"/>
  </si>
  <si>
    <t>H21</t>
    <phoneticPr fontId="5"/>
  </si>
  <si>
    <t>14. 8.20</t>
    <phoneticPr fontId="5"/>
  </si>
  <si>
    <t>H24</t>
    <phoneticPr fontId="5"/>
  </si>
  <si>
    <t>17. 3.25</t>
    <phoneticPr fontId="5"/>
  </si>
  <si>
    <t>H19</t>
    <phoneticPr fontId="5"/>
  </si>
  <si>
    <t>H19</t>
    <phoneticPr fontId="2"/>
  </si>
  <si>
    <t>H20</t>
    <phoneticPr fontId="2"/>
  </si>
  <si>
    <t>17. 3.25</t>
    <phoneticPr fontId="5"/>
  </si>
  <si>
    <t>17. 3.25</t>
    <phoneticPr fontId="5"/>
  </si>
  <si>
    <t>H30</t>
    <phoneticPr fontId="5"/>
  </si>
  <si>
    <t>H20</t>
    <phoneticPr fontId="2"/>
  </si>
  <si>
    <t>H23</t>
    <phoneticPr fontId="2"/>
  </si>
  <si>
    <t>公営企業金融公庫</t>
    <phoneticPr fontId="2"/>
  </si>
  <si>
    <t>20. 3.21</t>
    <phoneticPr fontId="2"/>
  </si>
  <si>
    <t>H24</t>
    <phoneticPr fontId="2"/>
  </si>
  <si>
    <t>小　 計</t>
    <phoneticPr fontId="5"/>
  </si>
  <si>
    <t>昭48</t>
    <phoneticPr fontId="5"/>
  </si>
  <si>
    <t>昭49. 5.31</t>
    <phoneticPr fontId="5"/>
  </si>
  <si>
    <t>50. 3.31</t>
    <phoneticPr fontId="5"/>
  </si>
  <si>
    <t>50. 9.30</t>
    <phoneticPr fontId="5"/>
  </si>
  <si>
    <t>51. 3.22</t>
    <phoneticPr fontId="5"/>
  </si>
  <si>
    <t>51. 4. 5</t>
    <phoneticPr fontId="5"/>
  </si>
  <si>
    <t>51.11.22</t>
    <phoneticPr fontId="5"/>
  </si>
  <si>
    <t>52. 3.20</t>
    <phoneticPr fontId="5"/>
  </si>
  <si>
    <t xml:space="preserve"> 53. 2.27</t>
    <phoneticPr fontId="5"/>
  </si>
  <si>
    <t>53. 5.10</t>
    <phoneticPr fontId="5"/>
  </si>
  <si>
    <t>54. 2.26</t>
    <phoneticPr fontId="5"/>
  </si>
  <si>
    <t>54. 3.22</t>
    <phoneticPr fontId="5"/>
  </si>
  <si>
    <t>54. 3.31</t>
    <phoneticPr fontId="5"/>
  </si>
  <si>
    <t>54.12.24</t>
    <phoneticPr fontId="5"/>
  </si>
  <si>
    <t>55. 1.28</t>
    <phoneticPr fontId="5"/>
  </si>
  <si>
    <t>55.12.25</t>
    <phoneticPr fontId="5"/>
  </si>
  <si>
    <t>56. 9.22</t>
    <phoneticPr fontId="5"/>
  </si>
  <si>
    <t>H19</t>
    <phoneticPr fontId="2"/>
  </si>
  <si>
    <t>57. 3.29</t>
    <phoneticPr fontId="5"/>
  </si>
  <si>
    <t>H21</t>
    <phoneticPr fontId="2"/>
  </si>
  <si>
    <t>57. 8.30</t>
    <phoneticPr fontId="5"/>
  </si>
  <si>
    <t>58. 3.22</t>
    <phoneticPr fontId="5"/>
  </si>
  <si>
    <t>58. 8.29</t>
    <phoneticPr fontId="5"/>
  </si>
  <si>
    <t>H22</t>
    <phoneticPr fontId="2"/>
  </si>
  <si>
    <t>59. 3.29</t>
    <phoneticPr fontId="5"/>
  </si>
  <si>
    <t>H23</t>
    <phoneticPr fontId="2"/>
  </si>
  <si>
    <t>19. 3.26</t>
    <phoneticPr fontId="2"/>
  </si>
  <si>
    <t>H48</t>
    <phoneticPr fontId="2"/>
  </si>
  <si>
    <t>公営企業金融公庫</t>
    <phoneticPr fontId="2"/>
  </si>
  <si>
    <t>20. 3.25</t>
    <phoneticPr fontId="2"/>
  </si>
  <si>
    <t>H47</t>
    <phoneticPr fontId="2"/>
  </si>
  <si>
    <t>21. 3.25</t>
    <phoneticPr fontId="2"/>
  </si>
  <si>
    <t>H48</t>
    <phoneticPr fontId="2"/>
  </si>
  <si>
    <t>60. 3.30</t>
    <phoneticPr fontId="5"/>
  </si>
  <si>
    <t>54. 3.22</t>
    <phoneticPr fontId="5"/>
  </si>
  <si>
    <t>54. 3.31</t>
    <phoneticPr fontId="5"/>
  </si>
  <si>
    <t>54.12.24</t>
    <phoneticPr fontId="5"/>
  </si>
  <si>
    <r>
      <t>H2</t>
    </r>
    <r>
      <rPr>
        <sz val="8"/>
        <color indexed="8"/>
        <rFont val="ＭＳ 明朝"/>
        <family val="1"/>
        <charset val="128"/>
      </rPr>
      <t>5</t>
    </r>
    <phoneticPr fontId="2"/>
  </si>
  <si>
    <r>
      <t>H</t>
    </r>
    <r>
      <rPr>
        <sz val="8"/>
        <color indexed="8"/>
        <rFont val="ＭＳ 明朝"/>
        <family val="1"/>
        <charset val="128"/>
      </rPr>
      <t>25</t>
    </r>
    <phoneticPr fontId="2"/>
  </si>
  <si>
    <r>
      <t>26.</t>
    </r>
    <r>
      <rPr>
        <sz val="8"/>
        <color indexed="8"/>
        <rFont val="ＭＳ 明朝"/>
        <family val="1"/>
        <charset val="128"/>
      </rPr>
      <t xml:space="preserve"> 3.2</t>
    </r>
    <r>
      <rPr>
        <sz val="8"/>
        <color indexed="8"/>
        <rFont val="ＭＳ 明朝"/>
        <family val="1"/>
        <charset val="128"/>
      </rPr>
      <t>5</t>
    </r>
    <phoneticPr fontId="2"/>
  </si>
  <si>
    <t>H35</t>
    <phoneticPr fontId="2"/>
  </si>
  <si>
    <t>27. 3.25</t>
    <phoneticPr fontId="2"/>
  </si>
  <si>
    <t>H36</t>
    <phoneticPr fontId="2"/>
  </si>
  <si>
    <t>H37</t>
    <phoneticPr fontId="2"/>
  </si>
  <si>
    <t>28. 3.25</t>
    <phoneticPr fontId="2"/>
  </si>
  <si>
    <t>千葉銀行</t>
    <rPh sb="0" eb="2">
      <t>チバ</t>
    </rPh>
    <rPh sb="2" eb="4">
      <t>ギンコウ</t>
    </rPh>
    <phoneticPr fontId="2"/>
  </si>
  <si>
    <t>29. 3.24</t>
    <phoneticPr fontId="2"/>
  </si>
  <si>
    <t>30. 3.26</t>
  </si>
  <si>
    <t>31. 3.25</t>
    <phoneticPr fontId="2"/>
  </si>
  <si>
    <t xml:space="preserve"> 平6. 3.23</t>
    <phoneticPr fontId="5"/>
  </si>
  <si>
    <t xml:space="preserve"> 17. 3.25</t>
    <phoneticPr fontId="2"/>
  </si>
  <si>
    <t>R30</t>
  </si>
  <si>
    <t>R29</t>
  </si>
  <si>
    <t>R28</t>
  </si>
  <si>
    <t>R24</t>
  </si>
  <si>
    <t>R23</t>
  </si>
  <si>
    <t>R22</t>
  </si>
  <si>
    <t>R21</t>
  </si>
  <si>
    <t>R20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</si>
  <si>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</si>
  <si>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</si>
  <si>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</si>
  <si>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</si>
  <si>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</si>
  <si>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</si>
  <si>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</si>
  <si>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</si>
  <si>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</si>
  <si>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</si>
  <si>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 9</t>
  </si>
  <si>
    <t>R 8</t>
  </si>
  <si>
    <t>R 7</t>
  </si>
  <si>
    <t>R 6</t>
  </si>
  <si>
    <t>R 5</t>
  </si>
  <si>
    <t>R 4</t>
  </si>
  <si>
    <t>R 3</t>
  </si>
  <si>
    <t>R 2</t>
  </si>
  <si>
    <t>令元</t>
    <rPh sb="0" eb="1">
      <t>レイ</t>
    </rPh>
    <rPh sb="1" eb="2">
      <t>ガン</t>
    </rPh>
    <phoneticPr fontId="2"/>
  </si>
  <si>
    <t>令2.3.25</t>
    <rPh sb="0" eb="1">
      <t>レイ</t>
    </rPh>
    <phoneticPr fontId="2"/>
  </si>
  <si>
    <t>R31</t>
  </si>
  <si>
    <t>令元</t>
    <rPh sb="0" eb="1">
      <t>ガン</t>
    </rPh>
    <phoneticPr fontId="2"/>
  </si>
  <si>
    <t>R 1</t>
    <phoneticPr fontId="2"/>
  </si>
  <si>
    <t>　17. 3.25</t>
    <phoneticPr fontId="2"/>
  </si>
  <si>
    <t>平16</t>
    <phoneticPr fontId="2"/>
  </si>
  <si>
    <t>平 17. 9.30</t>
    <rPh sb="0" eb="1">
      <t>タイラ</t>
    </rPh>
    <phoneticPr fontId="5"/>
  </si>
  <si>
    <t>3.3.25</t>
    <phoneticPr fontId="2"/>
  </si>
  <si>
    <t>R32</t>
    <phoneticPr fontId="2"/>
  </si>
  <si>
    <t>4</t>
    <phoneticPr fontId="2"/>
  </si>
  <si>
    <t>29. 3.27</t>
    <phoneticPr fontId="2"/>
  </si>
  <si>
    <t>三菱ＵＦＪ銀行</t>
    <rPh sb="0" eb="2">
      <t>ミツビシ</t>
    </rPh>
    <rPh sb="5" eb="7">
      <t>ギンコウ</t>
    </rPh>
    <phoneticPr fontId="2"/>
  </si>
  <si>
    <t>4.2.25</t>
    <phoneticPr fontId="2"/>
  </si>
  <si>
    <t>R33</t>
    <phoneticPr fontId="2"/>
  </si>
  <si>
    <t>25. 3.25</t>
    <phoneticPr fontId="2"/>
  </si>
  <si>
    <t>26. 3.25</t>
    <phoneticPr fontId="2"/>
  </si>
  <si>
    <t>新生銀行</t>
    <rPh sb="0" eb="2">
      <t>シンセイ</t>
    </rPh>
    <rPh sb="2" eb="4">
      <t>ギンコウ</t>
    </rPh>
    <phoneticPr fontId="2"/>
  </si>
  <si>
    <t>R13</t>
    <phoneticPr fontId="2"/>
  </si>
  <si>
    <t>H 1</t>
    <phoneticPr fontId="2"/>
  </si>
  <si>
    <t>H25</t>
    <phoneticPr fontId="2"/>
  </si>
  <si>
    <t>4.9.26</t>
    <phoneticPr fontId="2"/>
  </si>
  <si>
    <t>R34</t>
    <phoneticPr fontId="2"/>
  </si>
  <si>
    <t>5.3.27</t>
    <phoneticPr fontId="2"/>
  </si>
  <si>
    <t>5.2.27</t>
    <phoneticPr fontId="2"/>
  </si>
  <si>
    <t>R14</t>
    <phoneticPr fontId="2"/>
  </si>
  <si>
    <r>
      <rPr>
        <b/>
        <sz val="16"/>
        <rFont val="ＭＳ ゴシック"/>
        <family val="3"/>
        <charset val="128"/>
      </rPr>
      <t>25．企 業 債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</si>
</sst>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▲ &quot;#,##0"/>
    <numFmt numFmtId="177" formatCode="#,##0_);[Red]\(#,##0\)"/>
    <numFmt numFmtId="178" formatCode="#,##0_ "/>
    <numFmt numFmtId="179" formatCode="#,##0;&quot;△ &quot;#,##0"/>
    <numFmt numFmtId="180" formatCode="#,##0.00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1"/>
      <name val="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.5"/>
      <name val="ＭＳ ゴシック"/>
      <family val="3"/>
      <charset val="128"/>
    </font>
    <font>
      <sz val="8"/>
      <color indexed="10"/>
      <name val="ＭＳ 明朝"/>
      <family val="1"/>
      <charset val="128"/>
    </font>
    <font>
      <b/>
      <sz val="11.5"/>
      <color indexed="8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.5"/>
      <color indexed="8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6">
    <xf numFmtId="0" fontId="0" fillId="0" borderId="0" xfId="0"/>
    <xf numFmtId="3" fontId="3" fillId="0" borderId="0" xfId="1" applyNumberFormat="1" applyFont="1" applyAlignment="1" applyProtection="1">
      <alignment vertical="center" shrinkToFit="1"/>
      <protection locked="0"/>
    </xf>
    <xf numFmtId="3" fontId="3" fillId="0" borderId="1" xfId="1" applyNumberFormat="1" applyFont="1" applyBorder="1" applyAlignment="1" applyProtection="1">
      <alignment horizontal="right" vertical="center" shrinkToFit="1"/>
      <protection locked="0"/>
    </xf>
    <xf numFmtId="3" fontId="3" fillId="0" borderId="2" xfId="1" applyNumberFormat="1" applyFont="1" applyBorder="1" applyAlignment="1" applyProtection="1">
      <alignment vertical="center" shrinkToFit="1"/>
      <protection locked="0"/>
    </xf>
    <xf numFmtId="3" fontId="3" fillId="0" borderId="1" xfId="1" applyNumberFormat="1" applyFont="1" applyBorder="1" applyAlignment="1" applyProtection="1">
      <alignment vertical="center" shrinkToFit="1"/>
      <protection locked="0"/>
    </xf>
    <xf numFmtId="0" fontId="3" fillId="0" borderId="2" xfId="1" applyFont="1" applyBorder="1" applyAlignment="1" applyProtection="1">
      <alignment vertical="center"/>
      <protection locked="0"/>
    </xf>
    <xf numFmtId="0" fontId="3" fillId="0" borderId="2" xfId="1" quotePrefix="1" applyFont="1" applyBorder="1" applyAlignment="1" applyProtection="1">
      <alignment horizontal="right" vertical="center"/>
      <protection locked="0"/>
    </xf>
    <xf numFmtId="4" fontId="3" fillId="0" borderId="2" xfId="1" applyNumberFormat="1" applyFont="1" applyBorder="1" applyAlignment="1" applyProtection="1">
      <alignment horizontal="center" vertical="center"/>
      <protection locked="0"/>
    </xf>
    <xf numFmtId="0" fontId="3" fillId="0" borderId="2" xfId="1" quotePrefix="1" applyFont="1" applyBorder="1" applyAlignment="1" applyProtection="1">
      <alignment horizontal="left" vertical="center"/>
      <protection locked="0"/>
    </xf>
    <xf numFmtId="0" fontId="3" fillId="0" borderId="2" xfId="1" applyFont="1" applyBorder="1" applyAlignment="1" applyProtection="1">
      <alignment horizontal="right" vertical="center"/>
      <protection locked="0"/>
    </xf>
    <xf numFmtId="4" fontId="3" fillId="0" borderId="3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vertical="center"/>
      <protection locked="0"/>
    </xf>
    <xf numFmtId="4" fontId="3" fillId="0" borderId="1" xfId="1" applyNumberFormat="1" applyFont="1" applyBorder="1" applyAlignment="1" applyProtection="1">
      <alignment horizontal="center" vertical="center"/>
      <protection locked="0"/>
    </xf>
    <xf numFmtId="3" fontId="7" fillId="0" borderId="2" xfId="1" applyNumberFormat="1" applyFont="1" applyBorder="1" applyAlignment="1" applyProtection="1">
      <alignment vertical="center" shrinkToFit="1"/>
      <protection locked="0"/>
    </xf>
    <xf numFmtId="0" fontId="3" fillId="0" borderId="4" xfId="1" applyFont="1" applyBorder="1" applyAlignment="1" applyProtection="1">
      <alignment horizontal="right" vertical="center"/>
      <protection locked="0"/>
    </xf>
    <xf numFmtId="0" fontId="3" fillId="0" borderId="4" xfId="1" applyFont="1" applyBorder="1" applyAlignment="1" applyProtection="1">
      <alignment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3" fontId="3" fillId="0" borderId="4" xfId="1" applyNumberFormat="1" applyFont="1" applyBorder="1" applyAlignment="1" applyProtection="1">
      <alignment vertical="center" shrinkToFit="1"/>
      <protection locked="0"/>
    </xf>
    <xf numFmtId="3" fontId="7" fillId="0" borderId="4" xfId="1" applyNumberFormat="1" applyFont="1" applyBorder="1" applyAlignment="1" applyProtection="1">
      <alignment vertical="center" shrinkToFit="1"/>
      <protection locked="0"/>
    </xf>
    <xf numFmtId="4" fontId="3" fillId="0" borderId="4" xfId="1" applyNumberFormat="1" applyFont="1" applyBorder="1" applyAlignment="1" applyProtection="1">
      <alignment horizontal="center" vertical="center"/>
      <protection locked="0"/>
    </xf>
    <xf numFmtId="0" fontId="1" fillId="0" borderId="0" xfId="2">
      <alignment vertical="center"/>
    </xf>
    <xf numFmtId="3" fontId="3" fillId="0" borderId="5" xfId="1" applyNumberFormat="1" applyFont="1" applyBorder="1" applyAlignment="1" applyProtection="1">
      <alignment vertical="center" shrinkToFit="1"/>
      <protection locked="0"/>
    </xf>
    <xf numFmtId="3" fontId="7" fillId="0" borderId="5" xfId="1" applyNumberFormat="1" applyFont="1" applyBorder="1" applyAlignment="1" applyProtection="1">
      <alignment vertical="center" shrinkToFit="1"/>
      <protection locked="0"/>
    </xf>
    <xf numFmtId="3" fontId="7" fillId="0" borderId="0" xfId="1" applyNumberFormat="1" applyFont="1" applyAlignment="1" applyProtection="1">
      <alignment vertical="center" shrinkToFit="1"/>
      <protection locked="0"/>
    </xf>
    <xf numFmtId="3" fontId="3" fillId="0" borderId="3" xfId="1" applyNumberFormat="1" applyFont="1" applyBorder="1" applyAlignment="1" applyProtection="1">
      <alignment vertical="center" shrinkToFit="1"/>
      <protection locked="0"/>
    </xf>
    <xf numFmtId="3" fontId="3" fillId="0" borderId="6" xfId="1" applyNumberFormat="1" applyFont="1" applyBorder="1" applyAlignment="1" applyProtection="1">
      <alignment horizontal="right" vertical="center" shrinkToFit="1"/>
      <protection locked="0"/>
    </xf>
    <xf numFmtId="3" fontId="3" fillId="0" borderId="7" xfId="1" applyNumberFormat="1" applyFont="1" applyBorder="1" applyAlignment="1" applyProtection="1">
      <alignment vertical="center" shrinkToFit="1"/>
      <protection locked="0"/>
    </xf>
    <xf numFmtId="3" fontId="3" fillId="0" borderId="8" xfId="1" applyNumberFormat="1" applyFont="1" applyBorder="1" applyAlignment="1" applyProtection="1">
      <alignment vertical="center" shrinkToFit="1"/>
      <protection locked="0"/>
    </xf>
    <xf numFmtId="3" fontId="7" fillId="0" borderId="8" xfId="1" applyNumberFormat="1" applyFont="1" applyBorder="1" applyAlignment="1" applyProtection="1">
      <alignment vertical="center" shrinkToFit="1"/>
      <protection locked="0"/>
    </xf>
    <xf numFmtId="0" fontId="3" fillId="0" borderId="9" xfId="1" applyFont="1" applyBorder="1" applyAlignment="1" applyProtection="1">
      <alignment vertical="center"/>
      <protection locked="0"/>
    </xf>
    <xf numFmtId="0" fontId="3" fillId="0" borderId="10" xfId="1" applyFont="1" applyBorder="1" applyAlignment="1" applyProtection="1">
      <alignment vertical="center"/>
      <protection locked="0"/>
    </xf>
    <xf numFmtId="0" fontId="3" fillId="0" borderId="9" xfId="1" quotePrefix="1" applyFont="1" applyBorder="1" applyAlignment="1" applyProtection="1">
      <alignment horizontal="left" vertical="center"/>
      <protection locked="0"/>
    </xf>
    <xf numFmtId="0" fontId="3" fillId="0" borderId="11" xfId="1" quotePrefix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vertical="center" shrinkToFit="1"/>
      <protection locked="0"/>
    </xf>
    <xf numFmtId="0" fontId="3" fillId="0" borderId="12" xfId="1" applyFont="1" applyBorder="1" applyAlignment="1" applyProtection="1">
      <alignment vertical="center" shrinkToFit="1"/>
      <protection locked="0"/>
    </xf>
    <xf numFmtId="0" fontId="3" fillId="0" borderId="9" xfId="1" applyFont="1" applyBorder="1" applyAlignment="1" applyProtection="1">
      <alignment horizontal="center" vertical="center" shrinkToFit="1"/>
      <protection locked="0"/>
    </xf>
    <xf numFmtId="0" fontId="3" fillId="0" borderId="8" xfId="1" applyFont="1" applyBorder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center"/>
      <protection locked="0"/>
    </xf>
    <xf numFmtId="4" fontId="3" fillId="0" borderId="0" xfId="1" applyNumberFormat="1" applyFont="1" applyAlignment="1" applyProtection="1">
      <alignment horizontal="center" vertical="center"/>
      <protection locked="0"/>
    </xf>
    <xf numFmtId="3" fontId="3" fillId="0" borderId="4" xfId="1" quotePrefix="1" applyNumberFormat="1" applyFont="1" applyBorder="1" applyAlignment="1" applyProtection="1">
      <alignment horizontal="center" vertical="center" shrinkToFit="1"/>
      <protection locked="0"/>
    </xf>
    <xf numFmtId="0" fontId="3" fillId="0" borderId="12" xfId="1" quotePrefix="1" applyFont="1" applyBorder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1" xfId="1" quotePrefix="1" applyFont="1" applyBorder="1" applyAlignment="1" applyProtection="1">
      <alignment horizontal="right" vertical="center"/>
      <protection locked="0"/>
    </xf>
    <xf numFmtId="3" fontId="7" fillId="0" borderId="1" xfId="1" applyNumberFormat="1" applyFont="1" applyBorder="1" applyAlignment="1" applyProtection="1">
      <alignment horizontal="right" vertical="center" shrinkToFit="1"/>
      <protection locked="0"/>
    </xf>
    <xf numFmtId="0" fontId="3" fillId="0" borderId="13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vertical="center"/>
      <protection locked="0"/>
    </xf>
    <xf numFmtId="0" fontId="3" fillId="0" borderId="3" xfId="1" applyFont="1" applyBorder="1" applyAlignment="1" applyProtection="1">
      <alignment horizontal="right" vertical="center"/>
      <protection locked="0"/>
    </xf>
    <xf numFmtId="0" fontId="3" fillId="0" borderId="3" xfId="1" applyFont="1" applyBorder="1" applyAlignment="1" applyProtection="1">
      <alignment vertical="center"/>
      <protection locked="0"/>
    </xf>
    <xf numFmtId="0" fontId="3" fillId="0" borderId="3" xfId="1" quotePrefix="1" applyFont="1" applyBorder="1" applyAlignment="1" applyProtection="1">
      <alignment horizontal="right" vertical="center"/>
      <protection locked="0"/>
    </xf>
    <xf numFmtId="0" fontId="3" fillId="0" borderId="15" xfId="1" quotePrefix="1" applyFont="1" applyBorder="1" applyAlignment="1" applyProtection="1">
      <alignment horizontal="center" vertical="center"/>
      <protection locked="0"/>
    </xf>
    <xf numFmtId="0" fontId="3" fillId="0" borderId="16" xfId="1" quotePrefix="1" applyFont="1" applyBorder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0" xfId="1" quotePrefix="1" applyFont="1" applyAlignment="1" applyProtection="1">
      <alignment horizontal="right" vertical="center"/>
      <protection locked="0"/>
    </xf>
    <xf numFmtId="0" fontId="3" fillId="0" borderId="13" xfId="1" quotePrefix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11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right" vertical="center"/>
      <protection locked="0"/>
    </xf>
    <xf numFmtId="0" fontId="3" fillId="0" borderId="5" xfId="1" applyFont="1" applyBorder="1" applyAlignment="1" applyProtection="1">
      <alignment vertical="center"/>
      <protection locked="0"/>
    </xf>
    <xf numFmtId="0" fontId="3" fillId="0" borderId="5" xfId="1" quotePrefix="1" applyFont="1" applyBorder="1" applyAlignment="1" applyProtection="1">
      <alignment horizontal="right" vertical="center"/>
      <protection locked="0"/>
    </xf>
    <xf numFmtId="4" fontId="3" fillId="0" borderId="5" xfId="1" applyNumberFormat="1" applyFont="1" applyBorder="1" applyAlignment="1" applyProtection="1">
      <alignment horizontal="center" vertical="center"/>
      <protection locked="0"/>
    </xf>
    <xf numFmtId="0" fontId="3" fillId="0" borderId="18" xfId="1" applyFont="1" applyBorder="1" applyAlignment="1" applyProtection="1">
      <alignment horizontal="center" vertical="center"/>
      <protection locked="0"/>
    </xf>
    <xf numFmtId="3" fontId="3" fillId="0" borderId="19" xfId="1" quotePrefix="1" applyNumberFormat="1" applyFont="1" applyBorder="1" applyAlignment="1" applyProtection="1">
      <alignment horizontal="center" vertical="center" shrinkToFit="1"/>
      <protection locked="0"/>
    </xf>
    <xf numFmtId="0" fontId="3" fillId="0" borderId="3" xfId="1" quotePrefix="1" applyFont="1" applyBorder="1" applyAlignment="1" applyProtection="1">
      <alignment horizontal="left" vertical="center"/>
      <protection locked="0"/>
    </xf>
    <xf numFmtId="0" fontId="3" fillId="0" borderId="15" xfId="1" applyFont="1" applyBorder="1" applyAlignment="1" applyProtection="1">
      <alignment horizontal="center" vertical="center"/>
      <protection locked="0"/>
    </xf>
    <xf numFmtId="0" fontId="3" fillId="0" borderId="18" xfId="1" quotePrefix="1" applyFont="1" applyBorder="1" applyAlignment="1" applyProtection="1">
      <alignment horizontal="center" vertical="center"/>
      <protection locked="0"/>
    </xf>
    <xf numFmtId="0" fontId="3" fillId="0" borderId="8" xfId="1" quotePrefix="1" applyFont="1" applyBorder="1" applyAlignment="1" applyProtection="1">
      <alignment horizontal="left" vertical="center"/>
      <protection locked="0"/>
    </xf>
    <xf numFmtId="0" fontId="3" fillId="0" borderId="8" xfId="1" applyFont="1" applyBorder="1" applyAlignment="1" applyProtection="1">
      <alignment horizontal="right" vertical="center"/>
      <protection locked="0"/>
    </xf>
    <xf numFmtId="0" fontId="3" fillId="0" borderId="8" xfId="1" quotePrefix="1" applyFont="1" applyBorder="1" applyAlignment="1" applyProtection="1">
      <alignment horizontal="right" vertical="center"/>
      <protection locked="0"/>
    </xf>
    <xf numFmtId="4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3" fontId="3" fillId="0" borderId="9" xfId="1" applyNumberFormat="1" applyFont="1" applyBorder="1" applyAlignment="1" applyProtection="1">
      <alignment vertical="center"/>
      <protection locked="0"/>
    </xf>
    <xf numFmtId="0" fontId="3" fillId="0" borderId="20" xfId="1" applyFont="1" applyBorder="1" applyAlignment="1" applyProtection="1">
      <alignment horizontal="center" vertical="center"/>
      <protection locked="0"/>
    </xf>
    <xf numFmtId="0" fontId="3" fillId="0" borderId="8" xfId="1" quotePrefix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>
      <alignment vertical="center"/>
    </xf>
    <xf numFmtId="0" fontId="3" fillId="0" borderId="2" xfId="1" applyFont="1" applyBorder="1" applyAlignment="1" applyProtection="1">
      <alignment horizontal="left" vertical="center"/>
      <protection locked="0"/>
    </xf>
    <xf numFmtId="0" fontId="3" fillId="0" borderId="9" xfId="1" applyFont="1" applyBorder="1" applyAlignment="1">
      <alignment vertical="center" wrapText="1"/>
    </xf>
    <xf numFmtId="3" fontId="3" fillId="0" borderId="4" xfId="1" applyNumberFormat="1" applyFont="1" applyBorder="1" applyAlignment="1" applyProtection="1">
      <alignment vertical="center"/>
      <protection locked="0"/>
    </xf>
    <xf numFmtId="0" fontId="3" fillId="0" borderId="9" xfId="1" applyFont="1" applyBorder="1" applyAlignment="1">
      <alignment vertical="center" shrinkToFit="1"/>
    </xf>
    <xf numFmtId="0" fontId="3" fillId="0" borderId="1" xfId="1" applyFont="1" applyBorder="1" applyAlignment="1">
      <alignment vertical="center"/>
    </xf>
    <xf numFmtId="179" fontId="3" fillId="0" borderId="1" xfId="1" applyNumberFormat="1" applyFont="1" applyBorder="1" applyAlignment="1">
      <alignment vertical="center" shrinkToFit="1"/>
    </xf>
    <xf numFmtId="0" fontId="3" fillId="0" borderId="2" xfId="1" applyFont="1" applyBorder="1" applyAlignment="1">
      <alignment vertical="center"/>
    </xf>
    <xf numFmtId="179" fontId="3" fillId="0" borderId="2" xfId="1" applyNumberFormat="1" applyFont="1" applyBorder="1" applyAlignment="1">
      <alignment vertical="center" shrinkToFit="1"/>
    </xf>
    <xf numFmtId="0" fontId="3" fillId="0" borderId="1" xfId="1" applyFont="1" applyBorder="1" applyAlignment="1" applyProtection="1">
      <alignment horizontal="right" vertical="center"/>
      <protection locked="0"/>
    </xf>
    <xf numFmtId="0" fontId="3" fillId="0" borderId="21" xfId="1" quotePrefix="1" applyFont="1" applyBorder="1" applyAlignment="1" applyProtection="1">
      <alignment horizontal="center" vertical="center"/>
      <protection locked="0"/>
    </xf>
    <xf numFmtId="0" fontId="3" fillId="0" borderId="22" xfId="1" applyFont="1" applyBorder="1" applyAlignment="1" applyProtection="1">
      <alignment horizontal="right" vertical="center"/>
      <protection locked="0"/>
    </xf>
    <xf numFmtId="0" fontId="3" fillId="0" borderId="22" xfId="1" applyFont="1" applyBorder="1" applyAlignment="1" applyProtection="1">
      <alignment vertical="center"/>
      <protection locked="0"/>
    </xf>
    <xf numFmtId="0" fontId="3" fillId="0" borderId="22" xfId="1" applyFont="1" applyBorder="1" applyAlignment="1" applyProtection="1">
      <alignment horizontal="center" vertical="center"/>
      <protection locked="0"/>
    </xf>
    <xf numFmtId="3" fontId="3" fillId="0" borderId="22" xfId="1" applyNumberFormat="1" applyFont="1" applyBorder="1" applyAlignment="1" applyProtection="1">
      <alignment vertical="center" shrinkToFit="1"/>
      <protection locked="0"/>
    </xf>
    <xf numFmtId="4" fontId="3" fillId="0" borderId="22" xfId="1" applyNumberFormat="1" applyFont="1" applyBorder="1" applyAlignment="1" applyProtection="1">
      <alignment horizontal="center" vertical="center"/>
      <protection locked="0"/>
    </xf>
    <xf numFmtId="0" fontId="3" fillId="0" borderId="23" xfId="1" applyFont="1" applyBorder="1" applyAlignment="1" applyProtection="1">
      <alignment horizontal="center" vertical="center"/>
      <protection locked="0"/>
    </xf>
    <xf numFmtId="0" fontId="1" fillId="0" borderId="0" xfId="2" applyAlignment="1">
      <alignment vertical="center" shrinkToFit="1"/>
    </xf>
    <xf numFmtId="0" fontId="8" fillId="0" borderId="0" xfId="2" applyFont="1" applyAlignment="1">
      <alignment vertical="center" shrinkToFit="1"/>
    </xf>
    <xf numFmtId="0" fontId="3" fillId="0" borderId="24" xfId="1" applyFont="1" applyBorder="1" applyAlignment="1" applyProtection="1">
      <alignment vertical="center"/>
      <protection locked="0"/>
    </xf>
    <xf numFmtId="0" fontId="3" fillId="0" borderId="25" xfId="1" applyFont="1" applyBorder="1" applyAlignment="1" applyProtection="1">
      <alignment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20" xfId="1" quotePrefix="1" applyFont="1" applyBorder="1" applyAlignment="1" applyProtection="1">
      <alignment horizontal="center" vertical="center"/>
      <protection locked="0"/>
    </xf>
    <xf numFmtId="0" fontId="3" fillId="0" borderId="26" xfId="1" quotePrefix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9" fillId="0" borderId="0" xfId="1" quotePrefix="1" applyFont="1" applyAlignment="1" applyProtection="1">
      <alignment horizontal="left" vertical="center"/>
      <protection locked="0"/>
    </xf>
    <xf numFmtId="0" fontId="3" fillId="0" borderId="12" xfId="1" applyFont="1" applyBorder="1" applyAlignment="1" applyProtection="1">
      <alignment vertical="center" wrapText="1"/>
      <protection locked="0"/>
    </xf>
    <xf numFmtId="0" fontId="3" fillId="0" borderId="12" xfId="1" applyFont="1" applyBorder="1" applyAlignment="1">
      <alignment vertical="center" wrapText="1"/>
    </xf>
    <xf numFmtId="0" fontId="3" fillId="0" borderId="14" xfId="1" applyFont="1" applyBorder="1" applyAlignment="1">
      <alignment vertical="center" wrapText="1"/>
    </xf>
    <xf numFmtId="0" fontId="10" fillId="0" borderId="0" xfId="1" applyFont="1" applyAlignment="1" applyProtection="1">
      <alignment horizontal="center" vertical="center"/>
      <protection locked="0"/>
    </xf>
    <xf numFmtId="3" fontId="3" fillId="0" borderId="0" xfId="1" applyNumberFormat="1" applyFont="1" applyAlignment="1" applyProtection="1">
      <alignment vertical="center"/>
      <protection locked="0"/>
    </xf>
    <xf numFmtId="0" fontId="3" fillId="0" borderId="2" xfId="1" applyFont="1" applyBorder="1" applyAlignment="1" applyProtection="1">
      <alignment vertical="center" shrinkToFit="1"/>
      <protection locked="0"/>
    </xf>
    <xf numFmtId="0" fontId="3" fillId="0" borderId="14" xfId="1" applyFont="1" applyBorder="1" applyAlignment="1">
      <alignment vertical="center" shrinkToFit="1"/>
    </xf>
    <xf numFmtId="3" fontId="8" fillId="0" borderId="0" xfId="2" applyNumberFormat="1" applyFont="1" applyAlignment="1">
      <alignment vertical="center" shrinkToFit="1"/>
    </xf>
    <xf numFmtId="0" fontId="10" fillId="0" borderId="2" xfId="1" applyFont="1" applyBorder="1" applyAlignment="1" applyProtection="1">
      <alignment horizontal="right" vertical="center"/>
      <protection locked="0"/>
    </xf>
    <xf numFmtId="0" fontId="11" fillId="0" borderId="0" xfId="1" quotePrefix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/>
      <protection locked="0"/>
    </xf>
    <xf numFmtId="3" fontId="7" fillId="0" borderId="0" xfId="1" applyNumberFormat="1" applyFont="1" applyAlignment="1" applyProtection="1">
      <alignment vertical="center"/>
      <protection locked="0"/>
    </xf>
    <xf numFmtId="4" fontId="7" fillId="0" borderId="0" xfId="1" applyNumberFormat="1" applyFont="1" applyAlignment="1" applyProtection="1">
      <alignment horizontal="center" vertical="center"/>
      <protection locked="0"/>
    </xf>
    <xf numFmtId="0" fontId="8" fillId="0" borderId="0" xfId="2" applyFont="1">
      <alignment vertical="center"/>
    </xf>
    <xf numFmtId="3" fontId="7" fillId="0" borderId="4" xfId="1" quotePrefix="1" applyNumberFormat="1" applyFont="1" applyBorder="1" applyAlignment="1" applyProtection="1">
      <alignment horizontal="center" vertical="center" shrinkToFit="1"/>
      <protection locked="0"/>
    </xf>
    <xf numFmtId="4" fontId="7" fillId="0" borderId="3" xfId="1" applyNumberFormat="1" applyFont="1" applyBorder="1" applyAlignment="1" applyProtection="1">
      <alignment horizontal="center" vertical="center"/>
      <protection locked="0"/>
    </xf>
    <xf numFmtId="0" fontId="7" fillId="0" borderId="12" xfId="1" quotePrefix="1" applyFont="1" applyBorder="1" applyAlignment="1" applyProtection="1">
      <alignment horizontal="left" vertical="center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1" xfId="1" quotePrefix="1" applyFont="1" applyBorder="1" applyAlignment="1" applyProtection="1">
      <alignment horizontal="right" vertical="center"/>
      <protection locked="0"/>
    </xf>
    <xf numFmtId="4" fontId="7" fillId="0" borderId="1" xfId="1" applyNumberFormat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0" fontId="7" fillId="0" borderId="9" xfId="1" quotePrefix="1" applyFont="1" applyBorder="1" applyAlignment="1" applyProtection="1">
      <alignment horizontal="left" vertical="center"/>
      <protection locked="0"/>
    </xf>
    <xf numFmtId="0" fontId="7" fillId="0" borderId="2" xfId="1" quotePrefix="1" applyFont="1" applyBorder="1" applyAlignment="1" applyProtection="1">
      <alignment horizontal="right" vertical="center"/>
      <protection locked="0"/>
    </xf>
    <xf numFmtId="0" fontId="7" fillId="0" borderId="2" xfId="1" quotePrefix="1" applyFont="1" applyBorder="1" applyAlignment="1" applyProtection="1">
      <alignment horizontal="left" vertical="center"/>
      <protection locked="0"/>
    </xf>
    <xf numFmtId="4" fontId="7" fillId="0" borderId="2" xfId="1" applyNumberFormat="1" applyFont="1" applyBorder="1" applyAlignment="1" applyProtection="1">
      <alignment horizontal="center" vertical="center"/>
      <protection locked="0"/>
    </xf>
    <xf numFmtId="0" fontId="7" fillId="0" borderId="11" xfId="1" quotePrefix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vertical="center"/>
      <protection locked="0"/>
    </xf>
    <xf numFmtId="0" fontId="7" fillId="0" borderId="2" xfId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 applyProtection="1">
      <alignment vertical="center"/>
      <protection locked="0"/>
    </xf>
    <xf numFmtId="0" fontId="7" fillId="0" borderId="14" xfId="1" applyFont="1" applyBorder="1" applyAlignment="1" applyProtection="1">
      <alignment vertical="center"/>
      <protection locked="0"/>
    </xf>
    <xf numFmtId="0" fontId="7" fillId="0" borderId="3" xfId="1" applyFont="1" applyBorder="1" applyAlignment="1" applyProtection="1">
      <alignment horizontal="right" vertical="center"/>
      <protection locked="0"/>
    </xf>
    <xf numFmtId="0" fontId="7" fillId="0" borderId="3" xfId="1" applyFont="1" applyBorder="1" applyAlignment="1" applyProtection="1">
      <alignment vertical="center"/>
      <protection locked="0"/>
    </xf>
    <xf numFmtId="0" fontId="7" fillId="0" borderId="3" xfId="1" quotePrefix="1" applyFont="1" applyBorder="1" applyAlignment="1" applyProtection="1">
      <alignment horizontal="right" vertical="center"/>
      <protection locked="0"/>
    </xf>
    <xf numFmtId="3" fontId="7" fillId="0" borderId="3" xfId="1" applyNumberFormat="1" applyFont="1" applyBorder="1" applyAlignment="1" applyProtection="1">
      <alignment vertical="center" shrinkToFit="1"/>
      <protection locked="0"/>
    </xf>
    <xf numFmtId="0" fontId="7" fillId="0" borderId="15" xfId="1" quotePrefix="1" applyFont="1" applyBorder="1" applyAlignment="1" applyProtection="1">
      <alignment horizontal="center" vertical="center"/>
      <protection locked="0"/>
    </xf>
    <xf numFmtId="0" fontId="7" fillId="0" borderId="16" xfId="1" quotePrefix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right"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4" fontId="7" fillId="0" borderId="4" xfId="1" applyNumberFormat="1" applyFont="1" applyBorder="1" applyAlignment="1" applyProtection="1">
      <alignment horizontal="center" vertical="center"/>
      <protection locked="0"/>
    </xf>
    <xf numFmtId="0" fontId="7" fillId="0" borderId="17" xfId="1" applyFont="1" applyBorder="1" applyAlignment="1" applyProtection="1">
      <alignment horizontal="center" vertical="center"/>
      <protection locked="0"/>
    </xf>
    <xf numFmtId="0" fontId="7" fillId="0" borderId="0" xfId="1" quotePrefix="1" applyFont="1" applyAlignment="1" applyProtection="1">
      <alignment horizontal="right" vertical="center"/>
      <protection locked="0"/>
    </xf>
    <xf numFmtId="0" fontId="7" fillId="0" borderId="1" xfId="1" applyFont="1" applyBorder="1" applyAlignment="1" applyProtection="1">
      <alignment vertical="center"/>
      <protection locked="0"/>
    </xf>
    <xf numFmtId="3" fontId="7" fillId="0" borderId="1" xfId="1" applyNumberFormat="1" applyFont="1" applyBorder="1" applyAlignment="1" applyProtection="1">
      <alignment vertical="center" shrinkToFit="1"/>
      <protection locked="0"/>
    </xf>
    <xf numFmtId="0" fontId="7" fillId="0" borderId="13" xfId="1" quotePrefix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right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7" fillId="0" borderId="24" xfId="1" applyFont="1" applyBorder="1" applyAlignment="1" applyProtection="1">
      <alignment vertical="center"/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5" xfId="1" applyFont="1" applyBorder="1" applyAlignment="1" applyProtection="1">
      <alignment vertical="center"/>
      <protection locked="0"/>
    </xf>
    <xf numFmtId="0" fontId="7" fillId="0" borderId="5" xfId="1" applyFont="1" applyBorder="1" applyAlignment="1" applyProtection="1">
      <alignment horizontal="right" vertical="center"/>
      <protection locked="0"/>
    </xf>
    <xf numFmtId="0" fontId="7" fillId="0" borderId="5" xfId="1" applyFont="1" applyBorder="1" applyAlignment="1" applyProtection="1">
      <alignment vertical="center"/>
      <protection locked="0"/>
    </xf>
    <xf numFmtId="0" fontId="7" fillId="0" borderId="5" xfId="1" quotePrefix="1" applyFont="1" applyBorder="1" applyAlignment="1" applyProtection="1">
      <alignment horizontal="right" vertical="center"/>
      <protection locked="0"/>
    </xf>
    <xf numFmtId="4" fontId="7" fillId="0" borderId="5" xfId="1" applyNumberFormat="1" applyFont="1" applyBorder="1" applyAlignment="1" applyProtection="1">
      <alignment horizontal="center" vertical="center"/>
      <protection locked="0"/>
    </xf>
    <xf numFmtId="0" fontId="7" fillId="0" borderId="26" xfId="1" applyFont="1" applyBorder="1" applyAlignment="1" applyProtection="1">
      <alignment horizontal="center" vertical="center"/>
      <protection locked="0"/>
    </xf>
    <xf numFmtId="3" fontId="7" fillId="0" borderId="19" xfId="1" quotePrefix="1" applyNumberFormat="1" applyFont="1" applyBorder="1" applyAlignment="1" applyProtection="1">
      <alignment horizontal="center" vertical="center" shrinkToFit="1"/>
      <protection locked="0"/>
    </xf>
    <xf numFmtId="3" fontId="7" fillId="0" borderId="6" xfId="1" applyNumberFormat="1" applyFont="1" applyBorder="1" applyAlignment="1" applyProtection="1">
      <alignment horizontal="right" vertical="center" shrinkToFit="1"/>
      <protection locked="0"/>
    </xf>
    <xf numFmtId="3" fontId="7" fillId="0" borderId="7" xfId="1" applyNumberFormat="1" applyFont="1" applyBorder="1" applyAlignment="1" applyProtection="1">
      <alignment vertical="center" shrinkToFit="1"/>
      <protection locked="0"/>
    </xf>
    <xf numFmtId="0" fontId="7" fillId="0" borderId="3" xfId="1" quotePrefix="1" applyFont="1" applyBorder="1" applyAlignment="1" applyProtection="1">
      <alignment horizontal="left" vertical="center"/>
      <protection locked="0"/>
    </xf>
    <xf numFmtId="0" fontId="7" fillId="0" borderId="15" xfId="1" applyFont="1" applyBorder="1" applyAlignment="1" applyProtection="1">
      <alignment horizontal="center" vertical="center"/>
      <protection locked="0"/>
    </xf>
    <xf numFmtId="0" fontId="7" fillId="0" borderId="20" xfId="1" quotePrefix="1" applyFont="1" applyBorder="1" applyAlignment="1" applyProtection="1">
      <alignment horizontal="center" vertical="center"/>
      <protection locked="0"/>
    </xf>
    <xf numFmtId="0" fontId="7" fillId="0" borderId="26" xfId="1" quotePrefix="1" applyFont="1" applyBorder="1" applyAlignment="1" applyProtection="1">
      <alignment horizontal="center" vertical="center"/>
      <protection locked="0"/>
    </xf>
    <xf numFmtId="0" fontId="7" fillId="0" borderId="8" xfId="1" quotePrefix="1" applyFont="1" applyBorder="1" applyAlignment="1" applyProtection="1">
      <alignment horizontal="left" vertical="center"/>
      <protection locked="0"/>
    </xf>
    <xf numFmtId="0" fontId="7" fillId="0" borderId="8" xfId="1" applyFont="1" applyBorder="1" applyAlignment="1" applyProtection="1">
      <alignment horizontal="right" vertical="center"/>
      <protection locked="0"/>
    </xf>
    <xf numFmtId="0" fontId="7" fillId="0" borderId="8" xfId="1" applyFont="1" applyBorder="1" applyAlignment="1" applyProtection="1">
      <alignment vertical="center"/>
      <protection locked="0"/>
    </xf>
    <xf numFmtId="0" fontId="7" fillId="0" borderId="8" xfId="1" quotePrefix="1" applyFont="1" applyBorder="1" applyAlignment="1" applyProtection="1">
      <alignment horizontal="right" vertical="center"/>
      <protection locked="0"/>
    </xf>
    <xf numFmtId="4" fontId="7" fillId="0" borderId="8" xfId="1" applyNumberFormat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vertical="center"/>
      <protection locked="0"/>
    </xf>
    <xf numFmtId="0" fontId="7" fillId="0" borderId="18" xfId="1" applyFont="1" applyBorder="1" applyAlignment="1" applyProtection="1">
      <alignment horizontal="center" vertical="center"/>
      <protection locked="0"/>
    </xf>
    <xf numFmtId="3" fontId="7" fillId="0" borderId="9" xfId="1" applyNumberFormat="1" applyFont="1" applyBorder="1" applyAlignment="1" applyProtection="1">
      <alignment vertical="center"/>
      <protection locked="0"/>
    </xf>
    <xf numFmtId="0" fontId="7" fillId="0" borderId="18" xfId="1" quotePrefix="1" applyFont="1" applyBorder="1" applyAlignment="1" applyProtection="1">
      <alignment horizontal="center" vertical="center"/>
      <protection locked="0"/>
    </xf>
    <xf numFmtId="0" fontId="7" fillId="0" borderId="8" xfId="1" quotePrefix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>
      <alignment vertical="center"/>
    </xf>
    <xf numFmtId="0" fontId="7" fillId="0" borderId="2" xfId="1" applyFont="1" applyBorder="1" applyAlignment="1" applyProtection="1">
      <alignment horizontal="left" vertical="center"/>
      <protection locked="0"/>
    </xf>
    <xf numFmtId="0" fontId="7" fillId="0" borderId="21" xfId="1" quotePrefix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 applyProtection="1">
      <alignment horizontal="right" vertical="center"/>
      <protection locked="0"/>
    </xf>
    <xf numFmtId="0" fontId="7" fillId="0" borderId="22" xfId="1" applyFont="1" applyBorder="1" applyAlignment="1" applyProtection="1">
      <alignment vertical="center"/>
      <protection locked="0"/>
    </xf>
    <xf numFmtId="0" fontId="7" fillId="0" borderId="22" xfId="1" applyFont="1" applyBorder="1" applyAlignment="1" applyProtection="1">
      <alignment horizontal="center" vertical="center"/>
      <protection locked="0"/>
    </xf>
    <xf numFmtId="3" fontId="7" fillId="0" borderId="22" xfId="1" applyNumberFormat="1" applyFont="1" applyBorder="1" applyAlignment="1" applyProtection="1">
      <alignment vertical="center" shrinkToFit="1"/>
      <protection locked="0"/>
    </xf>
    <xf numFmtId="4" fontId="7" fillId="0" borderId="22" xfId="1" applyNumberFormat="1" applyFont="1" applyBorder="1" applyAlignment="1" applyProtection="1">
      <alignment horizontal="center" vertical="center"/>
      <protection locked="0"/>
    </xf>
    <xf numFmtId="0" fontId="7" fillId="0" borderId="23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vertical="center" shrinkToFit="1"/>
      <protection locked="0"/>
    </xf>
    <xf numFmtId="0" fontId="7" fillId="0" borderId="12" xfId="1" applyFont="1" applyBorder="1" applyAlignment="1" applyProtection="1">
      <alignment vertical="center" shrinkToFit="1"/>
      <protection locked="0"/>
    </xf>
    <xf numFmtId="0" fontId="7" fillId="0" borderId="14" xfId="1" applyFont="1" applyBorder="1" applyAlignment="1">
      <alignment vertical="center" shrinkToFit="1"/>
    </xf>
    <xf numFmtId="0" fontId="7" fillId="0" borderId="12" xfId="1" applyFont="1" applyBorder="1" applyAlignment="1">
      <alignment vertical="center" wrapText="1"/>
    </xf>
    <xf numFmtId="0" fontId="7" fillId="0" borderId="14" xfId="1" applyFont="1" applyBorder="1" applyAlignment="1">
      <alignment vertical="center" wrapText="1"/>
    </xf>
    <xf numFmtId="3" fontId="7" fillId="0" borderId="4" xfId="1" applyNumberFormat="1" applyFont="1" applyBorder="1" applyAlignment="1" applyProtection="1">
      <alignment vertical="center"/>
      <protection locked="0"/>
    </xf>
    <xf numFmtId="0" fontId="7" fillId="0" borderId="9" xfId="1" applyFont="1" applyBorder="1" applyAlignment="1" applyProtection="1">
      <alignment vertical="center" shrinkToFit="1"/>
      <protection locked="0"/>
    </xf>
    <xf numFmtId="0" fontId="7" fillId="0" borderId="9" xfId="1" applyFont="1" applyBorder="1" applyAlignment="1">
      <alignment vertical="center" shrinkToFit="1"/>
    </xf>
    <xf numFmtId="0" fontId="7" fillId="0" borderId="9" xfId="1" applyFont="1" applyBorder="1" applyAlignment="1" applyProtection="1">
      <alignment horizontal="center" vertical="center" shrinkToFit="1"/>
      <protection locked="0"/>
    </xf>
    <xf numFmtId="0" fontId="7" fillId="0" borderId="1" xfId="1" applyFont="1" applyBorder="1" applyAlignment="1">
      <alignment vertical="center"/>
    </xf>
    <xf numFmtId="179" fontId="7" fillId="0" borderId="1" xfId="1" applyNumberFormat="1" applyFont="1" applyBorder="1" applyAlignment="1">
      <alignment vertical="center" shrinkToFit="1"/>
    </xf>
    <xf numFmtId="0" fontId="7" fillId="0" borderId="9" xfId="1" applyFont="1" applyBorder="1" applyAlignment="1">
      <alignment vertical="center" wrapText="1"/>
    </xf>
    <xf numFmtId="0" fontId="7" fillId="0" borderId="2" xfId="1" applyFont="1" applyBorder="1" applyAlignment="1">
      <alignment vertical="center"/>
    </xf>
    <xf numFmtId="179" fontId="7" fillId="0" borderId="2" xfId="1" applyNumberFormat="1" applyFont="1" applyBorder="1" applyAlignment="1">
      <alignment vertical="center" shrinkToFit="1"/>
    </xf>
    <xf numFmtId="0" fontId="7" fillId="0" borderId="12" xfId="1" applyFont="1" applyBorder="1" applyAlignment="1" applyProtection="1">
      <alignment vertical="center" wrapText="1"/>
      <protection locked="0"/>
    </xf>
    <xf numFmtId="0" fontId="7" fillId="0" borderId="1" xfId="1" applyFont="1" applyBorder="1" applyAlignment="1" applyProtection="1">
      <alignment horizontal="right" vertical="center"/>
      <protection locked="0"/>
    </xf>
    <xf numFmtId="3" fontId="12" fillId="0" borderId="2" xfId="1" applyNumberFormat="1" applyFont="1" applyBorder="1" applyAlignment="1" applyProtection="1">
      <alignment vertical="center" shrinkToFit="1"/>
      <protection locked="0"/>
    </xf>
    <xf numFmtId="4" fontId="12" fillId="0" borderId="2" xfId="1" applyNumberFormat="1" applyFont="1" applyBorder="1" applyAlignment="1" applyProtection="1">
      <alignment horizontal="center" vertical="center"/>
      <protection locked="0"/>
    </xf>
    <xf numFmtId="0" fontId="12" fillId="0" borderId="11" xfId="1" applyFont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vertical="center"/>
      <protection locked="0"/>
    </xf>
    <xf numFmtId="0" fontId="12" fillId="0" borderId="2" xfId="1" applyFont="1" applyBorder="1" applyAlignment="1" applyProtection="1">
      <alignment horizontal="right" vertical="center"/>
      <protection locked="0"/>
    </xf>
    <xf numFmtId="0" fontId="12" fillId="0" borderId="2" xfId="1" applyFont="1" applyBorder="1" applyAlignment="1" applyProtection="1">
      <alignment vertical="center"/>
      <protection locked="0"/>
    </xf>
    <xf numFmtId="0" fontId="12" fillId="0" borderId="2" xfId="1" quotePrefix="1" applyFont="1" applyBorder="1" applyAlignment="1" applyProtection="1">
      <alignment horizontal="right" vertical="center"/>
      <protection locked="0"/>
    </xf>
    <xf numFmtId="3" fontId="12" fillId="0" borderId="4" xfId="1" quotePrefix="1" applyNumberFormat="1" applyFont="1" applyBorder="1" applyAlignment="1" applyProtection="1">
      <alignment horizontal="center" vertical="center" shrinkToFit="1"/>
      <protection locked="0"/>
    </xf>
    <xf numFmtId="4" fontId="12" fillId="0" borderId="3" xfId="1" applyNumberFormat="1" applyFont="1" applyBorder="1" applyAlignment="1" applyProtection="1">
      <alignment horizontal="center" vertical="center"/>
      <protection locked="0"/>
    </xf>
    <xf numFmtId="0" fontId="12" fillId="0" borderId="12" xfId="1" quotePrefix="1" applyFont="1" applyBorder="1" applyAlignment="1" applyProtection="1">
      <alignment horizontal="left" vertical="center"/>
      <protection locked="0"/>
    </xf>
    <xf numFmtId="0" fontId="12" fillId="0" borderId="1" xfId="1" applyFont="1" applyBorder="1" applyAlignment="1" applyProtection="1">
      <alignment horizontal="center" vertical="center"/>
      <protection locked="0"/>
    </xf>
    <xf numFmtId="0" fontId="12" fillId="0" borderId="1" xfId="1" quotePrefix="1" applyFont="1" applyBorder="1" applyAlignment="1" applyProtection="1">
      <alignment horizontal="right" vertical="center"/>
      <protection locked="0"/>
    </xf>
    <xf numFmtId="3" fontId="12" fillId="0" borderId="1" xfId="1" applyNumberFormat="1" applyFont="1" applyBorder="1" applyAlignment="1" applyProtection="1">
      <alignment horizontal="right" vertical="center" shrinkToFit="1"/>
      <protection locked="0"/>
    </xf>
    <xf numFmtId="4" fontId="12" fillId="0" borderId="1" xfId="1" applyNumberFormat="1" applyFont="1" applyBorder="1" applyAlignment="1" applyProtection="1">
      <alignment horizontal="center" vertical="center"/>
      <protection locked="0"/>
    </xf>
    <xf numFmtId="0" fontId="12" fillId="0" borderId="13" xfId="1" applyFont="1" applyBorder="1" applyAlignment="1" applyProtection="1">
      <alignment horizontal="center" vertical="center"/>
      <protection locked="0"/>
    </xf>
    <xf numFmtId="0" fontId="12" fillId="0" borderId="9" xfId="1" quotePrefix="1" applyFont="1" applyBorder="1" applyAlignment="1" applyProtection="1">
      <alignment horizontal="left" vertical="center"/>
      <protection locked="0"/>
    </xf>
    <xf numFmtId="0" fontId="12" fillId="0" borderId="11" xfId="1" quotePrefix="1" applyFont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vertical="center" shrinkToFit="1"/>
      <protection locked="0"/>
    </xf>
    <xf numFmtId="0" fontId="12" fillId="0" borderId="24" xfId="1" applyFont="1" applyBorder="1" applyAlignment="1" applyProtection="1">
      <alignment vertical="center"/>
      <protection locked="0"/>
    </xf>
    <xf numFmtId="0" fontId="12" fillId="0" borderId="16" xfId="1" quotePrefix="1" applyFont="1" applyBorder="1" applyAlignment="1" applyProtection="1">
      <alignment horizontal="center" vertical="center"/>
      <protection locked="0"/>
    </xf>
    <xf numFmtId="0" fontId="12" fillId="0" borderId="4" xfId="1" applyFont="1" applyBorder="1" applyAlignment="1" applyProtection="1">
      <alignment horizontal="right" vertical="center"/>
      <protection locked="0"/>
    </xf>
    <xf numFmtId="0" fontId="12" fillId="0" borderId="4" xfId="1" applyFont="1" applyBorder="1" applyAlignment="1" applyProtection="1">
      <alignment vertical="center"/>
      <protection locked="0"/>
    </xf>
    <xf numFmtId="0" fontId="12" fillId="0" borderId="4" xfId="1" applyFont="1" applyBorder="1" applyAlignment="1" applyProtection="1">
      <alignment horizontal="center" vertical="center"/>
      <protection locked="0"/>
    </xf>
    <xf numFmtId="4" fontId="12" fillId="0" borderId="4" xfId="1" applyNumberFormat="1" applyFont="1" applyBorder="1" applyAlignment="1" applyProtection="1">
      <alignment horizontal="center" vertical="center"/>
      <protection locked="0"/>
    </xf>
    <xf numFmtId="0" fontId="12" fillId="0" borderId="17" xfId="1" applyFont="1" applyBorder="1" applyAlignment="1" applyProtection="1">
      <alignment horizontal="center" vertical="center"/>
      <protection locked="0"/>
    </xf>
    <xf numFmtId="0" fontId="12" fillId="0" borderId="12" xfId="1" applyFont="1" applyBorder="1" applyAlignment="1" applyProtection="1">
      <alignment vertical="center" shrinkToFit="1"/>
      <protection locked="0"/>
    </xf>
    <xf numFmtId="0" fontId="12" fillId="0" borderId="14" xfId="1" applyFont="1" applyBorder="1" applyAlignment="1">
      <alignment vertical="center" shrinkToFit="1"/>
    </xf>
    <xf numFmtId="0" fontId="12" fillId="0" borderId="12" xfId="1" applyFont="1" applyBorder="1" applyAlignment="1">
      <alignment vertical="center" wrapText="1"/>
    </xf>
    <xf numFmtId="0" fontId="12" fillId="0" borderId="14" xfId="1" applyFont="1" applyBorder="1" applyAlignment="1">
      <alignment vertical="center" wrapText="1"/>
    </xf>
    <xf numFmtId="3" fontId="12" fillId="0" borderId="4" xfId="1" applyNumberFormat="1" applyFont="1" applyBorder="1" applyAlignment="1" applyProtection="1">
      <alignment vertical="center"/>
      <protection locked="0"/>
    </xf>
    <xf numFmtId="0" fontId="12" fillId="0" borderId="9" xfId="1" applyFont="1" applyBorder="1" applyAlignment="1" applyProtection="1">
      <alignment vertical="center" shrinkToFit="1"/>
      <protection locked="0"/>
    </xf>
    <xf numFmtId="0" fontId="12" fillId="0" borderId="9" xfId="1" applyFont="1" applyBorder="1" applyAlignment="1">
      <alignment vertical="center" shrinkToFit="1"/>
    </xf>
    <xf numFmtId="0" fontId="12" fillId="0" borderId="9" xfId="1" applyFont="1" applyBorder="1" applyAlignment="1" applyProtection="1">
      <alignment horizontal="center" vertical="center" shrinkToFit="1"/>
      <protection locked="0"/>
    </xf>
    <xf numFmtId="0" fontId="12" fillId="0" borderId="1" xfId="1" applyFont="1" applyBorder="1" applyAlignment="1">
      <alignment vertical="center"/>
    </xf>
    <xf numFmtId="179" fontId="12" fillId="0" borderId="1" xfId="1" applyNumberFormat="1" applyFont="1" applyBorder="1" applyAlignment="1">
      <alignment vertical="center" shrinkToFit="1"/>
    </xf>
    <xf numFmtId="0" fontId="12" fillId="0" borderId="13" xfId="1" quotePrefix="1" applyFont="1" applyBorder="1" applyAlignment="1" applyProtection="1">
      <alignment horizontal="center" vertical="center"/>
      <protection locked="0"/>
    </xf>
    <xf numFmtId="0" fontId="12" fillId="0" borderId="9" xfId="1" applyFont="1" applyBorder="1" applyAlignment="1">
      <alignment vertical="center" wrapText="1"/>
    </xf>
    <xf numFmtId="0" fontId="12" fillId="0" borderId="2" xfId="1" applyFont="1" applyBorder="1" applyAlignment="1">
      <alignment vertical="center"/>
    </xf>
    <xf numFmtId="179" fontId="12" fillId="0" borderId="2" xfId="1" applyNumberFormat="1" applyFont="1" applyBorder="1" applyAlignment="1">
      <alignment vertical="center" shrinkToFit="1"/>
    </xf>
    <xf numFmtId="0" fontId="12" fillId="0" borderId="21" xfId="1" quotePrefix="1" applyFont="1" applyBorder="1" applyAlignment="1" applyProtection="1">
      <alignment horizontal="center" vertical="center"/>
      <protection locked="0"/>
    </xf>
    <xf numFmtId="0" fontId="12" fillId="0" borderId="22" xfId="1" applyFont="1" applyBorder="1" applyAlignment="1" applyProtection="1">
      <alignment horizontal="right" vertical="center"/>
      <protection locked="0"/>
    </xf>
    <xf numFmtId="0" fontId="12" fillId="0" borderId="22" xfId="1" applyFont="1" applyBorder="1" applyAlignment="1" applyProtection="1">
      <alignment vertical="center"/>
      <protection locked="0"/>
    </xf>
    <xf numFmtId="0" fontId="12" fillId="0" borderId="22" xfId="1" applyFont="1" applyBorder="1" applyAlignment="1" applyProtection="1">
      <alignment horizontal="center" vertical="center"/>
      <protection locked="0"/>
    </xf>
    <xf numFmtId="4" fontId="12" fillId="0" borderId="22" xfId="1" applyNumberFormat="1" applyFont="1" applyBorder="1" applyAlignment="1" applyProtection="1">
      <alignment horizontal="center" vertical="center"/>
      <protection locked="0"/>
    </xf>
    <xf numFmtId="0" fontId="12" fillId="0" borderId="23" xfId="1" applyFont="1" applyBorder="1" applyAlignment="1" applyProtection="1">
      <alignment horizontal="center" vertical="center"/>
      <protection locked="0"/>
    </xf>
    <xf numFmtId="3" fontId="12" fillId="0" borderId="4" xfId="1" applyNumberFormat="1" applyFont="1" applyBorder="1" applyAlignment="1" applyProtection="1">
      <alignment vertical="center" shrinkToFit="1"/>
      <protection locked="0"/>
    </xf>
    <xf numFmtId="3" fontId="12" fillId="0" borderId="22" xfId="1" applyNumberFormat="1" applyFont="1" applyBorder="1" applyAlignment="1" applyProtection="1">
      <alignment vertical="center" shrinkToFit="1"/>
      <protection locked="0"/>
    </xf>
    <xf numFmtId="0" fontId="12" fillId="0" borderId="12" xfId="1" applyFont="1" applyBorder="1" applyAlignment="1" applyProtection="1">
      <alignment vertical="center" wrapText="1"/>
      <protection locked="0"/>
    </xf>
    <xf numFmtId="0" fontId="12" fillId="0" borderId="1" xfId="1" applyFont="1" applyBorder="1" applyAlignment="1" applyProtection="1">
      <alignment horizontal="right" vertical="center"/>
      <protection locked="0"/>
    </xf>
    <xf numFmtId="0" fontId="12" fillId="0" borderId="1" xfId="1" applyFont="1" applyBorder="1" applyAlignment="1" applyProtection="1">
      <alignment vertical="center"/>
      <protection locked="0"/>
    </xf>
    <xf numFmtId="3" fontId="12" fillId="0" borderId="1" xfId="1" applyNumberFormat="1" applyFont="1" applyBorder="1" applyAlignment="1" applyProtection="1">
      <alignment vertical="center" shrinkToFit="1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vertical="center"/>
      <protection locked="0"/>
    </xf>
    <xf numFmtId="3" fontId="12" fillId="0" borderId="0" xfId="1" applyNumberFormat="1" applyFont="1" applyAlignment="1" applyProtection="1">
      <alignment vertical="center" shrinkToFit="1"/>
      <protection locked="0"/>
    </xf>
    <xf numFmtId="3" fontId="12" fillId="0" borderId="0" xfId="1" applyNumberFormat="1" applyFont="1" applyAlignment="1" applyProtection="1">
      <alignment vertical="center"/>
      <protection locked="0"/>
    </xf>
    <xf numFmtId="4" fontId="12" fillId="0" borderId="0" xfId="1" applyNumberFormat="1" applyFont="1" applyAlignment="1" applyProtection="1">
      <alignment horizontal="center" vertical="center"/>
      <protection locked="0"/>
    </xf>
    <xf numFmtId="0" fontId="13" fillId="0" borderId="0" xfId="2" applyFont="1">
      <alignment vertical="center"/>
    </xf>
    <xf numFmtId="0" fontId="12" fillId="0" borderId="8" xfId="1" applyFont="1" applyBorder="1" applyAlignment="1" applyProtection="1">
      <alignment vertical="center"/>
      <protection locked="0"/>
    </xf>
    <xf numFmtId="0" fontId="12" fillId="0" borderId="8" xfId="1" quotePrefix="1" applyFont="1" applyBorder="1" applyAlignment="1" applyProtection="1">
      <alignment horizontal="right" vertical="center"/>
      <protection locked="0"/>
    </xf>
    <xf numFmtId="3" fontId="12" fillId="0" borderId="8" xfId="1" applyNumberFormat="1" applyFont="1" applyBorder="1" applyAlignment="1" applyProtection="1">
      <alignment vertical="center" shrinkToFit="1"/>
      <protection locked="0"/>
    </xf>
    <xf numFmtId="4" fontId="12" fillId="0" borderId="8" xfId="1" applyNumberFormat="1" applyFont="1" applyBorder="1" applyAlignment="1" applyProtection="1">
      <alignment horizontal="center" vertical="center"/>
      <protection locked="0"/>
    </xf>
    <xf numFmtId="0" fontId="12" fillId="0" borderId="8" xfId="1" quotePrefix="1" applyFont="1" applyBorder="1" applyAlignment="1" applyProtection="1">
      <alignment horizontal="center" vertical="center"/>
      <protection locked="0"/>
    </xf>
    <xf numFmtId="0" fontId="12" fillId="0" borderId="9" xfId="1" applyFont="1" applyBorder="1" applyAlignment="1">
      <alignment vertical="center"/>
    </xf>
    <xf numFmtId="0" fontId="12" fillId="0" borderId="2" xfId="1" quotePrefix="1" applyFont="1" applyBorder="1" applyAlignment="1" applyProtection="1">
      <alignment horizontal="left" vertical="center"/>
      <protection locked="0"/>
    </xf>
    <xf numFmtId="0" fontId="12" fillId="0" borderId="2" xfId="1" applyFont="1" applyBorder="1" applyAlignment="1" applyProtection="1">
      <alignment horizontal="left" vertical="center"/>
      <protection locked="0"/>
    </xf>
    <xf numFmtId="0" fontId="12" fillId="0" borderId="0" xfId="1" quotePrefix="1" applyFont="1" applyAlignment="1" applyProtection="1">
      <alignment horizontal="right" vertical="center"/>
      <protection locked="0"/>
    </xf>
    <xf numFmtId="0" fontId="12" fillId="0" borderId="0" xfId="1" applyFont="1" applyAlignment="1" applyProtection="1">
      <alignment horizontal="left" vertical="center"/>
      <protection locked="0"/>
    </xf>
    <xf numFmtId="3" fontId="13" fillId="0" borderId="0" xfId="2" applyNumberFormat="1" applyFont="1">
      <alignment vertical="center"/>
    </xf>
    <xf numFmtId="3" fontId="12" fillId="0" borderId="5" xfId="1" applyNumberFormat="1" applyFont="1" applyBorder="1" applyAlignment="1" applyProtection="1">
      <alignment vertical="center" shrinkToFit="1"/>
      <protection locked="0"/>
    </xf>
    <xf numFmtId="0" fontId="12" fillId="0" borderId="10" xfId="1" applyFont="1" applyBorder="1" applyAlignment="1" applyProtection="1">
      <alignment vertical="center"/>
      <protection locked="0"/>
    </xf>
    <xf numFmtId="0" fontId="12" fillId="0" borderId="8" xfId="1" applyFont="1" applyBorder="1" applyAlignment="1" applyProtection="1">
      <alignment horizontal="center" vertical="center"/>
      <protection locked="0"/>
    </xf>
    <xf numFmtId="0" fontId="13" fillId="0" borderId="0" xfId="2" applyFont="1" applyAlignment="1">
      <alignment horizontal="left" vertical="center"/>
    </xf>
    <xf numFmtId="0" fontId="12" fillId="0" borderId="8" xfId="1" applyFont="1" applyBorder="1" applyAlignment="1" applyProtection="1">
      <alignment horizontal="right" vertical="center"/>
      <protection locked="0"/>
    </xf>
    <xf numFmtId="0" fontId="13" fillId="0" borderId="0" xfId="2" applyFont="1" applyAlignment="1">
      <alignment vertical="center" shrinkToFit="1"/>
    </xf>
    <xf numFmtId="3" fontId="13" fillId="0" borderId="0" xfId="2" applyNumberFormat="1" applyFont="1" applyAlignment="1">
      <alignment vertical="center" shrinkToFit="1"/>
    </xf>
    <xf numFmtId="0" fontId="14" fillId="0" borderId="0" xfId="1" quotePrefix="1" applyFont="1" applyAlignment="1" applyProtection="1">
      <alignment horizontal="left" vertical="center"/>
      <protection locked="0"/>
    </xf>
    <xf numFmtId="0" fontId="12" fillId="0" borderId="14" xfId="1" applyFont="1" applyBorder="1" applyAlignment="1" applyProtection="1">
      <alignment vertical="center"/>
      <protection locked="0"/>
    </xf>
    <xf numFmtId="0" fontId="12" fillId="0" borderId="3" xfId="1" applyFont="1" applyBorder="1" applyAlignment="1" applyProtection="1">
      <alignment horizontal="right" vertical="center"/>
      <protection locked="0"/>
    </xf>
    <xf numFmtId="0" fontId="12" fillId="0" borderId="3" xfId="1" applyFont="1" applyBorder="1" applyAlignment="1" applyProtection="1">
      <alignment vertical="center"/>
      <protection locked="0"/>
    </xf>
    <xf numFmtId="0" fontId="12" fillId="0" borderId="3" xfId="1" quotePrefix="1" applyFont="1" applyBorder="1" applyAlignment="1" applyProtection="1">
      <alignment horizontal="right" vertical="center"/>
      <protection locked="0"/>
    </xf>
    <xf numFmtId="3" fontId="12" fillId="0" borderId="3" xfId="1" applyNumberFormat="1" applyFont="1" applyBorder="1" applyAlignment="1" applyProtection="1">
      <alignment vertical="center" shrinkToFit="1"/>
      <protection locked="0"/>
    </xf>
    <xf numFmtId="0" fontId="12" fillId="0" borderId="15" xfId="1" quotePrefix="1" applyFont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 vertical="center"/>
      <protection locked="0"/>
    </xf>
    <xf numFmtId="0" fontId="12" fillId="0" borderId="20" xfId="1" applyFont="1" applyBorder="1" applyAlignment="1" applyProtection="1">
      <alignment horizontal="center" vertical="center"/>
      <protection locked="0"/>
    </xf>
    <xf numFmtId="0" fontId="12" fillId="0" borderId="25" xfId="1" applyFont="1" applyBorder="1" applyAlignment="1" applyProtection="1">
      <alignment vertical="center"/>
      <protection locked="0"/>
    </xf>
    <xf numFmtId="0" fontId="12" fillId="0" borderId="5" xfId="1" applyFont="1" applyBorder="1" applyAlignment="1" applyProtection="1">
      <alignment horizontal="right" vertical="center"/>
      <protection locked="0"/>
    </xf>
    <xf numFmtId="0" fontId="12" fillId="0" borderId="5" xfId="1" applyFont="1" applyBorder="1" applyAlignment="1" applyProtection="1">
      <alignment vertical="center"/>
      <protection locked="0"/>
    </xf>
    <xf numFmtId="0" fontId="12" fillId="0" borderId="5" xfId="1" quotePrefix="1" applyFont="1" applyBorder="1" applyAlignment="1" applyProtection="1">
      <alignment horizontal="right" vertical="center"/>
      <protection locked="0"/>
    </xf>
    <xf numFmtId="4" fontId="12" fillId="0" borderId="5" xfId="1" applyNumberFormat="1" applyFont="1" applyBorder="1" applyAlignment="1" applyProtection="1">
      <alignment horizontal="center" vertical="center"/>
      <protection locked="0"/>
    </xf>
    <xf numFmtId="0" fontId="12" fillId="0" borderId="26" xfId="1" applyFont="1" applyBorder="1" applyAlignment="1" applyProtection="1">
      <alignment horizontal="center" vertical="center"/>
      <protection locked="0"/>
    </xf>
    <xf numFmtId="3" fontId="12" fillId="0" borderId="19" xfId="1" quotePrefix="1" applyNumberFormat="1" applyFont="1" applyBorder="1" applyAlignment="1" applyProtection="1">
      <alignment horizontal="center" vertical="center" shrinkToFit="1"/>
      <protection locked="0"/>
    </xf>
    <xf numFmtId="3" fontId="12" fillId="0" borderId="6" xfId="1" applyNumberFormat="1" applyFont="1" applyBorder="1" applyAlignment="1" applyProtection="1">
      <alignment horizontal="right" vertical="center" shrinkToFit="1"/>
      <protection locked="0"/>
    </xf>
    <xf numFmtId="3" fontId="12" fillId="0" borderId="7" xfId="1" applyNumberFormat="1" applyFont="1" applyBorder="1" applyAlignment="1" applyProtection="1">
      <alignment vertical="center" shrinkToFit="1"/>
      <protection locked="0"/>
    </xf>
    <xf numFmtId="0" fontId="12" fillId="0" borderId="3" xfId="1" quotePrefix="1" applyFont="1" applyBorder="1" applyAlignment="1" applyProtection="1">
      <alignment horizontal="left" vertical="center"/>
      <protection locked="0"/>
    </xf>
    <xf numFmtId="0" fontId="12" fillId="0" borderId="15" xfId="1" applyFont="1" applyBorder="1" applyAlignment="1" applyProtection="1">
      <alignment horizontal="center" vertical="center"/>
      <protection locked="0"/>
    </xf>
    <xf numFmtId="0" fontId="12" fillId="0" borderId="20" xfId="1" quotePrefix="1" applyFont="1" applyBorder="1" applyAlignment="1" applyProtection="1">
      <alignment horizontal="center" vertical="center"/>
      <protection locked="0"/>
    </xf>
    <xf numFmtId="0" fontId="12" fillId="0" borderId="26" xfId="1" quotePrefix="1" applyFont="1" applyBorder="1" applyAlignment="1" applyProtection="1">
      <alignment horizontal="center" vertical="center"/>
      <protection locked="0"/>
    </xf>
    <xf numFmtId="0" fontId="12" fillId="0" borderId="8" xfId="1" quotePrefix="1" applyFont="1" applyBorder="1" applyAlignment="1" applyProtection="1">
      <alignment horizontal="left" vertical="center"/>
      <protection locked="0"/>
    </xf>
    <xf numFmtId="0" fontId="12" fillId="0" borderId="18" xfId="1" applyFont="1" applyBorder="1" applyAlignment="1" applyProtection="1">
      <alignment horizontal="center" vertical="center"/>
      <protection locked="0"/>
    </xf>
    <xf numFmtId="3" fontId="12" fillId="0" borderId="9" xfId="1" applyNumberFormat="1" applyFont="1" applyBorder="1" applyAlignment="1" applyProtection="1">
      <alignment vertical="center"/>
      <protection locked="0"/>
    </xf>
    <xf numFmtId="0" fontId="12" fillId="0" borderId="18" xfId="1" quotePrefix="1" applyFont="1" applyBorder="1" applyAlignment="1" applyProtection="1">
      <alignment horizontal="center" vertical="center"/>
      <protection locked="0"/>
    </xf>
    <xf numFmtId="0" fontId="12" fillId="0" borderId="27" xfId="1" applyFont="1" applyBorder="1" applyAlignment="1" applyProtection="1">
      <alignment horizontal="right" vertical="center"/>
      <protection locked="0"/>
    </xf>
    <xf numFmtId="0" fontId="12" fillId="0" borderId="27" xfId="1" quotePrefix="1" applyFont="1" applyBorder="1" applyAlignment="1" applyProtection="1">
      <alignment horizontal="right" vertical="center"/>
      <protection locked="0"/>
    </xf>
    <xf numFmtId="0" fontId="15" fillId="0" borderId="2" xfId="1" applyFont="1" applyBorder="1" applyAlignment="1" applyProtection="1">
      <alignment horizontal="right" vertical="center"/>
      <protection locked="0"/>
    </xf>
    <xf numFmtId="0" fontId="15" fillId="0" borderId="2" xfId="1" applyFont="1" applyBorder="1" applyAlignment="1" applyProtection="1">
      <alignment vertical="center"/>
      <protection locked="0"/>
    </xf>
    <xf numFmtId="3" fontId="15" fillId="0" borderId="2" xfId="1" applyNumberFormat="1" applyFont="1" applyBorder="1" applyAlignment="1" applyProtection="1">
      <alignment vertical="center" shrinkToFit="1"/>
      <protection locked="0"/>
    </xf>
    <xf numFmtId="4" fontId="15" fillId="0" borderId="2" xfId="1" applyNumberFormat="1" applyFont="1" applyBorder="1" applyAlignment="1" applyProtection="1">
      <alignment horizontal="center" vertical="center"/>
      <protection locked="0"/>
    </xf>
    <xf numFmtId="0" fontId="15" fillId="0" borderId="11" xfId="1" applyFont="1" applyBorder="1" applyAlignment="1" applyProtection="1">
      <alignment horizontal="center" vertical="center"/>
      <protection locked="0"/>
    </xf>
    <xf numFmtId="0" fontId="15" fillId="0" borderId="2" xfId="1" quotePrefix="1" applyFont="1" applyBorder="1" applyAlignment="1" applyProtection="1">
      <alignment horizontal="right" vertical="center"/>
      <protection locked="0"/>
    </xf>
    <xf numFmtId="0" fontId="15" fillId="0" borderId="2" xfId="1" applyFont="1" applyBorder="1" applyAlignment="1" applyProtection="1">
      <alignment vertical="center" shrinkToFit="1"/>
      <protection locked="0"/>
    </xf>
    <xf numFmtId="0" fontId="15" fillId="0" borderId="2" xfId="1" quotePrefix="1" applyFont="1" applyBorder="1" applyAlignment="1" applyProtection="1">
      <alignment horizontal="left" vertical="center"/>
      <protection locked="0"/>
    </xf>
    <xf numFmtId="177" fontId="13" fillId="0" borderId="0" xfId="2" applyNumberFormat="1" applyFont="1">
      <alignment vertical="center"/>
    </xf>
    <xf numFmtId="177" fontId="13" fillId="0" borderId="0" xfId="2" applyNumberFormat="1" applyFont="1" applyAlignment="1">
      <alignment horizontal="left" vertical="center"/>
    </xf>
    <xf numFmtId="177" fontId="13" fillId="0" borderId="0" xfId="2" applyNumberFormat="1" applyFont="1" applyAlignment="1">
      <alignment vertical="center" shrinkToFit="1"/>
    </xf>
    <xf numFmtId="176" fontId="13" fillId="0" borderId="0" xfId="2" applyNumberFormat="1" applyFont="1">
      <alignment vertical="center"/>
    </xf>
    <xf numFmtId="176" fontId="13" fillId="0" borderId="0" xfId="2" applyNumberFormat="1" applyFont="1" applyAlignment="1">
      <alignment vertical="center" shrinkToFit="1"/>
    </xf>
    <xf numFmtId="0" fontId="12" fillId="0" borderId="12" xfId="1" quotePrefix="1" applyFont="1" applyBorder="1" applyAlignment="1" applyProtection="1">
      <alignment horizontal="center" vertical="center"/>
      <protection locked="0"/>
    </xf>
    <xf numFmtId="3" fontId="12" fillId="0" borderId="24" xfId="1" applyNumberFormat="1" applyFont="1" applyBorder="1" applyAlignment="1" applyProtection="1">
      <alignment vertical="center"/>
      <protection locked="0"/>
    </xf>
    <xf numFmtId="3" fontId="12" fillId="0" borderId="9" xfId="1" applyNumberFormat="1" applyFont="1" applyBorder="1" applyAlignment="1">
      <alignment vertical="center" shrinkToFit="1"/>
    </xf>
    <xf numFmtId="0" fontId="16" fillId="0" borderId="12" xfId="1" quotePrefix="1" applyFont="1" applyBorder="1" applyAlignment="1" applyProtection="1">
      <alignment horizontal="left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0" fontId="16" fillId="0" borderId="1" xfId="1" quotePrefix="1" applyFont="1" applyBorder="1" applyAlignment="1" applyProtection="1">
      <alignment horizontal="right" vertical="center"/>
      <protection locked="0"/>
    </xf>
    <xf numFmtId="3" fontId="16" fillId="0" borderId="1" xfId="1" applyNumberFormat="1" applyFont="1" applyBorder="1" applyAlignment="1" applyProtection="1">
      <alignment horizontal="right" vertical="center" shrinkToFit="1"/>
      <protection locked="0"/>
    </xf>
    <xf numFmtId="0" fontId="16" fillId="0" borderId="9" xfId="1" quotePrefix="1" applyFont="1" applyBorder="1" applyAlignment="1" applyProtection="1">
      <alignment horizontal="left" vertical="center"/>
      <protection locked="0"/>
    </xf>
    <xf numFmtId="0" fontId="16" fillId="0" borderId="2" xfId="1" quotePrefix="1" applyFont="1" applyBorder="1" applyAlignment="1" applyProtection="1">
      <alignment horizontal="right" vertical="center"/>
      <protection locked="0"/>
    </xf>
    <xf numFmtId="0" fontId="16" fillId="0" borderId="2" xfId="1" applyFont="1" applyBorder="1" applyAlignment="1" applyProtection="1">
      <alignment vertical="center"/>
      <protection locked="0"/>
    </xf>
    <xf numFmtId="0" fontId="16" fillId="0" borderId="2" xfId="1" applyFont="1" applyBorder="1" applyAlignment="1" applyProtection="1">
      <alignment horizontal="right" vertical="center"/>
      <protection locked="0"/>
    </xf>
    <xf numFmtId="3" fontId="16" fillId="0" borderId="2" xfId="1" applyNumberFormat="1" applyFont="1" applyBorder="1" applyAlignment="1" applyProtection="1">
      <alignment vertical="center" shrinkToFit="1"/>
      <protection locked="0"/>
    </xf>
    <xf numFmtId="0" fontId="16" fillId="0" borderId="9" xfId="1" applyFont="1" applyBorder="1" applyAlignment="1" applyProtection="1">
      <alignment vertical="center"/>
      <protection locked="0"/>
    </xf>
    <xf numFmtId="177" fontId="17" fillId="4" borderId="0" xfId="3" applyNumberFormat="1" applyFont="1" applyFill="1" applyAlignment="1" applyProtection="1">
      <alignment horizontal="right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6" fillId="0" borderId="9" xfId="1" applyFont="1" applyBorder="1" applyAlignment="1">
      <alignment vertical="center"/>
    </xf>
    <xf numFmtId="0" fontId="16" fillId="0" borderId="2" xfId="1" quotePrefix="1" applyFont="1" applyBorder="1" applyAlignment="1" applyProtection="1">
      <alignment horizontal="left" vertical="center"/>
      <protection locked="0"/>
    </xf>
    <xf numFmtId="0" fontId="16" fillId="0" borderId="2" xfId="1" applyFont="1" applyBorder="1" applyAlignment="1" applyProtection="1">
      <alignment horizontal="left" vertical="center"/>
      <protection locked="0"/>
    </xf>
    <xf numFmtId="0" fontId="16" fillId="0" borderId="21" xfId="1" quotePrefix="1" applyFont="1" applyBorder="1" applyAlignment="1" applyProtection="1">
      <alignment horizontal="center" vertical="center"/>
      <protection locked="0"/>
    </xf>
    <xf numFmtId="0" fontId="16" fillId="0" borderId="22" xfId="1" applyFont="1" applyBorder="1" applyAlignment="1" applyProtection="1">
      <alignment horizontal="right" vertical="center"/>
      <protection locked="0"/>
    </xf>
    <xf numFmtId="0" fontId="16" fillId="0" borderId="22" xfId="1" applyFont="1" applyBorder="1" applyAlignment="1" applyProtection="1">
      <alignment vertical="center"/>
      <protection locked="0"/>
    </xf>
    <xf numFmtId="0" fontId="16" fillId="0" borderId="22" xfId="1" applyFont="1" applyBorder="1" applyAlignment="1" applyProtection="1">
      <alignment horizontal="center" vertical="center"/>
      <protection locked="0"/>
    </xf>
    <xf numFmtId="3" fontId="16" fillId="0" borderId="22" xfId="1" applyNumberFormat="1" applyFont="1" applyBorder="1" applyAlignment="1" applyProtection="1">
      <alignment vertical="center" shrinkToFit="1"/>
      <protection locked="0"/>
    </xf>
    <xf numFmtId="0" fontId="16" fillId="0" borderId="0" xfId="1" applyFont="1" applyAlignment="1" applyProtection="1">
      <alignment vertical="center"/>
      <protection locked="0"/>
    </xf>
    <xf numFmtId="0" fontId="16" fillId="0" borderId="0" xfId="1" quotePrefix="1" applyFont="1" applyAlignment="1" applyProtection="1">
      <alignment horizontal="right" vertical="center"/>
      <protection locked="0"/>
    </xf>
    <xf numFmtId="0" fontId="16" fillId="0" borderId="0" xfId="1" applyFont="1" applyAlignment="1" applyProtection="1">
      <alignment horizontal="left" vertical="center"/>
      <protection locked="0"/>
    </xf>
    <xf numFmtId="3" fontId="16" fillId="0" borderId="0" xfId="1" applyNumberFormat="1" applyFont="1" applyAlignment="1" applyProtection="1">
      <alignment vertical="center" shrinkToFit="1"/>
      <protection locked="0"/>
    </xf>
    <xf numFmtId="3" fontId="16" fillId="0" borderId="4" xfId="1" quotePrefix="1" applyNumberFormat="1" applyFont="1" applyBorder="1" applyAlignment="1" applyProtection="1">
      <alignment horizontal="center" vertical="center" shrinkToFit="1"/>
      <protection locked="0"/>
    </xf>
    <xf numFmtId="177" fontId="17" fillId="4" borderId="0" xfId="3" applyNumberFormat="1" applyFont="1" applyFill="1" applyBorder="1" applyAlignment="1" applyProtection="1">
      <alignment horizontal="right"/>
      <protection locked="0"/>
    </xf>
    <xf numFmtId="0" fontId="16" fillId="0" borderId="10" xfId="1" applyFont="1" applyBorder="1" applyAlignment="1" applyProtection="1">
      <alignment vertical="center"/>
      <protection locked="0"/>
    </xf>
    <xf numFmtId="0" fontId="16" fillId="0" borderId="8" xfId="1" applyFont="1" applyBorder="1" applyAlignment="1" applyProtection="1">
      <alignment vertical="center"/>
      <protection locked="0"/>
    </xf>
    <xf numFmtId="0" fontId="16" fillId="0" borderId="8" xfId="1" quotePrefix="1" applyFont="1" applyBorder="1" applyAlignment="1" applyProtection="1">
      <alignment horizontal="right" vertical="center"/>
      <protection locked="0"/>
    </xf>
    <xf numFmtId="3" fontId="16" fillId="0" borderId="8" xfId="1" applyNumberFormat="1" applyFont="1" applyBorder="1" applyAlignment="1" applyProtection="1">
      <alignment vertical="center" shrinkToFit="1"/>
      <protection locked="0"/>
    </xf>
    <xf numFmtId="177" fontId="17" fillId="4" borderId="0" xfId="0" applyNumberFormat="1" applyFont="1" applyFill="1" applyProtection="1">
      <protection locked="0"/>
    </xf>
    <xf numFmtId="177" fontId="17" fillId="4" borderId="0" xfId="3" applyNumberFormat="1" applyFont="1" applyFill="1" applyAlignment="1" applyProtection="1">
      <protection locked="0"/>
    </xf>
    <xf numFmtId="178" fontId="17" fillId="4" borderId="0" xfId="2" applyNumberFormat="1" applyFont="1" applyFill="1">
      <alignment vertical="center"/>
    </xf>
    <xf numFmtId="0" fontId="16" fillId="0" borderId="2" xfId="1" applyFont="1" applyBorder="1" applyAlignment="1" applyProtection="1">
      <alignment vertical="center" shrinkToFit="1"/>
      <protection locked="0"/>
    </xf>
    <xf numFmtId="177" fontId="17" fillId="4" borderId="0" xfId="2" applyNumberFormat="1" applyFont="1" applyFill="1">
      <alignment vertical="center"/>
    </xf>
    <xf numFmtId="3" fontId="16" fillId="0" borderId="9" xfId="1" applyNumberFormat="1" applyFont="1" applyBorder="1" applyAlignment="1" applyProtection="1">
      <alignment vertical="center"/>
      <protection locked="0"/>
    </xf>
    <xf numFmtId="4" fontId="16" fillId="0" borderId="2" xfId="1" applyNumberFormat="1" applyFont="1" applyBorder="1" applyAlignment="1" applyProtection="1">
      <alignment horizontal="center" vertical="center"/>
      <protection locked="0"/>
    </xf>
    <xf numFmtId="0" fontId="16" fillId="0" borderId="11" xfId="1" applyFont="1" applyBorder="1" applyAlignment="1" applyProtection="1">
      <alignment horizontal="center" vertical="center"/>
      <protection locked="0"/>
    </xf>
    <xf numFmtId="0" fontId="16" fillId="0" borderId="16" xfId="1" quotePrefix="1" applyFont="1" applyBorder="1" applyAlignment="1" applyProtection="1">
      <alignment horizontal="center" vertical="center"/>
      <protection locked="0"/>
    </xf>
    <xf numFmtId="0" fontId="16" fillId="0" borderId="4" xfId="1" applyFont="1" applyBorder="1" applyAlignment="1" applyProtection="1">
      <alignment horizontal="right" vertical="center"/>
      <protection locked="0"/>
    </xf>
    <xf numFmtId="0" fontId="16" fillId="0" borderId="4" xfId="1" applyFont="1" applyBorder="1" applyAlignment="1" applyProtection="1">
      <alignment vertical="center"/>
      <protection locked="0"/>
    </xf>
    <xf numFmtId="0" fontId="16" fillId="0" borderId="4" xfId="1" applyFont="1" applyBorder="1" applyAlignment="1" applyProtection="1">
      <alignment horizontal="center" vertical="center"/>
      <protection locked="0"/>
    </xf>
    <xf numFmtId="3" fontId="16" fillId="0" borderId="4" xfId="1" applyNumberFormat="1" applyFont="1" applyBorder="1" applyAlignment="1" applyProtection="1">
      <alignment vertical="center" shrinkToFit="1"/>
      <protection locked="0"/>
    </xf>
    <xf numFmtId="0" fontId="16" fillId="0" borderId="1" xfId="1" applyFont="1" applyBorder="1" applyAlignment="1" applyProtection="1">
      <alignment vertical="center"/>
      <protection locked="0"/>
    </xf>
    <xf numFmtId="3" fontId="16" fillId="0" borderId="1" xfId="1" applyNumberFormat="1" applyFont="1" applyBorder="1" applyAlignment="1" applyProtection="1">
      <alignment vertical="center" shrinkToFit="1"/>
      <protection locked="0"/>
    </xf>
    <xf numFmtId="0" fontId="17" fillId="0" borderId="0" xfId="0" applyFont="1" applyAlignment="1" applyProtection="1">
      <alignment horizontal="right"/>
      <protection locked="0"/>
    </xf>
    <xf numFmtId="0" fontId="16" fillId="0" borderId="24" xfId="1" applyFont="1" applyBorder="1" applyAlignment="1" applyProtection="1">
      <alignment vertical="center"/>
      <protection locked="0"/>
    </xf>
    <xf numFmtId="0" fontId="17" fillId="0" borderId="9" xfId="2" applyFont="1" applyBorder="1">
      <alignment vertical="center"/>
    </xf>
    <xf numFmtId="38" fontId="17" fillId="4" borderId="0" xfId="3" applyFont="1" applyFill="1" applyBorder="1" applyAlignment="1" applyProtection="1">
      <alignment horizontal="right"/>
      <protection locked="0"/>
    </xf>
    <xf numFmtId="3" fontId="16" fillId="0" borderId="24" xfId="1" applyNumberFormat="1" applyFont="1" applyBorder="1" applyAlignment="1" applyProtection="1">
      <alignment vertical="center"/>
      <protection locked="0"/>
    </xf>
    <xf numFmtId="38" fontId="17" fillId="4" borderId="0" xfId="3" applyFont="1" applyFill="1" applyAlignment="1">
      <alignment vertical="center"/>
    </xf>
    <xf numFmtId="0" fontId="16" fillId="0" borderId="12" xfId="1" applyFont="1" applyBorder="1" applyAlignment="1" applyProtection="1">
      <alignment vertical="center" shrinkToFit="1"/>
      <protection locked="0"/>
    </xf>
    <xf numFmtId="0" fontId="16" fillId="0" borderId="14" xfId="1" applyFont="1" applyBorder="1" applyAlignment="1">
      <alignment vertical="center" shrinkToFit="1"/>
    </xf>
    <xf numFmtId="0" fontId="16" fillId="0" borderId="12" xfId="1" applyFont="1" applyBorder="1" applyAlignment="1">
      <alignment vertical="center" wrapText="1"/>
    </xf>
    <xf numFmtId="0" fontId="16" fillId="0" borderId="14" xfId="1" applyFont="1" applyBorder="1" applyAlignment="1">
      <alignment vertical="center" wrapText="1"/>
    </xf>
    <xf numFmtId="0" fontId="16" fillId="0" borderId="9" xfId="1" applyFont="1" applyBorder="1" applyAlignment="1" applyProtection="1">
      <alignment vertical="center" shrinkToFit="1"/>
      <protection locked="0"/>
    </xf>
    <xf numFmtId="0" fontId="16" fillId="0" borderId="9" xfId="1" applyFont="1" applyBorder="1" applyAlignment="1">
      <alignment vertical="center" shrinkToFit="1"/>
    </xf>
    <xf numFmtId="0" fontId="16" fillId="0" borderId="9" xfId="1" applyFont="1" applyBorder="1" applyAlignment="1" applyProtection="1">
      <alignment horizontal="center" vertical="center" shrinkToFit="1"/>
      <protection locked="0"/>
    </xf>
    <xf numFmtId="3" fontId="16" fillId="0" borderId="9" xfId="1" applyNumberFormat="1" applyFont="1" applyBorder="1" applyAlignment="1">
      <alignment vertical="center" shrinkToFit="1"/>
    </xf>
    <xf numFmtId="180" fontId="16" fillId="0" borderId="2" xfId="1" applyNumberFormat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>
      <alignment vertical="center"/>
    </xf>
    <xf numFmtId="179" fontId="16" fillId="0" borderId="1" xfId="1" applyNumberFormat="1" applyFont="1" applyBorder="1" applyAlignment="1">
      <alignment vertical="center" shrinkToFit="1"/>
    </xf>
    <xf numFmtId="0" fontId="16" fillId="0" borderId="9" xfId="1" applyFont="1" applyBorder="1" applyAlignment="1">
      <alignment vertical="center" wrapText="1"/>
    </xf>
    <xf numFmtId="0" fontId="16" fillId="0" borderId="2" xfId="1" applyFont="1" applyBorder="1" applyAlignment="1">
      <alignment vertical="center"/>
    </xf>
    <xf numFmtId="179" fontId="16" fillId="0" borderId="2" xfId="1" applyNumberFormat="1" applyFont="1" applyBorder="1" applyAlignment="1">
      <alignment vertical="center" shrinkToFit="1"/>
    </xf>
    <xf numFmtId="0" fontId="17" fillId="0" borderId="0" xfId="2" applyFont="1">
      <alignment vertical="center"/>
    </xf>
    <xf numFmtId="0" fontId="16" fillId="0" borderId="12" xfId="1" quotePrefix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right" vertical="center"/>
      <protection locked="0"/>
    </xf>
    <xf numFmtId="0" fontId="16" fillId="0" borderId="12" xfId="1" applyFont="1" applyBorder="1" applyAlignment="1" applyProtection="1">
      <alignment vertical="center" wrapText="1"/>
      <protection locked="0"/>
    </xf>
    <xf numFmtId="3" fontId="16" fillId="0" borderId="34" xfId="1" applyNumberFormat="1" applyFont="1" applyBorder="1" applyAlignment="1" applyProtection="1">
      <alignment vertical="center" shrinkToFit="1"/>
      <protection locked="0"/>
    </xf>
    <xf numFmtId="3" fontId="16" fillId="0" borderId="27" xfId="1" applyNumberFormat="1" applyFont="1" applyBorder="1" applyAlignment="1" applyProtection="1">
      <alignment vertical="center" shrinkToFit="1"/>
      <protection locked="0"/>
    </xf>
    <xf numFmtId="177" fontId="17" fillId="2" borderId="0" xfId="3" applyNumberFormat="1" applyFont="1" applyFill="1" applyBorder="1" applyAlignment="1" applyProtection="1">
      <alignment horizontal="right"/>
      <protection locked="0"/>
    </xf>
    <xf numFmtId="3" fontId="16" fillId="0" borderId="3" xfId="1" applyNumberFormat="1" applyFont="1" applyBorder="1" applyAlignment="1" applyProtection="1">
      <alignment vertical="center" shrinkToFit="1"/>
      <protection locked="0"/>
    </xf>
    <xf numFmtId="3" fontId="16" fillId="0" borderId="35" xfId="1" applyNumberFormat="1" applyFont="1" applyBorder="1" applyAlignment="1" applyProtection="1">
      <alignment vertical="center" shrinkToFit="1"/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18" fillId="0" borderId="0" xfId="1" quotePrefix="1" applyFont="1" applyAlignment="1" applyProtection="1">
      <alignment horizontal="left" vertical="center"/>
      <protection locked="0"/>
    </xf>
    <xf numFmtId="3" fontId="16" fillId="0" borderId="0" xfId="1" applyNumberFormat="1" applyFont="1" applyAlignment="1" applyProtection="1">
      <alignment vertical="center"/>
      <protection locked="0"/>
    </xf>
    <xf numFmtId="4" fontId="16" fillId="0" borderId="0" xfId="1" applyNumberFormat="1" applyFont="1" applyAlignment="1" applyProtection="1">
      <alignment horizontal="center" vertical="center"/>
      <protection locked="0"/>
    </xf>
    <xf numFmtId="177" fontId="20" fillId="0" borderId="0" xfId="2" applyNumberFormat="1" applyFont="1">
      <alignment vertical="center"/>
    </xf>
    <xf numFmtId="0" fontId="21" fillId="0" borderId="0" xfId="2" applyFont="1">
      <alignment vertical="center"/>
    </xf>
    <xf numFmtId="0" fontId="16" fillId="0" borderId="0" xfId="1" applyFont="1" applyAlignment="1" applyProtection="1">
      <alignment horizontal="center" vertical="center" wrapText="1"/>
      <protection locked="0"/>
    </xf>
    <xf numFmtId="4" fontId="16" fillId="0" borderId="3" xfId="1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4" fontId="16" fillId="0" borderId="1" xfId="1" applyNumberFormat="1" applyFont="1" applyBorder="1" applyAlignment="1" applyProtection="1">
      <alignment horizontal="center" vertical="center"/>
      <protection locked="0"/>
    </xf>
    <xf numFmtId="0" fontId="16" fillId="0" borderId="13" xfId="1" applyFont="1" applyBorder="1" applyAlignment="1" applyProtection="1">
      <alignment horizontal="center" vertical="center"/>
      <protection locked="0"/>
    </xf>
    <xf numFmtId="0" fontId="16" fillId="0" borderId="11" xfId="1" quotePrefix="1" applyFont="1" applyBorder="1" applyAlignment="1" applyProtection="1">
      <alignment horizontal="center" vertical="center"/>
      <protection locked="0"/>
    </xf>
    <xf numFmtId="0" fontId="16" fillId="0" borderId="0" xfId="1" quotePrefix="1" applyFont="1" applyAlignment="1" applyProtection="1">
      <alignment horizontal="center" vertical="center"/>
      <protection locked="0"/>
    </xf>
    <xf numFmtId="3" fontId="17" fillId="0" borderId="0" xfId="2" applyNumberFormat="1" applyFont="1">
      <alignment vertical="center"/>
    </xf>
    <xf numFmtId="0" fontId="16" fillId="0" borderId="14" xfId="1" applyFont="1" applyBorder="1" applyAlignment="1" applyProtection="1">
      <alignment vertical="center"/>
      <protection locked="0"/>
    </xf>
    <xf numFmtId="0" fontId="16" fillId="0" borderId="3" xfId="1" applyFont="1" applyBorder="1" applyAlignment="1" applyProtection="1">
      <alignment horizontal="right" vertical="center"/>
      <protection locked="0"/>
    </xf>
    <xf numFmtId="0" fontId="16" fillId="0" borderId="3" xfId="1" applyFont="1" applyBorder="1" applyAlignment="1" applyProtection="1">
      <alignment vertical="center"/>
      <protection locked="0"/>
    </xf>
    <xf numFmtId="0" fontId="16" fillId="0" borderId="3" xfId="1" quotePrefix="1" applyFont="1" applyBorder="1" applyAlignment="1" applyProtection="1">
      <alignment horizontal="right" vertical="center"/>
      <protection locked="0"/>
    </xf>
    <xf numFmtId="0" fontId="16" fillId="0" borderId="15" xfId="1" quotePrefix="1" applyFont="1" applyBorder="1" applyAlignment="1" applyProtection="1">
      <alignment horizontal="center" vertical="center"/>
      <protection locked="0"/>
    </xf>
    <xf numFmtId="4" fontId="16" fillId="0" borderId="4" xfId="1" applyNumberFormat="1" applyFont="1" applyBorder="1" applyAlignment="1" applyProtection="1">
      <alignment horizontal="center" vertical="center"/>
      <protection locked="0"/>
    </xf>
    <xf numFmtId="0" fontId="16" fillId="0" borderId="17" xfId="1" applyFont="1" applyBorder="1" applyAlignment="1" applyProtection="1">
      <alignment horizontal="center" vertical="center"/>
      <protection locked="0"/>
    </xf>
    <xf numFmtId="0" fontId="16" fillId="0" borderId="13" xfId="1" quotePrefix="1" applyFont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right" vertical="center"/>
      <protection locked="0"/>
    </xf>
    <xf numFmtId="0" fontId="16" fillId="0" borderId="20" xfId="1" applyFont="1" applyBorder="1" applyAlignment="1" applyProtection="1">
      <alignment horizontal="center" vertical="center"/>
      <protection locked="0"/>
    </xf>
    <xf numFmtId="0" fontId="16" fillId="0" borderId="25" xfId="1" applyFont="1" applyBorder="1" applyAlignment="1" applyProtection="1">
      <alignment vertical="center"/>
      <protection locked="0"/>
    </xf>
    <xf numFmtId="0" fontId="16" fillId="0" borderId="5" xfId="1" applyFont="1" applyBorder="1" applyAlignment="1" applyProtection="1">
      <alignment horizontal="right" vertical="center"/>
      <protection locked="0"/>
    </xf>
    <xf numFmtId="0" fontId="16" fillId="0" borderId="5" xfId="1" applyFont="1" applyBorder="1" applyAlignment="1" applyProtection="1">
      <alignment vertical="center"/>
      <protection locked="0"/>
    </xf>
    <xf numFmtId="0" fontId="16" fillId="0" borderId="5" xfId="1" quotePrefix="1" applyFont="1" applyBorder="1" applyAlignment="1" applyProtection="1">
      <alignment horizontal="right" vertical="center"/>
      <protection locked="0"/>
    </xf>
    <xf numFmtId="3" fontId="16" fillId="0" borderId="5" xfId="1" applyNumberFormat="1" applyFont="1" applyBorder="1" applyAlignment="1" applyProtection="1">
      <alignment vertical="center" shrinkToFit="1"/>
      <protection locked="0"/>
    </xf>
    <xf numFmtId="4" fontId="16" fillId="0" borderId="5" xfId="1" applyNumberFormat="1" applyFont="1" applyBorder="1" applyAlignment="1" applyProtection="1">
      <alignment horizontal="center" vertical="center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3" fontId="16" fillId="0" borderId="19" xfId="1" quotePrefix="1" applyNumberFormat="1" applyFont="1" applyBorder="1" applyAlignment="1" applyProtection="1">
      <alignment horizontal="center" vertical="center" shrinkToFit="1"/>
      <protection locked="0"/>
    </xf>
    <xf numFmtId="3" fontId="16" fillId="0" borderId="6" xfId="1" applyNumberFormat="1" applyFont="1" applyBorder="1" applyAlignment="1" applyProtection="1">
      <alignment horizontal="right" vertical="center" shrinkToFit="1"/>
      <protection locked="0"/>
    </xf>
    <xf numFmtId="3" fontId="16" fillId="0" borderId="7" xfId="1" applyNumberFormat="1" applyFont="1" applyBorder="1" applyAlignment="1" applyProtection="1">
      <alignment vertical="center" shrinkToFit="1"/>
      <protection locked="0"/>
    </xf>
    <xf numFmtId="0" fontId="16" fillId="0" borderId="3" xfId="1" quotePrefix="1" applyFont="1" applyBorder="1" applyAlignment="1" applyProtection="1">
      <alignment horizontal="left" vertical="center"/>
      <protection locked="0"/>
    </xf>
    <xf numFmtId="0" fontId="16" fillId="0" borderId="15" xfId="1" applyFont="1" applyBorder="1" applyAlignment="1" applyProtection="1">
      <alignment horizontal="center" vertical="center"/>
      <protection locked="0"/>
    </xf>
    <xf numFmtId="0" fontId="16" fillId="0" borderId="20" xfId="1" quotePrefix="1" applyFont="1" applyBorder="1" applyAlignment="1" applyProtection="1">
      <alignment horizontal="center" vertical="center"/>
      <protection locked="0"/>
    </xf>
    <xf numFmtId="0" fontId="16" fillId="0" borderId="26" xfId="1" quotePrefix="1" applyFont="1" applyBorder="1" applyAlignment="1" applyProtection="1">
      <alignment horizontal="center" vertical="center"/>
      <protection locked="0"/>
    </xf>
    <xf numFmtId="0" fontId="16" fillId="0" borderId="8" xfId="1" quotePrefix="1" applyFont="1" applyBorder="1" applyAlignment="1" applyProtection="1">
      <alignment horizontal="left" vertical="center"/>
      <protection locked="0"/>
    </xf>
    <xf numFmtId="0" fontId="16" fillId="0" borderId="8" xfId="1" applyFont="1" applyBorder="1" applyAlignment="1" applyProtection="1">
      <alignment horizontal="right" vertical="center"/>
      <protection locked="0"/>
    </xf>
    <xf numFmtId="4" fontId="16" fillId="0" borderId="8" xfId="1" applyNumberFormat="1" applyFont="1" applyBorder="1" applyAlignment="1" applyProtection="1">
      <alignment horizontal="center" vertical="center"/>
      <protection locked="0"/>
    </xf>
    <xf numFmtId="0" fontId="16" fillId="0" borderId="8" xfId="1" applyFont="1" applyBorder="1" applyAlignment="1" applyProtection="1">
      <alignment horizontal="center" vertical="center"/>
      <protection locked="0"/>
    </xf>
    <xf numFmtId="0" fontId="16" fillId="0" borderId="27" xfId="1" applyFont="1" applyBorder="1" applyAlignment="1" applyProtection="1">
      <alignment horizontal="right" vertical="center"/>
      <protection locked="0"/>
    </xf>
    <xf numFmtId="0" fontId="16" fillId="0" borderId="27" xfId="1" quotePrefix="1" applyFont="1" applyBorder="1" applyAlignment="1" applyProtection="1">
      <alignment horizontal="right" vertical="center"/>
      <protection locked="0"/>
    </xf>
    <xf numFmtId="0" fontId="16" fillId="0" borderId="18" xfId="1" applyFont="1" applyBorder="1" applyAlignment="1" applyProtection="1">
      <alignment horizontal="center" vertical="center"/>
      <protection locked="0"/>
    </xf>
    <xf numFmtId="0" fontId="16" fillId="0" borderId="18" xfId="1" quotePrefix="1" applyFont="1" applyBorder="1" applyAlignment="1" applyProtection="1">
      <alignment horizontal="center" vertical="center"/>
      <protection locked="0"/>
    </xf>
    <xf numFmtId="0" fontId="16" fillId="0" borderId="8" xfId="1" quotePrefix="1" applyFont="1" applyBorder="1" applyAlignment="1" applyProtection="1">
      <alignment horizontal="center" vertical="center"/>
      <protection locked="0"/>
    </xf>
    <xf numFmtId="38" fontId="17" fillId="0" borderId="0" xfId="3" applyFont="1" applyFill="1">
      <alignment vertical="center"/>
    </xf>
    <xf numFmtId="38" fontId="21" fillId="0" borderId="0" xfId="3" applyFont="1" applyFill="1">
      <alignment vertical="center"/>
    </xf>
    <xf numFmtId="4" fontId="16" fillId="0" borderId="22" xfId="1" applyNumberFormat="1" applyFont="1" applyBorder="1" applyAlignment="1" applyProtection="1">
      <alignment horizontal="center" vertical="center"/>
      <protection locked="0"/>
    </xf>
    <xf numFmtId="0" fontId="16" fillId="0" borderId="23" xfId="1" applyFont="1" applyBorder="1" applyAlignment="1" applyProtection="1">
      <alignment horizontal="center" vertical="center"/>
      <protection locked="0"/>
    </xf>
    <xf numFmtId="177" fontId="20" fillId="0" borderId="0" xfId="2" applyNumberFormat="1" applyFont="1" applyAlignment="1">
      <alignment horizontal="right" vertical="center"/>
    </xf>
    <xf numFmtId="177" fontId="20" fillId="0" borderId="0" xfId="2" applyNumberFormat="1" applyFont="1" applyAlignment="1">
      <alignment horizontal="left" vertical="center"/>
    </xf>
    <xf numFmtId="38" fontId="20" fillId="0" borderId="0" xfId="3" applyFont="1" applyFill="1">
      <alignment vertical="center"/>
    </xf>
    <xf numFmtId="177" fontId="21" fillId="0" borderId="0" xfId="2" applyNumberFormat="1" applyFont="1">
      <alignment vertical="center"/>
    </xf>
    <xf numFmtId="177" fontId="17" fillId="0" borderId="0" xfId="2" applyNumberFormat="1" applyFont="1">
      <alignment vertical="center"/>
    </xf>
    <xf numFmtId="0" fontId="17" fillId="3" borderId="0" xfId="2" applyFont="1" applyFill="1">
      <alignment vertical="center"/>
    </xf>
    <xf numFmtId="3" fontId="16" fillId="0" borderId="4" xfId="1" applyNumberFormat="1" applyFont="1" applyBorder="1" applyAlignment="1" applyProtection="1">
      <alignment vertical="center"/>
      <protection locked="0"/>
    </xf>
    <xf numFmtId="0" fontId="22" fillId="0" borderId="0" xfId="2" applyFont="1">
      <alignment vertical="center"/>
    </xf>
    <xf numFmtId="38" fontId="22" fillId="0" borderId="0" xfId="3" applyFont="1" applyFill="1">
      <alignment vertical="center"/>
    </xf>
    <xf numFmtId="38" fontId="16" fillId="0" borderId="0" xfId="3" applyFont="1" applyFill="1" applyBorder="1" applyAlignment="1" applyProtection="1">
      <alignment vertical="center" shrinkToFit="1"/>
      <protection locked="0"/>
    </xf>
    <xf numFmtId="38" fontId="17" fillId="0" borderId="0" xfId="3" applyFont="1" applyFill="1" applyBorder="1">
      <alignment vertical="center"/>
    </xf>
    <xf numFmtId="177" fontId="17" fillId="0" borderId="0" xfId="2" applyNumberFormat="1" applyFont="1" applyAlignment="1">
      <alignment vertical="center" shrinkToFit="1"/>
    </xf>
    <xf numFmtId="176" fontId="17" fillId="0" borderId="0" xfId="2" applyNumberFormat="1" applyFont="1">
      <alignment vertical="center"/>
    </xf>
    <xf numFmtId="176" fontId="17" fillId="0" borderId="0" xfId="2" applyNumberFormat="1" applyFont="1" applyAlignment="1">
      <alignment vertical="center" shrinkToFit="1"/>
    </xf>
    <xf numFmtId="178" fontId="17" fillId="0" borderId="0" xfId="2" applyNumberFormat="1" applyFont="1" applyAlignment="1">
      <alignment vertical="center" shrinkToFit="1"/>
    </xf>
    <xf numFmtId="0" fontId="17" fillId="0" borderId="0" xfId="2" applyFont="1" applyAlignment="1">
      <alignment vertical="center" shrinkToFit="1"/>
    </xf>
    <xf numFmtId="3" fontId="16" fillId="0" borderId="29" xfId="1" quotePrefix="1" applyNumberFormat="1" applyFont="1" applyBorder="1" applyAlignment="1" applyProtection="1">
      <alignment horizontal="center" vertical="center" shrinkToFit="1"/>
      <protection locked="0"/>
    </xf>
    <xf numFmtId="3" fontId="16" fillId="0" borderId="3" xfId="1" quotePrefix="1" applyNumberFormat="1" applyFont="1" applyBorder="1" applyAlignment="1" applyProtection="1">
      <alignment horizontal="center" vertical="center" shrinkToFit="1"/>
      <protection locked="0"/>
    </xf>
    <xf numFmtId="4" fontId="16" fillId="0" borderId="29" xfId="1" applyNumberFormat="1" applyFont="1" applyBorder="1" applyAlignment="1" applyProtection="1">
      <alignment horizontal="center" vertical="center"/>
      <protection locked="0"/>
    </xf>
    <xf numFmtId="4" fontId="16" fillId="0" borderId="3" xfId="1" applyNumberFormat="1" applyFont="1" applyBorder="1" applyAlignment="1" applyProtection="1">
      <alignment horizontal="center" vertical="center"/>
      <protection locked="0"/>
    </xf>
    <xf numFmtId="0" fontId="16" fillId="0" borderId="32" xfId="1" applyFont="1" applyBorder="1" applyAlignment="1" applyProtection="1">
      <alignment horizontal="center" vertical="center" wrapText="1"/>
      <protection locked="0"/>
    </xf>
    <xf numFmtId="0" fontId="17" fillId="0" borderId="15" xfId="0" applyFont="1" applyBorder="1" applyAlignment="1">
      <alignment horizontal="center" vertical="center"/>
    </xf>
    <xf numFmtId="0" fontId="16" fillId="0" borderId="28" xfId="1" quotePrefix="1" applyFont="1" applyBorder="1" applyAlignment="1" applyProtection="1">
      <alignment horizontal="center" vertical="center"/>
      <protection locked="0"/>
    </xf>
    <xf numFmtId="0" fontId="16" fillId="0" borderId="14" xfId="1" quotePrefix="1" applyFont="1" applyBorder="1" applyAlignment="1" applyProtection="1">
      <alignment horizontal="center" vertical="center"/>
      <protection locked="0"/>
    </xf>
    <xf numFmtId="0" fontId="16" fillId="0" borderId="29" xfId="1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>
      <alignment horizontal="center" vertical="center"/>
    </xf>
    <xf numFmtId="0" fontId="16" fillId="0" borderId="29" xfId="1" applyFont="1" applyBorder="1" applyAlignment="1" applyProtection="1">
      <alignment horizontal="center" vertical="center"/>
      <protection locked="0"/>
    </xf>
    <xf numFmtId="0" fontId="16" fillId="0" borderId="3" xfId="1" applyFont="1" applyBorder="1" applyAlignment="1" applyProtection="1">
      <alignment horizontal="center" vertical="center"/>
      <protection locked="0"/>
    </xf>
    <xf numFmtId="3" fontId="16" fillId="0" borderId="29" xfId="1" applyNumberFormat="1" applyFont="1" applyBorder="1" applyAlignment="1" applyProtection="1">
      <alignment horizontal="center" vertical="center" shrinkToFit="1"/>
      <protection locked="0"/>
    </xf>
    <xf numFmtId="3" fontId="16" fillId="0" borderId="3" xfId="1" applyNumberFormat="1" applyFont="1" applyBorder="1" applyAlignment="1" applyProtection="1">
      <alignment horizontal="center" vertical="center" shrinkToFit="1"/>
      <protection locked="0"/>
    </xf>
    <xf numFmtId="3" fontId="16" fillId="0" borderId="30" xfId="1" quotePrefix="1" applyNumberFormat="1" applyFont="1" applyBorder="1" applyAlignment="1" applyProtection="1">
      <alignment horizontal="center" vertical="center" shrinkToFit="1"/>
      <protection locked="0"/>
    </xf>
    <xf numFmtId="3" fontId="16" fillId="0" borderId="33" xfId="1" quotePrefix="1" applyNumberFormat="1" applyFont="1" applyBorder="1" applyAlignment="1" applyProtection="1">
      <alignment horizontal="center" vertical="center" shrinkToFit="1"/>
      <protection locked="0"/>
    </xf>
    <xf numFmtId="3" fontId="16" fillId="0" borderId="31" xfId="1" quotePrefix="1" applyNumberFormat="1" applyFont="1" applyBorder="1" applyAlignment="1" applyProtection="1">
      <alignment horizontal="center" vertical="center" shrinkToFit="1"/>
      <protection locked="0"/>
    </xf>
    <xf numFmtId="0" fontId="12" fillId="0" borderId="32" xfId="1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>
      <alignment horizontal="center" vertical="center"/>
    </xf>
    <xf numFmtId="0" fontId="12" fillId="0" borderId="28" xfId="1" quotePrefix="1" applyFont="1" applyBorder="1" applyAlignment="1" applyProtection="1">
      <alignment horizontal="center" vertical="center"/>
      <protection locked="0"/>
    </xf>
    <xf numFmtId="0" fontId="12" fillId="0" borderId="14" xfId="1" quotePrefix="1" applyFont="1" applyBorder="1" applyAlignment="1" applyProtection="1">
      <alignment horizontal="center" vertical="center"/>
      <protection locked="0"/>
    </xf>
    <xf numFmtId="0" fontId="12" fillId="0" borderId="29" xfId="1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/>
    </xf>
    <xf numFmtId="0" fontId="12" fillId="0" borderId="29" xfId="1" applyFont="1" applyBorder="1" applyAlignment="1" applyProtection="1">
      <alignment horizontal="center" vertical="center"/>
      <protection locked="0"/>
    </xf>
    <xf numFmtId="0" fontId="12" fillId="0" borderId="3" xfId="1" applyFont="1" applyBorder="1" applyAlignment="1" applyProtection="1">
      <alignment horizontal="center" vertical="center"/>
      <protection locked="0"/>
    </xf>
    <xf numFmtId="3" fontId="12" fillId="0" borderId="29" xfId="1" applyNumberFormat="1" applyFont="1" applyBorder="1" applyAlignment="1" applyProtection="1">
      <alignment horizontal="center" vertical="center" shrinkToFit="1"/>
      <protection locked="0"/>
    </xf>
    <xf numFmtId="3" fontId="12" fillId="0" borderId="3" xfId="1" applyNumberFormat="1" applyFont="1" applyBorder="1" applyAlignment="1" applyProtection="1">
      <alignment horizontal="center" vertical="center" shrinkToFit="1"/>
      <protection locked="0"/>
    </xf>
    <xf numFmtId="3" fontId="12" fillId="0" borderId="30" xfId="1" quotePrefix="1" applyNumberFormat="1" applyFont="1" applyBorder="1" applyAlignment="1" applyProtection="1">
      <alignment horizontal="center" vertical="center" shrinkToFit="1"/>
      <protection locked="0"/>
    </xf>
    <xf numFmtId="3" fontId="12" fillId="0" borderId="33" xfId="1" quotePrefix="1" applyNumberFormat="1" applyFont="1" applyBorder="1" applyAlignment="1" applyProtection="1">
      <alignment horizontal="center" vertical="center" shrinkToFit="1"/>
      <protection locked="0"/>
    </xf>
    <xf numFmtId="3" fontId="12" fillId="0" borderId="29" xfId="1" quotePrefix="1" applyNumberFormat="1" applyFont="1" applyBorder="1" applyAlignment="1" applyProtection="1">
      <alignment horizontal="center" vertical="center" shrinkToFit="1"/>
      <protection locked="0"/>
    </xf>
    <xf numFmtId="3" fontId="12" fillId="0" borderId="3" xfId="1" quotePrefix="1" applyNumberFormat="1" applyFont="1" applyBorder="1" applyAlignment="1" applyProtection="1">
      <alignment horizontal="center" vertical="center" shrinkToFit="1"/>
      <protection locked="0"/>
    </xf>
    <xf numFmtId="4" fontId="12" fillId="0" borderId="29" xfId="1" applyNumberFormat="1" applyFont="1" applyBorder="1" applyAlignment="1" applyProtection="1">
      <alignment horizontal="center" vertical="center"/>
      <protection locked="0"/>
    </xf>
    <xf numFmtId="4" fontId="12" fillId="0" borderId="3" xfId="1" applyNumberFormat="1" applyFont="1" applyBorder="1" applyAlignment="1" applyProtection="1">
      <alignment horizontal="center" vertical="center"/>
      <protection locked="0"/>
    </xf>
    <xf numFmtId="3" fontId="12" fillId="0" borderId="31" xfId="1" quotePrefix="1" applyNumberFormat="1" applyFont="1" applyBorder="1" applyAlignment="1" applyProtection="1">
      <alignment horizontal="center" vertical="center" shrinkToFit="1"/>
      <protection locked="0"/>
    </xf>
    <xf numFmtId="3" fontId="7" fillId="0" borderId="29" xfId="1" quotePrefix="1" applyNumberFormat="1" applyFont="1" applyBorder="1" applyAlignment="1" applyProtection="1">
      <alignment horizontal="center" vertical="center" shrinkToFit="1"/>
      <protection locked="0"/>
    </xf>
    <xf numFmtId="3" fontId="7" fillId="0" borderId="3" xfId="1" quotePrefix="1" applyNumberFormat="1" applyFont="1" applyBorder="1" applyAlignment="1" applyProtection="1">
      <alignment horizontal="center" vertical="center" shrinkToFit="1"/>
      <protection locked="0"/>
    </xf>
    <xf numFmtId="4" fontId="7" fillId="0" borderId="29" xfId="1" applyNumberFormat="1" applyFont="1" applyBorder="1" applyAlignment="1" applyProtection="1">
      <alignment horizontal="center" vertical="center"/>
      <protection locked="0"/>
    </xf>
    <xf numFmtId="4" fontId="7" fillId="0" borderId="3" xfId="1" applyNumberFormat="1" applyFont="1" applyBorder="1" applyAlignment="1" applyProtection="1">
      <alignment horizontal="center" vertical="center"/>
      <protection locked="0"/>
    </xf>
    <xf numFmtId="0" fontId="7" fillId="0" borderId="32" xfId="1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>
      <alignment horizontal="center" vertical="center"/>
    </xf>
    <xf numFmtId="0" fontId="7" fillId="0" borderId="28" xfId="1" quotePrefix="1" applyFont="1" applyBorder="1" applyAlignment="1" applyProtection="1">
      <alignment horizontal="center" vertical="center"/>
      <protection locked="0"/>
    </xf>
    <xf numFmtId="0" fontId="7" fillId="0" borderId="14" xfId="1" quotePrefix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3" fontId="7" fillId="0" borderId="29" xfId="1" applyNumberFormat="1" applyFont="1" applyBorder="1" applyAlignment="1" applyProtection="1">
      <alignment horizontal="center" vertical="center" shrinkToFit="1"/>
      <protection locked="0"/>
    </xf>
    <xf numFmtId="3" fontId="7" fillId="0" borderId="3" xfId="1" applyNumberFormat="1" applyFont="1" applyBorder="1" applyAlignment="1" applyProtection="1">
      <alignment horizontal="center" vertical="center" shrinkToFit="1"/>
      <protection locked="0"/>
    </xf>
    <xf numFmtId="3" fontId="7" fillId="0" borderId="30" xfId="1" quotePrefix="1" applyNumberFormat="1" applyFont="1" applyBorder="1" applyAlignment="1" applyProtection="1">
      <alignment horizontal="center" vertical="center" shrinkToFit="1"/>
      <protection locked="0"/>
    </xf>
    <xf numFmtId="3" fontId="7" fillId="0" borderId="33" xfId="1" quotePrefix="1" applyNumberFormat="1" applyFont="1" applyBorder="1" applyAlignment="1" applyProtection="1">
      <alignment horizontal="center" vertical="center" shrinkToFit="1"/>
      <protection locked="0"/>
    </xf>
    <xf numFmtId="3" fontId="7" fillId="0" borderId="31" xfId="1" quotePrefix="1" applyNumberFormat="1" applyFont="1" applyBorder="1" applyAlignment="1" applyProtection="1">
      <alignment horizontal="center" vertical="center" shrinkToFit="1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3" fontId="3" fillId="0" borderId="29" xfId="1" applyNumberFormat="1" applyFont="1" applyBorder="1" applyAlignment="1" applyProtection="1">
      <alignment horizontal="center" vertical="center" shrinkToFit="1"/>
      <protection locked="0"/>
    </xf>
    <xf numFmtId="3" fontId="3" fillId="0" borderId="3" xfId="1" applyNumberFormat="1" applyFont="1" applyBorder="1" applyAlignment="1" applyProtection="1">
      <alignment horizontal="center" vertical="center" shrinkToFit="1"/>
      <protection locked="0"/>
    </xf>
    <xf numFmtId="0" fontId="3" fillId="0" borderId="29" xfId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4" fontId="3" fillId="0" borderId="29" xfId="1" applyNumberFormat="1" applyFont="1" applyBorder="1" applyAlignment="1" applyProtection="1">
      <alignment horizontal="center" vertical="center"/>
      <protection locked="0"/>
    </xf>
    <xf numFmtId="4" fontId="3" fillId="0" borderId="3" xfId="1" applyNumberFormat="1" applyFont="1" applyBorder="1" applyAlignment="1" applyProtection="1">
      <alignment horizontal="center" vertical="center"/>
      <protection locked="0"/>
    </xf>
    <xf numFmtId="3" fontId="3" fillId="0" borderId="30" xfId="1" quotePrefix="1" applyNumberFormat="1" applyFont="1" applyBorder="1" applyAlignment="1" applyProtection="1">
      <alignment horizontal="center" vertical="center" shrinkToFit="1"/>
      <protection locked="0"/>
    </xf>
    <xf numFmtId="3" fontId="3" fillId="0" borderId="31" xfId="1" quotePrefix="1" applyNumberFormat="1" applyFont="1" applyBorder="1" applyAlignment="1" applyProtection="1">
      <alignment horizontal="center" vertical="center" shrinkToFit="1"/>
      <protection locked="0"/>
    </xf>
    <xf numFmtId="0" fontId="3" fillId="0" borderId="32" xfId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/>
    </xf>
    <xf numFmtId="0" fontId="3" fillId="0" borderId="28" xfId="1" quotePrefix="1" applyFont="1" applyBorder="1" applyAlignment="1" applyProtection="1">
      <alignment horizontal="center" vertical="center"/>
      <protection locked="0"/>
    </xf>
    <xf numFmtId="0" fontId="3" fillId="0" borderId="14" xfId="1" quotePrefix="1" applyFont="1" applyBorder="1" applyAlignment="1" applyProtection="1">
      <alignment horizontal="center" vertical="center"/>
      <protection locked="0"/>
    </xf>
    <xf numFmtId="3" fontId="3" fillId="0" borderId="33" xfId="1" quotePrefix="1" applyNumberFormat="1" applyFont="1" applyBorder="1" applyAlignment="1" applyProtection="1">
      <alignment horizontal="center" vertical="center" shrinkToFit="1"/>
      <protection locked="0"/>
    </xf>
  </cellXfs>
  <cellStyles count="4">
    <cellStyle name="桁区切り" xfId="3" builtinId="6"/>
    <cellStyle name="標準" xfId="0" builtinId="0"/>
    <cellStyle name="標準_13-00-02-事業   年報17" xfId="1" xr:uid="{00000000-0005-0000-0000-000002000000}"/>
    <cellStyle name="標準_Book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mbria"/>
        <a:ea typeface="ＭＳ ゴシック"/>
        <a:cs typeface=""/>
      </a:majorFont>
      <a:minorFont>
        <a:latin typeface="AR P明朝体L"/>
        <a:ea typeface="ＭＳ Ｐ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02C98-45A4-4BAC-BD07-9AA670F1A06A}">
  <dimension ref="A1:R580"/>
  <sheetViews>
    <sheetView tabSelected="1" view="pageBreakPreview" zoomScale="110" zoomScaleNormal="180" zoomScaleSheetLayoutView="110" workbookViewId="0">
      <pane xSplit="10" ySplit="1" topLeftCell="K398" activePane="bottomRight" state="frozen"/>
      <selection pane="topRight" activeCell="K1" sqref="K1"/>
      <selection pane="bottomLeft" activeCell="A2" sqref="A2"/>
      <selection pane="bottomRight" activeCell="G570" sqref="G570"/>
    </sheetView>
  </sheetViews>
  <sheetFormatPr defaultColWidth="9" defaultRowHeight="14.25"/>
  <cols>
    <col min="1" max="1" width="10.875" style="384" customWidth="1"/>
    <col min="2" max="2" width="4.5" style="384" customWidth="1"/>
    <col min="3" max="3" width="15" style="384" customWidth="1"/>
    <col min="4" max="4" width="8.875" style="384" customWidth="1"/>
    <col min="5" max="5" width="12.75" style="459" customWidth="1"/>
    <col min="6" max="6" width="11.875" style="459" customWidth="1"/>
    <col min="7" max="8" width="12.75" style="459" customWidth="1"/>
    <col min="9" max="9" width="5" style="384" customWidth="1"/>
    <col min="10" max="11" width="4.25" style="384" customWidth="1"/>
    <col min="12" max="12" width="17.125" style="397" bestFit="1" customWidth="1"/>
    <col min="13" max="13" width="9.75" style="384" bestFit="1" customWidth="1"/>
    <col min="14" max="15" width="13.875" style="384" bestFit="1" customWidth="1"/>
    <col min="16" max="16" width="15.5" style="398" bestFit="1" customWidth="1"/>
    <col min="17" max="17" width="11.375" style="384" bestFit="1" customWidth="1"/>
    <col min="18" max="18" width="13.625" style="384" bestFit="1" customWidth="1"/>
    <col min="19" max="16384" width="9" style="384"/>
  </cols>
  <sheetData>
    <row r="1" spans="1:13" ht="27" customHeight="1" thickBot="1">
      <c r="A1" s="394" t="s">
        <v>1775</v>
      </c>
      <c r="B1" s="393"/>
      <c r="C1" s="339"/>
      <c r="D1" s="393"/>
      <c r="E1" s="342"/>
      <c r="F1" s="395"/>
      <c r="G1" s="342"/>
      <c r="H1" s="342"/>
      <c r="I1" s="396"/>
      <c r="J1" s="339"/>
      <c r="K1" s="339"/>
    </row>
    <row r="2" spans="1:13">
      <c r="A2" s="466" t="s">
        <v>26</v>
      </c>
      <c r="B2" s="468" t="s">
        <v>311</v>
      </c>
      <c r="C2" s="470" t="s">
        <v>27</v>
      </c>
      <c r="D2" s="468" t="s">
        <v>312</v>
      </c>
      <c r="E2" s="472" t="s">
        <v>28</v>
      </c>
      <c r="F2" s="474" t="s">
        <v>29</v>
      </c>
      <c r="G2" s="476"/>
      <c r="H2" s="460" t="s">
        <v>174</v>
      </c>
      <c r="I2" s="462" t="s">
        <v>30</v>
      </c>
      <c r="J2" s="464" t="s">
        <v>313</v>
      </c>
      <c r="K2" s="399"/>
    </row>
    <row r="3" spans="1:13">
      <c r="A3" s="467"/>
      <c r="B3" s="469"/>
      <c r="C3" s="471"/>
      <c r="D3" s="469"/>
      <c r="E3" s="473"/>
      <c r="F3" s="343" t="s">
        <v>176</v>
      </c>
      <c r="G3" s="343" t="s">
        <v>305</v>
      </c>
      <c r="H3" s="461"/>
      <c r="I3" s="463"/>
      <c r="J3" s="465"/>
      <c r="K3" s="401"/>
    </row>
    <row r="4" spans="1:13" ht="14.25" customHeight="1">
      <c r="A4" s="319"/>
      <c r="B4" s="320"/>
      <c r="C4" s="320"/>
      <c r="D4" s="321" t="s">
        <v>177</v>
      </c>
      <c r="E4" s="322" t="s">
        <v>178</v>
      </c>
      <c r="F4" s="322" t="s">
        <v>172</v>
      </c>
      <c r="G4" s="322" t="s">
        <v>178</v>
      </c>
      <c r="H4" s="322" t="s">
        <v>178</v>
      </c>
      <c r="I4" s="402" t="s">
        <v>31</v>
      </c>
      <c r="J4" s="403" t="s">
        <v>175</v>
      </c>
      <c r="K4" s="393"/>
    </row>
    <row r="5" spans="1:13" ht="14.25" customHeight="1">
      <c r="A5" s="323" t="s">
        <v>179</v>
      </c>
      <c r="B5" s="324" t="s">
        <v>356</v>
      </c>
      <c r="C5" s="332" t="s">
        <v>180</v>
      </c>
      <c r="D5" s="324" t="s">
        <v>357</v>
      </c>
      <c r="E5" s="327">
        <v>40000000</v>
      </c>
      <c r="F5" s="327">
        <v>0</v>
      </c>
      <c r="G5" s="327">
        <v>40000000</v>
      </c>
      <c r="H5" s="327">
        <v>0</v>
      </c>
      <c r="I5" s="355">
        <v>7.8</v>
      </c>
      <c r="J5" s="404" t="s">
        <v>358</v>
      </c>
      <c r="K5" s="405"/>
      <c r="M5" s="406"/>
    </row>
    <row r="6" spans="1:13" ht="14.25" customHeight="1">
      <c r="A6" s="328" t="s">
        <v>182</v>
      </c>
      <c r="B6" s="326" t="s">
        <v>183</v>
      </c>
      <c r="C6" s="332" t="s">
        <v>184</v>
      </c>
      <c r="D6" s="324" t="s">
        <v>359</v>
      </c>
      <c r="E6" s="327">
        <v>10000000</v>
      </c>
      <c r="F6" s="327">
        <v>0</v>
      </c>
      <c r="G6" s="327">
        <v>10000000</v>
      </c>
      <c r="H6" s="327">
        <v>0</v>
      </c>
      <c r="I6" s="355">
        <v>7.8</v>
      </c>
      <c r="J6" s="404" t="s">
        <v>181</v>
      </c>
      <c r="K6" s="405"/>
    </row>
    <row r="7" spans="1:13" ht="14.25" customHeight="1">
      <c r="A7" s="328"/>
      <c r="B7" s="326" t="s">
        <v>183</v>
      </c>
      <c r="C7" s="325" t="s">
        <v>185</v>
      </c>
      <c r="D7" s="324" t="s">
        <v>360</v>
      </c>
      <c r="E7" s="327">
        <v>50000000</v>
      </c>
      <c r="F7" s="327">
        <v>0</v>
      </c>
      <c r="G7" s="327">
        <v>50000000</v>
      </c>
      <c r="H7" s="327">
        <v>0</v>
      </c>
      <c r="I7" s="355">
        <v>6.5</v>
      </c>
      <c r="J7" s="404" t="s">
        <v>186</v>
      </c>
      <c r="K7" s="405"/>
      <c r="M7" s="406"/>
    </row>
    <row r="8" spans="1:13" ht="14.25" customHeight="1">
      <c r="A8" s="328"/>
      <c r="B8" s="326" t="s">
        <v>187</v>
      </c>
      <c r="C8" s="325" t="s">
        <v>185</v>
      </c>
      <c r="D8" s="324" t="s">
        <v>361</v>
      </c>
      <c r="E8" s="327">
        <v>150000000</v>
      </c>
      <c r="F8" s="327">
        <v>0</v>
      </c>
      <c r="G8" s="327">
        <v>150000000</v>
      </c>
      <c r="H8" s="327">
        <v>0</v>
      </c>
      <c r="I8" s="355">
        <v>6.5</v>
      </c>
      <c r="J8" s="404" t="s">
        <v>188</v>
      </c>
      <c r="K8" s="405"/>
    </row>
    <row r="9" spans="1:13" ht="14.25" customHeight="1">
      <c r="A9" s="328"/>
      <c r="B9" s="326" t="s">
        <v>187</v>
      </c>
      <c r="C9" s="325" t="s">
        <v>189</v>
      </c>
      <c r="D9" s="324" t="s">
        <v>362</v>
      </c>
      <c r="E9" s="327">
        <v>200000000</v>
      </c>
      <c r="F9" s="327">
        <v>0</v>
      </c>
      <c r="G9" s="327">
        <v>200000000</v>
      </c>
      <c r="H9" s="327">
        <v>0</v>
      </c>
      <c r="I9" s="355">
        <v>7.6</v>
      </c>
      <c r="J9" s="404" t="s">
        <v>190</v>
      </c>
      <c r="K9" s="405"/>
    </row>
    <row r="10" spans="1:13" ht="14.25" customHeight="1">
      <c r="A10" s="328"/>
      <c r="B10" s="326" t="s">
        <v>191</v>
      </c>
      <c r="C10" s="325" t="s">
        <v>189</v>
      </c>
      <c r="D10" s="324" t="s">
        <v>363</v>
      </c>
      <c r="E10" s="327">
        <v>200000000</v>
      </c>
      <c r="F10" s="327">
        <v>0</v>
      </c>
      <c r="G10" s="327">
        <v>200000000</v>
      </c>
      <c r="H10" s="327">
        <v>0</v>
      </c>
      <c r="I10" s="355">
        <v>7.6</v>
      </c>
      <c r="J10" s="404" t="s">
        <v>192</v>
      </c>
      <c r="K10" s="405"/>
    </row>
    <row r="11" spans="1:13" ht="14.25" customHeight="1">
      <c r="A11" s="328"/>
      <c r="B11" s="326" t="s">
        <v>191</v>
      </c>
      <c r="C11" s="325" t="s">
        <v>193</v>
      </c>
      <c r="D11" s="324" t="s">
        <v>364</v>
      </c>
      <c r="E11" s="327">
        <v>200000000</v>
      </c>
      <c r="F11" s="327">
        <v>0</v>
      </c>
      <c r="G11" s="327">
        <v>200000000</v>
      </c>
      <c r="H11" s="327">
        <v>0</v>
      </c>
      <c r="I11" s="355">
        <v>6.5</v>
      </c>
      <c r="J11" s="404" t="s">
        <v>194</v>
      </c>
      <c r="K11" s="405"/>
    </row>
    <row r="12" spans="1:13" ht="14.25" customHeight="1">
      <c r="A12" s="328"/>
      <c r="B12" s="326" t="s">
        <v>195</v>
      </c>
      <c r="C12" s="325" t="s">
        <v>189</v>
      </c>
      <c r="D12" s="324" t="s">
        <v>365</v>
      </c>
      <c r="E12" s="327">
        <v>250000000</v>
      </c>
      <c r="F12" s="327">
        <v>0</v>
      </c>
      <c r="G12" s="327">
        <v>250000000</v>
      </c>
      <c r="H12" s="327">
        <v>0</v>
      </c>
      <c r="I12" s="355">
        <v>7.6</v>
      </c>
      <c r="J12" s="404" t="s">
        <v>196</v>
      </c>
      <c r="K12" s="405"/>
    </row>
    <row r="13" spans="1:13" ht="14.25" customHeight="1">
      <c r="A13" s="328"/>
      <c r="B13" s="326" t="s">
        <v>195</v>
      </c>
      <c r="C13" s="332" t="s">
        <v>180</v>
      </c>
      <c r="D13" s="324" t="s">
        <v>366</v>
      </c>
      <c r="E13" s="327">
        <v>100000000</v>
      </c>
      <c r="F13" s="327">
        <v>0</v>
      </c>
      <c r="G13" s="327">
        <v>100000000</v>
      </c>
      <c r="H13" s="327">
        <v>0</v>
      </c>
      <c r="I13" s="355">
        <v>7.3</v>
      </c>
      <c r="J13" s="404" t="s">
        <v>197</v>
      </c>
      <c r="K13" s="405"/>
    </row>
    <row r="14" spans="1:13" ht="14.25" customHeight="1">
      <c r="A14" s="328"/>
      <c r="B14" s="326" t="s">
        <v>195</v>
      </c>
      <c r="C14" s="325" t="s">
        <v>193</v>
      </c>
      <c r="D14" s="324" t="s">
        <v>367</v>
      </c>
      <c r="E14" s="327">
        <v>250000000</v>
      </c>
      <c r="F14" s="327">
        <v>0</v>
      </c>
      <c r="G14" s="327">
        <v>250000000</v>
      </c>
      <c r="H14" s="327">
        <v>0</v>
      </c>
      <c r="I14" s="355">
        <v>6.5</v>
      </c>
      <c r="J14" s="404" t="s">
        <v>198</v>
      </c>
      <c r="K14" s="405"/>
    </row>
    <row r="15" spans="1:13" ht="14.25" customHeight="1">
      <c r="A15" s="328"/>
      <c r="B15" s="326" t="s">
        <v>199</v>
      </c>
      <c r="C15" s="325" t="s">
        <v>189</v>
      </c>
      <c r="D15" s="324" t="s">
        <v>368</v>
      </c>
      <c r="E15" s="327">
        <v>100000000</v>
      </c>
      <c r="F15" s="327">
        <v>0</v>
      </c>
      <c r="G15" s="327">
        <v>100000000</v>
      </c>
      <c r="H15" s="327">
        <v>0</v>
      </c>
      <c r="I15" s="355">
        <v>7.6</v>
      </c>
      <c r="J15" s="404" t="s">
        <v>186</v>
      </c>
      <c r="K15" s="405"/>
    </row>
    <row r="16" spans="1:13" ht="14.25" customHeight="1">
      <c r="A16" s="328"/>
      <c r="B16" s="326" t="s">
        <v>199</v>
      </c>
      <c r="C16" s="325" t="s">
        <v>189</v>
      </c>
      <c r="D16" s="324" t="s">
        <v>369</v>
      </c>
      <c r="E16" s="327">
        <v>170000000</v>
      </c>
      <c r="F16" s="327">
        <v>0</v>
      </c>
      <c r="G16" s="327">
        <v>170000000</v>
      </c>
      <c r="H16" s="327">
        <v>0</v>
      </c>
      <c r="I16" s="355">
        <v>7.6</v>
      </c>
      <c r="J16" s="404" t="s">
        <v>186</v>
      </c>
      <c r="K16" s="405"/>
    </row>
    <row r="17" spans="1:16" s="397" customFormat="1" ht="14.25" customHeight="1">
      <c r="A17" s="328"/>
      <c r="B17" s="326" t="s">
        <v>199</v>
      </c>
      <c r="C17" s="332" t="s">
        <v>180</v>
      </c>
      <c r="D17" s="324" t="s">
        <v>370</v>
      </c>
      <c r="E17" s="327">
        <v>60000000</v>
      </c>
      <c r="F17" s="327">
        <v>0</v>
      </c>
      <c r="G17" s="327">
        <v>60000000</v>
      </c>
      <c r="H17" s="327">
        <v>0</v>
      </c>
      <c r="I17" s="355">
        <v>7.3</v>
      </c>
      <c r="J17" s="404" t="s">
        <v>200</v>
      </c>
      <c r="K17" s="405"/>
      <c r="M17" s="384"/>
      <c r="N17" s="384"/>
      <c r="O17" s="384"/>
      <c r="P17" s="398"/>
    </row>
    <row r="18" spans="1:16" s="397" customFormat="1" ht="14.25" customHeight="1">
      <c r="A18" s="328"/>
      <c r="B18" s="326" t="s">
        <v>199</v>
      </c>
      <c r="C18" s="325" t="s">
        <v>193</v>
      </c>
      <c r="D18" s="324" t="s">
        <v>371</v>
      </c>
      <c r="E18" s="327">
        <v>270000000</v>
      </c>
      <c r="F18" s="327">
        <v>0</v>
      </c>
      <c r="G18" s="327">
        <v>270000000</v>
      </c>
      <c r="H18" s="327">
        <v>0</v>
      </c>
      <c r="I18" s="355">
        <v>6.5</v>
      </c>
      <c r="J18" s="404" t="s">
        <v>201</v>
      </c>
      <c r="K18" s="405"/>
      <c r="M18" s="384"/>
      <c r="N18" s="384"/>
      <c r="O18" s="384"/>
      <c r="P18" s="398"/>
    </row>
    <row r="19" spans="1:16" s="397" customFormat="1" ht="14.25" customHeight="1">
      <c r="A19" s="328"/>
      <c r="B19" s="326" t="s">
        <v>202</v>
      </c>
      <c r="C19" s="325" t="s">
        <v>189</v>
      </c>
      <c r="D19" s="324" t="s">
        <v>372</v>
      </c>
      <c r="E19" s="327">
        <v>160000000</v>
      </c>
      <c r="F19" s="327">
        <v>0</v>
      </c>
      <c r="G19" s="327">
        <v>160000000</v>
      </c>
      <c r="H19" s="327">
        <v>0</v>
      </c>
      <c r="I19" s="355">
        <v>7.4</v>
      </c>
      <c r="J19" s="404" t="s">
        <v>203</v>
      </c>
      <c r="K19" s="405"/>
      <c r="M19" s="384"/>
      <c r="N19" s="384"/>
      <c r="O19" s="384"/>
      <c r="P19" s="398"/>
    </row>
    <row r="20" spans="1:16" s="397" customFormat="1" ht="14.25" customHeight="1">
      <c r="A20" s="328"/>
      <c r="B20" s="326" t="s">
        <v>202</v>
      </c>
      <c r="C20" s="325" t="s">
        <v>193</v>
      </c>
      <c r="D20" s="324" t="s">
        <v>373</v>
      </c>
      <c r="E20" s="327">
        <v>200000000</v>
      </c>
      <c r="F20" s="327">
        <v>0</v>
      </c>
      <c r="G20" s="327">
        <v>200000000</v>
      </c>
      <c r="H20" s="327">
        <v>0</v>
      </c>
      <c r="I20" s="355">
        <v>6.5</v>
      </c>
      <c r="J20" s="404" t="s">
        <v>204</v>
      </c>
      <c r="K20" s="405"/>
      <c r="M20" s="384"/>
      <c r="N20" s="384"/>
      <c r="O20" s="384"/>
      <c r="P20" s="398"/>
    </row>
    <row r="21" spans="1:16" s="397" customFormat="1" ht="14.25" customHeight="1">
      <c r="A21" s="328"/>
      <c r="B21" s="326" t="s">
        <v>205</v>
      </c>
      <c r="C21" s="332" t="s">
        <v>180</v>
      </c>
      <c r="D21" s="324" t="s">
        <v>374</v>
      </c>
      <c r="E21" s="327">
        <v>30000000</v>
      </c>
      <c r="F21" s="327">
        <v>0</v>
      </c>
      <c r="G21" s="327">
        <v>30000000</v>
      </c>
      <c r="H21" s="327">
        <v>0</v>
      </c>
      <c r="I21" s="355">
        <v>7.1</v>
      </c>
      <c r="J21" s="404" t="s">
        <v>206</v>
      </c>
      <c r="K21" s="405"/>
      <c r="M21" s="384"/>
      <c r="N21" s="384"/>
      <c r="O21" s="384"/>
      <c r="P21" s="398"/>
    </row>
    <row r="22" spans="1:16" s="397" customFormat="1" ht="14.25" customHeight="1">
      <c r="A22" s="328"/>
      <c r="B22" s="326" t="s">
        <v>205</v>
      </c>
      <c r="C22" s="332" t="s">
        <v>184</v>
      </c>
      <c r="D22" s="324" t="s">
        <v>375</v>
      </c>
      <c r="E22" s="327">
        <v>50000000</v>
      </c>
      <c r="F22" s="327">
        <v>0</v>
      </c>
      <c r="G22" s="327">
        <v>50000000</v>
      </c>
      <c r="H22" s="327">
        <v>0</v>
      </c>
      <c r="I22" s="355">
        <v>7.1</v>
      </c>
      <c r="J22" s="404" t="s">
        <v>171</v>
      </c>
      <c r="K22" s="405"/>
      <c r="M22" s="384"/>
      <c r="N22" s="384"/>
      <c r="O22" s="384"/>
      <c r="P22" s="398"/>
    </row>
    <row r="23" spans="1:16" s="397" customFormat="1" ht="14.25" customHeight="1">
      <c r="A23" s="407"/>
      <c r="B23" s="408" t="s">
        <v>205</v>
      </c>
      <c r="C23" s="409" t="s">
        <v>207</v>
      </c>
      <c r="D23" s="410" t="s">
        <v>375</v>
      </c>
      <c r="E23" s="391">
        <v>50000000</v>
      </c>
      <c r="F23" s="327">
        <v>0</v>
      </c>
      <c r="G23" s="327">
        <v>50000000</v>
      </c>
      <c r="H23" s="327">
        <v>0</v>
      </c>
      <c r="I23" s="400">
        <v>7.1</v>
      </c>
      <c r="J23" s="411" t="s">
        <v>171</v>
      </c>
      <c r="K23" s="405"/>
      <c r="M23" s="384"/>
      <c r="N23" s="384"/>
      <c r="O23" s="384"/>
      <c r="P23" s="398"/>
    </row>
    <row r="24" spans="1:16" s="397" customFormat="1" ht="17.25" customHeight="1">
      <c r="A24" s="357" t="s">
        <v>376</v>
      </c>
      <c r="B24" s="358" t="s">
        <v>173</v>
      </c>
      <c r="C24" s="359" t="s">
        <v>173</v>
      </c>
      <c r="D24" s="360" t="s">
        <v>173</v>
      </c>
      <c r="E24" s="361">
        <v>2540000000</v>
      </c>
      <c r="F24" s="361">
        <v>0</v>
      </c>
      <c r="G24" s="361">
        <v>2540000000</v>
      </c>
      <c r="H24" s="361">
        <v>0</v>
      </c>
      <c r="I24" s="412"/>
      <c r="J24" s="413" t="s">
        <v>173</v>
      </c>
      <c r="K24" s="393"/>
      <c r="M24" s="384"/>
      <c r="N24" s="384"/>
      <c r="O24" s="384"/>
      <c r="P24" s="398"/>
    </row>
    <row r="25" spans="1:16" s="397" customFormat="1" ht="14.25" customHeight="1">
      <c r="A25" s="319" t="s">
        <v>208</v>
      </c>
      <c r="B25" s="340" t="s">
        <v>377</v>
      </c>
      <c r="C25" s="362" t="s">
        <v>189</v>
      </c>
      <c r="D25" s="321" t="s">
        <v>378</v>
      </c>
      <c r="E25" s="363">
        <v>340000000</v>
      </c>
      <c r="F25" s="327">
        <v>0</v>
      </c>
      <c r="G25" s="327">
        <v>340000000</v>
      </c>
      <c r="H25" s="327">
        <v>0</v>
      </c>
      <c r="I25" s="402">
        <v>7.4</v>
      </c>
      <c r="J25" s="414" t="s">
        <v>209</v>
      </c>
      <c r="K25" s="405"/>
      <c r="M25" s="384"/>
      <c r="N25" s="384"/>
      <c r="O25" s="384"/>
      <c r="P25" s="398"/>
    </row>
    <row r="26" spans="1:16" s="397" customFormat="1" ht="14.25" customHeight="1">
      <c r="A26" s="328" t="s">
        <v>182</v>
      </c>
      <c r="B26" s="415" t="s">
        <v>205</v>
      </c>
      <c r="C26" s="332" t="s">
        <v>180</v>
      </c>
      <c r="D26" s="324" t="s">
        <v>375</v>
      </c>
      <c r="E26" s="327">
        <v>200000000</v>
      </c>
      <c r="F26" s="327">
        <v>0</v>
      </c>
      <c r="G26" s="327">
        <v>200000000</v>
      </c>
      <c r="H26" s="327">
        <v>0</v>
      </c>
      <c r="I26" s="355">
        <v>7.1</v>
      </c>
      <c r="J26" s="404" t="s">
        <v>171</v>
      </c>
      <c r="K26" s="405"/>
      <c r="M26" s="384"/>
      <c r="N26" s="384"/>
      <c r="O26" s="384"/>
      <c r="P26" s="398"/>
    </row>
    <row r="27" spans="1:16" s="397" customFormat="1" ht="14.25" customHeight="1">
      <c r="A27" s="328"/>
      <c r="B27" s="415" t="s">
        <v>205</v>
      </c>
      <c r="C27" s="325" t="s">
        <v>193</v>
      </c>
      <c r="D27" s="324" t="s">
        <v>379</v>
      </c>
      <c r="E27" s="327">
        <v>370000000</v>
      </c>
      <c r="F27" s="327">
        <v>0</v>
      </c>
      <c r="G27" s="327">
        <v>370000000</v>
      </c>
      <c r="H27" s="327">
        <v>0</v>
      </c>
      <c r="I27" s="355">
        <v>6.5</v>
      </c>
      <c r="J27" s="404" t="s">
        <v>210</v>
      </c>
      <c r="K27" s="405"/>
      <c r="M27" s="384"/>
      <c r="N27" s="384"/>
      <c r="O27" s="384"/>
      <c r="P27" s="398"/>
    </row>
    <row r="28" spans="1:16" s="397" customFormat="1" ht="14.25" customHeight="1">
      <c r="A28" s="328"/>
      <c r="B28" s="415" t="s">
        <v>211</v>
      </c>
      <c r="C28" s="325" t="s">
        <v>189</v>
      </c>
      <c r="D28" s="324" t="s">
        <v>380</v>
      </c>
      <c r="E28" s="327">
        <v>200000000</v>
      </c>
      <c r="F28" s="327">
        <v>0</v>
      </c>
      <c r="G28" s="327">
        <v>200000000</v>
      </c>
      <c r="H28" s="327">
        <v>0</v>
      </c>
      <c r="I28" s="355">
        <v>7.3</v>
      </c>
      <c r="J28" s="404" t="s">
        <v>212</v>
      </c>
      <c r="K28" s="405"/>
      <c r="M28" s="384"/>
      <c r="N28" s="384"/>
      <c r="O28" s="384"/>
      <c r="P28" s="398"/>
    </row>
    <row r="29" spans="1:16" s="397" customFormat="1" ht="14.25" customHeight="1">
      <c r="A29" s="328"/>
      <c r="B29" s="415" t="s">
        <v>211</v>
      </c>
      <c r="C29" s="325" t="s">
        <v>213</v>
      </c>
      <c r="D29" s="324" t="s">
        <v>381</v>
      </c>
      <c r="E29" s="327">
        <v>300000000</v>
      </c>
      <c r="F29" s="327">
        <v>0</v>
      </c>
      <c r="G29" s="327">
        <v>300000000</v>
      </c>
      <c r="H29" s="327">
        <v>0</v>
      </c>
      <c r="I29" s="355">
        <v>6.5</v>
      </c>
      <c r="J29" s="404" t="s">
        <v>214</v>
      </c>
      <c r="K29" s="405"/>
      <c r="M29" s="384"/>
      <c r="N29" s="384"/>
      <c r="O29" s="384"/>
      <c r="P29" s="398"/>
    </row>
    <row r="30" spans="1:16" s="397" customFormat="1" ht="14.25" customHeight="1">
      <c r="A30" s="328"/>
      <c r="B30" s="415" t="s">
        <v>211</v>
      </c>
      <c r="C30" s="325" t="s">
        <v>189</v>
      </c>
      <c r="D30" s="324" t="s">
        <v>382</v>
      </c>
      <c r="E30" s="327">
        <v>220000000</v>
      </c>
      <c r="F30" s="327">
        <v>0</v>
      </c>
      <c r="G30" s="327">
        <v>220000000</v>
      </c>
      <c r="H30" s="327">
        <v>0</v>
      </c>
      <c r="I30" s="355">
        <v>7.3</v>
      </c>
      <c r="J30" s="404" t="s">
        <v>212</v>
      </c>
      <c r="K30" s="405"/>
      <c r="M30" s="384"/>
      <c r="N30" s="384"/>
      <c r="O30" s="384"/>
      <c r="P30" s="398"/>
    </row>
    <row r="31" spans="1:16" s="397" customFormat="1" ht="14.25" customHeight="1">
      <c r="A31" s="328"/>
      <c r="B31" s="415" t="s">
        <v>211</v>
      </c>
      <c r="C31" s="332" t="s">
        <v>180</v>
      </c>
      <c r="D31" s="324" t="s">
        <v>383</v>
      </c>
      <c r="E31" s="327">
        <v>100000000</v>
      </c>
      <c r="F31" s="327">
        <v>0</v>
      </c>
      <c r="G31" s="327">
        <v>100000000</v>
      </c>
      <c r="H31" s="327">
        <v>0</v>
      </c>
      <c r="I31" s="355">
        <v>7.3</v>
      </c>
      <c r="J31" s="404" t="s">
        <v>171</v>
      </c>
      <c r="K31" s="405"/>
      <c r="M31" s="384"/>
      <c r="N31" s="384"/>
      <c r="O31" s="384"/>
      <c r="P31" s="398"/>
    </row>
    <row r="32" spans="1:16" s="397" customFormat="1" ht="14.25" customHeight="1">
      <c r="A32" s="328"/>
      <c r="B32" s="415" t="s">
        <v>211</v>
      </c>
      <c r="C32" s="325" t="s">
        <v>193</v>
      </c>
      <c r="D32" s="324" t="s">
        <v>384</v>
      </c>
      <c r="E32" s="327">
        <v>480000000</v>
      </c>
      <c r="F32" s="327">
        <v>0</v>
      </c>
      <c r="G32" s="327">
        <v>480000000</v>
      </c>
      <c r="H32" s="327">
        <v>0</v>
      </c>
      <c r="I32" s="355">
        <v>6.5</v>
      </c>
      <c r="J32" s="404" t="s">
        <v>214</v>
      </c>
      <c r="K32" s="405"/>
      <c r="M32" s="384"/>
      <c r="N32" s="384"/>
      <c r="O32" s="384"/>
      <c r="P32" s="398"/>
    </row>
    <row r="33" spans="1:16" s="397" customFormat="1" ht="14.25" customHeight="1">
      <c r="A33" s="328"/>
      <c r="B33" s="415" t="s">
        <v>215</v>
      </c>
      <c r="C33" s="325" t="s">
        <v>189</v>
      </c>
      <c r="D33" s="324" t="s">
        <v>385</v>
      </c>
      <c r="E33" s="327">
        <v>300000000</v>
      </c>
      <c r="F33" s="327">
        <v>0</v>
      </c>
      <c r="G33" s="327">
        <v>300000000</v>
      </c>
      <c r="H33" s="327">
        <v>0</v>
      </c>
      <c r="I33" s="355">
        <v>7.3</v>
      </c>
      <c r="J33" s="404" t="s">
        <v>188</v>
      </c>
      <c r="K33" s="405"/>
      <c r="M33" s="384"/>
      <c r="N33" s="384"/>
      <c r="O33" s="384"/>
      <c r="P33" s="398"/>
    </row>
    <row r="34" spans="1:16" s="397" customFormat="1" ht="14.25" customHeight="1">
      <c r="A34" s="328"/>
      <c r="B34" s="415" t="s">
        <v>215</v>
      </c>
      <c r="C34" s="325" t="s">
        <v>189</v>
      </c>
      <c r="D34" s="324" t="s">
        <v>385</v>
      </c>
      <c r="E34" s="327">
        <v>620000000</v>
      </c>
      <c r="F34" s="327">
        <v>0</v>
      </c>
      <c r="G34" s="327">
        <v>620000000</v>
      </c>
      <c r="H34" s="327">
        <v>0</v>
      </c>
      <c r="I34" s="355">
        <v>7.3</v>
      </c>
      <c r="J34" s="404" t="s">
        <v>188</v>
      </c>
      <c r="K34" s="405"/>
      <c r="M34" s="384"/>
      <c r="N34" s="384"/>
      <c r="O34" s="384"/>
      <c r="P34" s="398"/>
    </row>
    <row r="35" spans="1:16" s="397" customFormat="1" ht="14.25" customHeight="1">
      <c r="A35" s="328"/>
      <c r="B35" s="415" t="s">
        <v>215</v>
      </c>
      <c r="C35" s="332" t="s">
        <v>180</v>
      </c>
      <c r="D35" s="324" t="s">
        <v>386</v>
      </c>
      <c r="E35" s="327">
        <v>100000000</v>
      </c>
      <c r="F35" s="327">
        <v>0</v>
      </c>
      <c r="G35" s="327">
        <v>100000000</v>
      </c>
      <c r="H35" s="327">
        <v>0</v>
      </c>
      <c r="I35" s="355">
        <v>7.1</v>
      </c>
      <c r="J35" s="404" t="s">
        <v>216</v>
      </c>
      <c r="K35" s="405"/>
      <c r="M35" s="384"/>
      <c r="N35" s="384"/>
      <c r="O35" s="384"/>
      <c r="P35" s="398"/>
    </row>
    <row r="36" spans="1:16" s="397" customFormat="1" ht="14.25" customHeight="1">
      <c r="A36" s="328"/>
      <c r="B36" s="415" t="s">
        <v>215</v>
      </c>
      <c r="C36" s="325" t="s">
        <v>193</v>
      </c>
      <c r="D36" s="324" t="s">
        <v>387</v>
      </c>
      <c r="E36" s="327">
        <v>280000000</v>
      </c>
      <c r="F36" s="327">
        <v>0</v>
      </c>
      <c r="G36" s="327">
        <v>280000000</v>
      </c>
      <c r="H36" s="327">
        <v>0</v>
      </c>
      <c r="I36" s="355">
        <v>6.5</v>
      </c>
      <c r="J36" s="356" t="s">
        <v>1768</v>
      </c>
      <c r="K36" s="393"/>
      <c r="M36" s="384"/>
      <c r="N36" s="384"/>
      <c r="O36" s="384"/>
      <c r="P36" s="398"/>
    </row>
    <row r="37" spans="1:16" s="397" customFormat="1" ht="14.25" customHeight="1">
      <c r="A37" s="328"/>
      <c r="B37" s="415" t="s">
        <v>218</v>
      </c>
      <c r="C37" s="325" t="s">
        <v>189</v>
      </c>
      <c r="D37" s="324" t="s">
        <v>388</v>
      </c>
      <c r="E37" s="327">
        <v>350000000</v>
      </c>
      <c r="F37" s="327">
        <v>0</v>
      </c>
      <c r="G37" s="327">
        <v>350000000</v>
      </c>
      <c r="H37" s="327">
        <v>0</v>
      </c>
      <c r="I37" s="355">
        <v>7.3</v>
      </c>
      <c r="J37" s="356" t="s">
        <v>214</v>
      </c>
      <c r="K37" s="393"/>
      <c r="M37" s="384"/>
      <c r="N37" s="384"/>
      <c r="O37" s="384"/>
      <c r="P37" s="398"/>
    </row>
    <row r="38" spans="1:16" s="397" customFormat="1" ht="14.25" customHeight="1">
      <c r="A38" s="328"/>
      <c r="B38" s="415" t="s">
        <v>218</v>
      </c>
      <c r="C38" s="325" t="s">
        <v>185</v>
      </c>
      <c r="D38" s="324" t="s">
        <v>389</v>
      </c>
      <c r="E38" s="327">
        <v>780000000</v>
      </c>
      <c r="F38" s="327">
        <v>0</v>
      </c>
      <c r="G38" s="327">
        <v>780000000</v>
      </c>
      <c r="H38" s="327">
        <v>0</v>
      </c>
      <c r="I38" s="355">
        <v>6.5</v>
      </c>
      <c r="J38" s="356" t="s">
        <v>219</v>
      </c>
      <c r="K38" s="393"/>
      <c r="M38" s="384"/>
      <c r="N38" s="384"/>
      <c r="O38" s="384"/>
      <c r="P38" s="398"/>
    </row>
    <row r="39" spans="1:16" s="397" customFormat="1" ht="14.25" customHeight="1">
      <c r="A39" s="328"/>
      <c r="B39" s="415" t="s">
        <v>218</v>
      </c>
      <c r="C39" s="325" t="s">
        <v>189</v>
      </c>
      <c r="D39" s="324" t="s">
        <v>390</v>
      </c>
      <c r="E39" s="327">
        <v>210000000</v>
      </c>
      <c r="F39" s="327">
        <v>0</v>
      </c>
      <c r="G39" s="327">
        <v>210000000</v>
      </c>
      <c r="H39" s="327">
        <v>0</v>
      </c>
      <c r="I39" s="355">
        <v>7.3</v>
      </c>
      <c r="J39" s="356" t="s">
        <v>214</v>
      </c>
      <c r="K39" s="393"/>
      <c r="M39" s="384"/>
      <c r="N39" s="384"/>
      <c r="O39" s="384"/>
      <c r="P39" s="398"/>
    </row>
    <row r="40" spans="1:16" s="397" customFormat="1" ht="14.25" customHeight="1">
      <c r="A40" s="328"/>
      <c r="B40" s="415" t="s">
        <v>220</v>
      </c>
      <c r="C40" s="325" t="s">
        <v>189</v>
      </c>
      <c r="D40" s="324" t="s">
        <v>391</v>
      </c>
      <c r="E40" s="327">
        <v>200000000</v>
      </c>
      <c r="F40" s="327">
        <v>0</v>
      </c>
      <c r="G40" s="327">
        <v>200000000</v>
      </c>
      <c r="H40" s="327">
        <v>0</v>
      </c>
      <c r="I40" s="355">
        <v>7</v>
      </c>
      <c r="J40" s="356" t="s">
        <v>1768</v>
      </c>
      <c r="K40" s="393"/>
      <c r="M40" s="384"/>
      <c r="N40" s="384"/>
      <c r="O40" s="384"/>
      <c r="P40" s="398"/>
    </row>
    <row r="41" spans="1:16" s="397" customFormat="1" ht="14.25" customHeight="1">
      <c r="A41" s="328"/>
      <c r="B41" s="415" t="s">
        <v>220</v>
      </c>
      <c r="C41" s="325" t="s">
        <v>193</v>
      </c>
      <c r="D41" s="324" t="s">
        <v>392</v>
      </c>
      <c r="E41" s="327">
        <v>230000000</v>
      </c>
      <c r="F41" s="327">
        <v>0</v>
      </c>
      <c r="G41" s="327">
        <v>230000000</v>
      </c>
      <c r="H41" s="327">
        <v>0</v>
      </c>
      <c r="I41" s="355">
        <v>6.5</v>
      </c>
      <c r="J41" s="356" t="s">
        <v>221</v>
      </c>
      <c r="K41" s="393"/>
      <c r="M41" s="384"/>
      <c r="N41" s="384"/>
      <c r="O41" s="384"/>
      <c r="P41" s="398"/>
    </row>
    <row r="42" spans="1:16" s="397" customFormat="1" ht="14.25" customHeight="1">
      <c r="A42" s="407"/>
      <c r="B42" s="415" t="s">
        <v>218</v>
      </c>
      <c r="C42" s="325" t="s">
        <v>180</v>
      </c>
      <c r="D42" s="324" t="s">
        <v>393</v>
      </c>
      <c r="E42" s="327">
        <v>60000000</v>
      </c>
      <c r="F42" s="327">
        <v>0</v>
      </c>
      <c r="G42" s="327">
        <v>60000000</v>
      </c>
      <c r="H42" s="327">
        <v>0</v>
      </c>
      <c r="I42" s="355">
        <v>7.1</v>
      </c>
      <c r="J42" s="356" t="s">
        <v>196</v>
      </c>
      <c r="K42" s="393"/>
      <c r="M42" s="384"/>
      <c r="N42" s="384"/>
      <c r="O42" s="384"/>
      <c r="P42" s="398"/>
    </row>
    <row r="43" spans="1:16" s="397" customFormat="1" ht="17.25" customHeight="1">
      <c r="A43" s="357" t="s">
        <v>376</v>
      </c>
      <c r="B43" s="358" t="s">
        <v>173</v>
      </c>
      <c r="C43" s="359" t="s">
        <v>173</v>
      </c>
      <c r="D43" s="360" t="s">
        <v>173</v>
      </c>
      <c r="E43" s="361">
        <v>5340000000</v>
      </c>
      <c r="F43" s="361">
        <v>0</v>
      </c>
      <c r="G43" s="361">
        <v>5340000000</v>
      </c>
      <c r="H43" s="361">
        <v>0</v>
      </c>
      <c r="I43" s="412"/>
      <c r="J43" s="413" t="s">
        <v>173</v>
      </c>
      <c r="K43" s="393"/>
      <c r="M43" s="384"/>
      <c r="N43" s="384"/>
      <c r="O43" s="384"/>
      <c r="P43" s="398"/>
    </row>
    <row r="44" spans="1:16" s="397" customFormat="1" ht="14.25" customHeight="1">
      <c r="A44" s="323" t="s">
        <v>222</v>
      </c>
      <c r="B44" s="326" t="s">
        <v>394</v>
      </c>
      <c r="C44" s="325" t="s">
        <v>189</v>
      </c>
      <c r="D44" s="324" t="s">
        <v>395</v>
      </c>
      <c r="E44" s="327">
        <v>40000000</v>
      </c>
      <c r="F44" s="327">
        <v>0</v>
      </c>
      <c r="G44" s="327">
        <v>40000000</v>
      </c>
      <c r="H44" s="327">
        <v>0</v>
      </c>
      <c r="I44" s="355">
        <v>7.3</v>
      </c>
      <c r="J44" s="356" t="s">
        <v>214</v>
      </c>
      <c r="K44" s="393"/>
      <c r="M44" s="384"/>
      <c r="N44" s="384"/>
      <c r="O44" s="384"/>
      <c r="P44" s="398"/>
    </row>
    <row r="45" spans="1:16" s="397" customFormat="1" ht="14.25" customHeight="1">
      <c r="A45" s="328" t="s">
        <v>182</v>
      </c>
      <c r="B45" s="326" t="s">
        <v>218</v>
      </c>
      <c r="C45" s="325" t="s">
        <v>185</v>
      </c>
      <c r="D45" s="324" t="s">
        <v>396</v>
      </c>
      <c r="E45" s="327">
        <v>25000000</v>
      </c>
      <c r="F45" s="327">
        <v>0</v>
      </c>
      <c r="G45" s="327">
        <v>25000000</v>
      </c>
      <c r="H45" s="327">
        <v>0</v>
      </c>
      <c r="I45" s="355">
        <v>6.5</v>
      </c>
      <c r="J45" s="356" t="s">
        <v>219</v>
      </c>
      <c r="K45" s="393"/>
      <c r="M45" s="384"/>
      <c r="N45" s="384"/>
      <c r="O45" s="384"/>
      <c r="P45" s="398"/>
    </row>
    <row r="46" spans="1:16" s="397" customFormat="1" ht="14.25" customHeight="1">
      <c r="A46" s="328"/>
      <c r="B46" s="326" t="s">
        <v>220</v>
      </c>
      <c r="C46" s="325" t="s">
        <v>189</v>
      </c>
      <c r="D46" s="324" t="s">
        <v>391</v>
      </c>
      <c r="E46" s="327">
        <v>300000000</v>
      </c>
      <c r="F46" s="327">
        <v>0</v>
      </c>
      <c r="G46" s="327">
        <v>300000000</v>
      </c>
      <c r="H46" s="327">
        <v>0</v>
      </c>
      <c r="I46" s="355">
        <v>7</v>
      </c>
      <c r="J46" s="356" t="s">
        <v>1768</v>
      </c>
      <c r="K46" s="393"/>
      <c r="M46" s="384"/>
      <c r="N46" s="384"/>
      <c r="O46" s="384"/>
      <c r="P46" s="398"/>
    </row>
    <row r="47" spans="1:16" s="397" customFormat="1" ht="14.25" customHeight="1">
      <c r="A47" s="328"/>
      <c r="B47" s="326" t="s">
        <v>220</v>
      </c>
      <c r="C47" s="325" t="s">
        <v>189</v>
      </c>
      <c r="D47" s="324" t="s">
        <v>397</v>
      </c>
      <c r="E47" s="327">
        <v>570000000</v>
      </c>
      <c r="F47" s="327">
        <v>0</v>
      </c>
      <c r="G47" s="327">
        <v>570000000</v>
      </c>
      <c r="H47" s="327">
        <v>0</v>
      </c>
      <c r="I47" s="355">
        <v>7</v>
      </c>
      <c r="J47" s="356" t="s">
        <v>1768</v>
      </c>
      <c r="K47" s="393"/>
      <c r="M47" s="384"/>
      <c r="N47" s="384"/>
      <c r="O47" s="384"/>
      <c r="P47" s="398"/>
    </row>
    <row r="48" spans="1:16" s="397" customFormat="1" ht="14.25" customHeight="1">
      <c r="A48" s="323"/>
      <c r="B48" s="326" t="s">
        <v>220</v>
      </c>
      <c r="C48" s="325" t="s">
        <v>180</v>
      </c>
      <c r="D48" s="324" t="s">
        <v>398</v>
      </c>
      <c r="E48" s="327">
        <v>300000000</v>
      </c>
      <c r="F48" s="327">
        <v>0</v>
      </c>
      <c r="G48" s="327">
        <v>300000000</v>
      </c>
      <c r="H48" s="327">
        <v>0</v>
      </c>
      <c r="I48" s="355">
        <v>7.1</v>
      </c>
      <c r="J48" s="356" t="s">
        <v>203</v>
      </c>
      <c r="K48" s="393"/>
      <c r="M48" s="384"/>
      <c r="N48" s="384"/>
      <c r="O48" s="384"/>
      <c r="P48" s="398"/>
    </row>
    <row r="49" spans="1:16" s="397" customFormat="1" ht="14.25" customHeight="1">
      <c r="A49" s="323"/>
      <c r="B49" s="326" t="s">
        <v>218</v>
      </c>
      <c r="C49" s="325" t="s">
        <v>180</v>
      </c>
      <c r="D49" s="324" t="s">
        <v>393</v>
      </c>
      <c r="E49" s="327">
        <v>650000000</v>
      </c>
      <c r="F49" s="327">
        <v>0</v>
      </c>
      <c r="G49" s="327">
        <v>650000000</v>
      </c>
      <c r="H49" s="327">
        <v>0</v>
      </c>
      <c r="I49" s="355">
        <v>7.1</v>
      </c>
      <c r="J49" s="356" t="s">
        <v>196</v>
      </c>
      <c r="K49" s="393"/>
      <c r="M49" s="384"/>
      <c r="N49" s="384"/>
      <c r="O49" s="384"/>
      <c r="P49" s="398"/>
    </row>
    <row r="50" spans="1:16" s="397" customFormat="1" ht="14.25" customHeight="1">
      <c r="A50" s="323"/>
      <c r="B50" s="324" t="s">
        <v>399</v>
      </c>
      <c r="C50" s="325" t="s">
        <v>185</v>
      </c>
      <c r="D50" s="324" t="s">
        <v>400</v>
      </c>
      <c r="E50" s="327">
        <v>1330000000</v>
      </c>
      <c r="F50" s="327">
        <v>0</v>
      </c>
      <c r="G50" s="327">
        <v>1330000000</v>
      </c>
      <c r="H50" s="327">
        <v>0</v>
      </c>
      <c r="I50" s="355">
        <v>6.5</v>
      </c>
      <c r="J50" s="356" t="s">
        <v>221</v>
      </c>
      <c r="K50" s="393"/>
      <c r="M50" s="384"/>
      <c r="N50" s="384"/>
      <c r="O50" s="384"/>
      <c r="P50" s="398"/>
    </row>
    <row r="51" spans="1:16" s="397" customFormat="1" ht="14.25" customHeight="1">
      <c r="A51" s="323"/>
      <c r="B51" s="326">
        <v>42</v>
      </c>
      <c r="C51" s="325" t="s">
        <v>189</v>
      </c>
      <c r="D51" s="324" t="s">
        <v>401</v>
      </c>
      <c r="E51" s="327">
        <v>480000000</v>
      </c>
      <c r="F51" s="327">
        <v>0</v>
      </c>
      <c r="G51" s="327">
        <v>480000000</v>
      </c>
      <c r="H51" s="327">
        <v>0</v>
      </c>
      <c r="I51" s="355">
        <v>7</v>
      </c>
      <c r="J51" s="356" t="s">
        <v>223</v>
      </c>
      <c r="K51" s="393"/>
      <c r="M51" s="384"/>
      <c r="N51" s="384"/>
      <c r="O51" s="384"/>
      <c r="P51" s="398"/>
    </row>
    <row r="52" spans="1:16" s="397" customFormat="1" ht="14.25" customHeight="1">
      <c r="A52" s="328"/>
      <c r="B52" s="326" t="s">
        <v>224</v>
      </c>
      <c r="C52" s="325" t="s">
        <v>185</v>
      </c>
      <c r="D52" s="324" t="s">
        <v>402</v>
      </c>
      <c r="E52" s="327">
        <v>990000000</v>
      </c>
      <c r="F52" s="327">
        <v>0</v>
      </c>
      <c r="G52" s="327">
        <v>990000000</v>
      </c>
      <c r="H52" s="327">
        <v>0</v>
      </c>
      <c r="I52" s="355">
        <v>6.5</v>
      </c>
      <c r="J52" s="356" t="s">
        <v>225</v>
      </c>
      <c r="K52" s="393"/>
      <c r="M52" s="384"/>
      <c r="N52" s="384"/>
      <c r="O52" s="384"/>
      <c r="P52" s="398"/>
    </row>
    <row r="53" spans="1:16" s="397" customFormat="1" ht="14.25" customHeight="1">
      <c r="A53" s="365"/>
      <c r="B53" s="326">
        <v>42</v>
      </c>
      <c r="C53" s="325" t="s">
        <v>180</v>
      </c>
      <c r="D53" s="324" t="s">
        <v>711</v>
      </c>
      <c r="E53" s="327">
        <v>230000000</v>
      </c>
      <c r="F53" s="327">
        <v>0</v>
      </c>
      <c r="G53" s="327">
        <v>230000000</v>
      </c>
      <c r="H53" s="327">
        <v>0</v>
      </c>
      <c r="I53" s="355">
        <v>7.1</v>
      </c>
      <c r="J53" s="416" t="s">
        <v>203</v>
      </c>
      <c r="K53" s="393"/>
      <c r="M53" s="384"/>
      <c r="N53" s="384"/>
      <c r="O53" s="384"/>
      <c r="P53" s="398"/>
    </row>
    <row r="54" spans="1:16" s="397" customFormat="1" ht="14.25" customHeight="1">
      <c r="A54" s="365"/>
      <c r="B54" s="326" t="s">
        <v>226</v>
      </c>
      <c r="C54" s="325" t="s">
        <v>189</v>
      </c>
      <c r="D54" s="324" t="s">
        <v>322</v>
      </c>
      <c r="E54" s="327">
        <v>300000000</v>
      </c>
      <c r="F54" s="327">
        <v>0</v>
      </c>
      <c r="G54" s="327">
        <v>300000000</v>
      </c>
      <c r="H54" s="327">
        <v>0</v>
      </c>
      <c r="I54" s="355">
        <v>7</v>
      </c>
      <c r="J54" s="416" t="s">
        <v>227</v>
      </c>
      <c r="K54" s="393"/>
      <c r="M54" s="384"/>
      <c r="N54" s="384"/>
      <c r="O54" s="384"/>
      <c r="P54" s="398"/>
    </row>
    <row r="55" spans="1:16" s="397" customFormat="1" ht="14.25" customHeight="1" thickBot="1">
      <c r="A55" s="417"/>
      <c r="B55" s="418">
        <v>43</v>
      </c>
      <c r="C55" s="419" t="s">
        <v>189</v>
      </c>
      <c r="D55" s="420" t="s">
        <v>323</v>
      </c>
      <c r="E55" s="421">
        <v>500000000</v>
      </c>
      <c r="F55" s="421">
        <v>0</v>
      </c>
      <c r="G55" s="421">
        <v>500000000</v>
      </c>
      <c r="H55" s="421">
        <v>0</v>
      </c>
      <c r="I55" s="422">
        <v>7</v>
      </c>
      <c r="J55" s="423" t="s">
        <v>227</v>
      </c>
      <c r="K55" s="393"/>
      <c r="M55" s="384"/>
      <c r="N55" s="384"/>
      <c r="O55" s="384"/>
      <c r="P55" s="398"/>
    </row>
    <row r="56" spans="1:16" s="397" customFormat="1" ht="9.75" customHeight="1" thickBot="1">
      <c r="A56" s="339"/>
      <c r="B56" s="415"/>
      <c r="C56" s="339"/>
      <c r="D56" s="340"/>
      <c r="E56" s="342"/>
      <c r="F56" s="342"/>
      <c r="G56" s="342"/>
      <c r="H56" s="342"/>
      <c r="I56" s="396"/>
      <c r="J56" s="393"/>
      <c r="K56" s="393"/>
      <c r="M56" s="384"/>
      <c r="N56" s="384"/>
      <c r="O56" s="384"/>
      <c r="P56" s="398"/>
    </row>
    <row r="57" spans="1:16" s="397" customFormat="1">
      <c r="A57" s="466" t="s">
        <v>26</v>
      </c>
      <c r="B57" s="468" t="s">
        <v>311</v>
      </c>
      <c r="C57" s="470" t="s">
        <v>27</v>
      </c>
      <c r="D57" s="468" t="s">
        <v>312</v>
      </c>
      <c r="E57" s="472" t="s">
        <v>28</v>
      </c>
      <c r="F57" s="474" t="s">
        <v>29</v>
      </c>
      <c r="G57" s="475"/>
      <c r="H57" s="460" t="s">
        <v>174</v>
      </c>
      <c r="I57" s="462" t="s">
        <v>30</v>
      </c>
      <c r="J57" s="464" t="s">
        <v>313</v>
      </c>
      <c r="K57" s="399"/>
      <c r="M57" s="384"/>
      <c r="N57" s="384"/>
      <c r="O57" s="384"/>
      <c r="P57" s="398"/>
    </row>
    <row r="58" spans="1:16" s="397" customFormat="1">
      <c r="A58" s="467"/>
      <c r="B58" s="469"/>
      <c r="C58" s="471"/>
      <c r="D58" s="469"/>
      <c r="E58" s="473"/>
      <c r="F58" s="343" t="s">
        <v>176</v>
      </c>
      <c r="G58" s="424" t="s">
        <v>305</v>
      </c>
      <c r="H58" s="461"/>
      <c r="I58" s="463"/>
      <c r="J58" s="465"/>
      <c r="K58" s="401"/>
      <c r="M58" s="384"/>
      <c r="N58" s="384"/>
      <c r="O58" s="384"/>
      <c r="P58" s="398"/>
    </row>
    <row r="59" spans="1:16" s="397" customFormat="1">
      <c r="A59" s="319"/>
      <c r="B59" s="320"/>
      <c r="C59" s="320"/>
      <c r="D59" s="321" t="s">
        <v>177</v>
      </c>
      <c r="E59" s="322" t="s">
        <v>178</v>
      </c>
      <c r="F59" s="322" t="s">
        <v>172</v>
      </c>
      <c r="G59" s="425" t="s">
        <v>178</v>
      </c>
      <c r="H59" s="322" t="s">
        <v>178</v>
      </c>
      <c r="I59" s="402" t="s">
        <v>31</v>
      </c>
      <c r="J59" s="403" t="s">
        <v>175</v>
      </c>
      <c r="K59" s="393"/>
      <c r="M59" s="384"/>
      <c r="N59" s="384"/>
      <c r="O59" s="384"/>
      <c r="P59" s="398"/>
    </row>
    <row r="60" spans="1:16" s="397" customFormat="1" ht="14.25" customHeight="1">
      <c r="A60" s="323" t="s">
        <v>222</v>
      </c>
      <c r="B60" s="326" t="s">
        <v>330</v>
      </c>
      <c r="C60" s="325" t="s">
        <v>189</v>
      </c>
      <c r="D60" s="324" t="s">
        <v>690</v>
      </c>
      <c r="E60" s="327">
        <v>310000000</v>
      </c>
      <c r="F60" s="327">
        <v>0</v>
      </c>
      <c r="G60" s="426">
        <v>310000000</v>
      </c>
      <c r="H60" s="327">
        <v>0</v>
      </c>
      <c r="I60" s="355">
        <v>7</v>
      </c>
      <c r="J60" s="356" t="s">
        <v>227</v>
      </c>
      <c r="K60" s="393"/>
      <c r="M60" s="384"/>
      <c r="N60" s="384"/>
      <c r="O60" s="384"/>
      <c r="P60" s="398"/>
    </row>
    <row r="61" spans="1:16" s="397" customFormat="1" ht="14.25" customHeight="1">
      <c r="A61" s="328" t="s">
        <v>182</v>
      </c>
      <c r="B61" s="326" t="s">
        <v>226</v>
      </c>
      <c r="C61" s="325" t="s">
        <v>180</v>
      </c>
      <c r="D61" s="324" t="s">
        <v>405</v>
      </c>
      <c r="E61" s="327">
        <v>260000000</v>
      </c>
      <c r="F61" s="327">
        <v>0</v>
      </c>
      <c r="G61" s="426">
        <v>260000000</v>
      </c>
      <c r="H61" s="327">
        <v>0</v>
      </c>
      <c r="I61" s="355">
        <v>7.1</v>
      </c>
      <c r="J61" s="356" t="s">
        <v>209</v>
      </c>
      <c r="K61" s="393"/>
      <c r="M61" s="384"/>
      <c r="N61" s="384"/>
      <c r="O61" s="384"/>
      <c r="P61" s="398"/>
    </row>
    <row r="62" spans="1:16" s="397" customFormat="1" ht="14.25" customHeight="1">
      <c r="A62" s="328"/>
      <c r="B62" s="326" t="s">
        <v>226</v>
      </c>
      <c r="C62" s="325" t="s">
        <v>185</v>
      </c>
      <c r="D62" s="324" t="s">
        <v>406</v>
      </c>
      <c r="E62" s="327">
        <v>2130000000</v>
      </c>
      <c r="F62" s="327">
        <v>0</v>
      </c>
      <c r="G62" s="426">
        <v>2130000000</v>
      </c>
      <c r="H62" s="327">
        <v>0</v>
      </c>
      <c r="I62" s="355">
        <v>6.5</v>
      </c>
      <c r="J62" s="356" t="s">
        <v>228</v>
      </c>
      <c r="K62" s="393"/>
      <c r="M62" s="384"/>
      <c r="N62" s="384"/>
      <c r="O62" s="384"/>
      <c r="P62" s="398"/>
    </row>
    <row r="63" spans="1:16" s="397" customFormat="1" ht="14.25" customHeight="1">
      <c r="A63" s="328"/>
      <c r="B63" s="326" t="s">
        <v>229</v>
      </c>
      <c r="C63" s="325" t="s">
        <v>189</v>
      </c>
      <c r="D63" s="324" t="s">
        <v>407</v>
      </c>
      <c r="E63" s="327">
        <v>300000000</v>
      </c>
      <c r="F63" s="327">
        <v>0</v>
      </c>
      <c r="G63" s="426">
        <v>300000000</v>
      </c>
      <c r="H63" s="327">
        <v>0</v>
      </c>
      <c r="I63" s="355">
        <v>7</v>
      </c>
      <c r="J63" s="356" t="s">
        <v>230</v>
      </c>
      <c r="K63" s="393"/>
      <c r="M63" s="384"/>
      <c r="N63" s="384"/>
      <c r="O63" s="384"/>
      <c r="P63" s="398"/>
    </row>
    <row r="64" spans="1:16" s="397" customFormat="1" ht="14.25" customHeight="1">
      <c r="A64" s="328"/>
      <c r="B64" s="326" t="s">
        <v>229</v>
      </c>
      <c r="C64" s="325" t="s">
        <v>189</v>
      </c>
      <c r="D64" s="324" t="s">
        <v>408</v>
      </c>
      <c r="E64" s="327">
        <v>520000000</v>
      </c>
      <c r="F64" s="327">
        <v>0</v>
      </c>
      <c r="G64" s="426">
        <v>520000000</v>
      </c>
      <c r="H64" s="327">
        <v>0</v>
      </c>
      <c r="I64" s="355">
        <v>7</v>
      </c>
      <c r="J64" s="356" t="s">
        <v>230</v>
      </c>
      <c r="K64" s="393"/>
      <c r="M64" s="384"/>
      <c r="N64" s="384"/>
      <c r="O64" s="384"/>
      <c r="P64" s="398"/>
    </row>
    <row r="65" spans="1:16" s="397" customFormat="1" ht="14.25" customHeight="1">
      <c r="A65" s="328"/>
      <c r="B65" s="326" t="s">
        <v>229</v>
      </c>
      <c r="C65" s="325" t="s">
        <v>189</v>
      </c>
      <c r="D65" s="324" t="s">
        <v>409</v>
      </c>
      <c r="E65" s="327">
        <v>130000000</v>
      </c>
      <c r="F65" s="327">
        <v>0</v>
      </c>
      <c r="G65" s="426">
        <v>130000000</v>
      </c>
      <c r="H65" s="327">
        <v>0</v>
      </c>
      <c r="I65" s="355">
        <v>7</v>
      </c>
      <c r="J65" s="356" t="s">
        <v>230</v>
      </c>
      <c r="K65" s="393"/>
      <c r="M65" s="384"/>
      <c r="N65" s="384"/>
      <c r="O65" s="384"/>
      <c r="P65" s="398"/>
    </row>
    <row r="66" spans="1:16" s="397" customFormat="1" ht="14.25" customHeight="1">
      <c r="A66" s="328"/>
      <c r="B66" s="326" t="s">
        <v>229</v>
      </c>
      <c r="C66" s="325" t="s">
        <v>180</v>
      </c>
      <c r="D66" s="324" t="s">
        <v>410</v>
      </c>
      <c r="E66" s="327">
        <v>150000000</v>
      </c>
      <c r="F66" s="327">
        <v>0</v>
      </c>
      <c r="G66" s="426">
        <v>150000000</v>
      </c>
      <c r="H66" s="327">
        <v>0</v>
      </c>
      <c r="I66" s="355">
        <v>7.1</v>
      </c>
      <c r="J66" s="356" t="s">
        <v>231</v>
      </c>
      <c r="K66" s="393"/>
      <c r="M66" s="384"/>
      <c r="N66" s="384"/>
      <c r="O66" s="384"/>
      <c r="P66" s="398"/>
    </row>
    <row r="67" spans="1:16" s="397" customFormat="1" ht="14.25" customHeight="1">
      <c r="A67" s="328"/>
      <c r="B67" s="326" t="s">
        <v>229</v>
      </c>
      <c r="C67" s="325" t="s">
        <v>185</v>
      </c>
      <c r="D67" s="324" t="s">
        <v>411</v>
      </c>
      <c r="E67" s="327">
        <v>1700000000</v>
      </c>
      <c r="F67" s="327">
        <v>0</v>
      </c>
      <c r="G67" s="426">
        <v>1700000000</v>
      </c>
      <c r="H67" s="327">
        <v>0</v>
      </c>
      <c r="I67" s="355">
        <v>6.5</v>
      </c>
      <c r="J67" s="356" t="s">
        <v>232</v>
      </c>
      <c r="K67" s="393"/>
      <c r="M67" s="384"/>
      <c r="N67" s="384"/>
      <c r="O67" s="384"/>
      <c r="P67" s="398"/>
    </row>
    <row r="68" spans="1:16" s="397" customFormat="1" ht="14.25" customHeight="1">
      <c r="A68" s="328"/>
      <c r="B68" s="326" t="s">
        <v>233</v>
      </c>
      <c r="C68" s="325" t="s">
        <v>189</v>
      </c>
      <c r="D68" s="324" t="s">
        <v>412</v>
      </c>
      <c r="E68" s="327">
        <v>200000000</v>
      </c>
      <c r="F68" s="327">
        <v>0</v>
      </c>
      <c r="G68" s="426">
        <v>200000000</v>
      </c>
      <c r="H68" s="327">
        <v>0</v>
      </c>
      <c r="I68" s="355">
        <v>6.7</v>
      </c>
      <c r="J68" s="356" t="s">
        <v>234</v>
      </c>
      <c r="K68" s="393"/>
      <c r="M68" s="384"/>
      <c r="N68" s="384"/>
      <c r="O68" s="384"/>
      <c r="P68" s="398"/>
    </row>
    <row r="69" spans="1:16" s="397" customFormat="1" ht="14.25" customHeight="1">
      <c r="A69" s="328"/>
      <c r="B69" s="326" t="s">
        <v>233</v>
      </c>
      <c r="C69" s="325" t="s">
        <v>189</v>
      </c>
      <c r="D69" s="324" t="s">
        <v>412</v>
      </c>
      <c r="E69" s="327">
        <v>600000000</v>
      </c>
      <c r="F69" s="327">
        <v>0</v>
      </c>
      <c r="G69" s="426">
        <v>600000000</v>
      </c>
      <c r="H69" s="327">
        <v>0</v>
      </c>
      <c r="I69" s="355">
        <v>6.7</v>
      </c>
      <c r="J69" s="356" t="s">
        <v>234</v>
      </c>
      <c r="K69" s="393"/>
      <c r="M69" s="384"/>
      <c r="N69" s="384"/>
      <c r="O69" s="384"/>
      <c r="P69" s="398"/>
    </row>
    <row r="70" spans="1:16" s="397" customFormat="1" ht="14.25" customHeight="1">
      <c r="A70" s="328"/>
      <c r="B70" s="326" t="s">
        <v>233</v>
      </c>
      <c r="C70" s="325" t="s">
        <v>185</v>
      </c>
      <c r="D70" s="324" t="s">
        <v>413</v>
      </c>
      <c r="E70" s="327">
        <v>1560000000</v>
      </c>
      <c r="F70" s="327">
        <v>0</v>
      </c>
      <c r="G70" s="426">
        <v>1560000000</v>
      </c>
      <c r="H70" s="327">
        <v>0</v>
      </c>
      <c r="I70" s="355">
        <v>6.5</v>
      </c>
      <c r="J70" s="356" t="s">
        <v>235</v>
      </c>
      <c r="K70" s="393"/>
      <c r="M70" s="384"/>
      <c r="N70" s="384"/>
      <c r="O70" s="384"/>
      <c r="P70" s="398"/>
    </row>
    <row r="71" spans="1:16" s="397" customFormat="1" ht="14.25" customHeight="1">
      <c r="A71" s="328"/>
      <c r="B71" s="326" t="s">
        <v>233</v>
      </c>
      <c r="C71" s="325" t="s">
        <v>180</v>
      </c>
      <c r="D71" s="324" t="s">
        <v>414</v>
      </c>
      <c r="E71" s="327">
        <v>240000000</v>
      </c>
      <c r="F71" s="327">
        <v>0</v>
      </c>
      <c r="G71" s="426">
        <v>240000000</v>
      </c>
      <c r="H71" s="327">
        <v>0</v>
      </c>
      <c r="I71" s="355">
        <v>7.1</v>
      </c>
      <c r="J71" s="356" t="s">
        <v>209</v>
      </c>
      <c r="K71" s="393"/>
      <c r="M71" s="384"/>
      <c r="N71" s="384"/>
      <c r="O71" s="384"/>
      <c r="P71" s="398"/>
    </row>
    <row r="72" spans="1:16" s="397" customFormat="1" ht="14.25" customHeight="1">
      <c r="A72" s="328"/>
      <c r="B72" s="326" t="s">
        <v>236</v>
      </c>
      <c r="C72" s="325" t="s">
        <v>189</v>
      </c>
      <c r="D72" s="324" t="s">
        <v>415</v>
      </c>
      <c r="E72" s="327">
        <v>108000000</v>
      </c>
      <c r="F72" s="327">
        <v>0</v>
      </c>
      <c r="G72" s="426">
        <v>108000000</v>
      </c>
      <c r="H72" s="327">
        <v>0</v>
      </c>
      <c r="I72" s="355">
        <v>6.7</v>
      </c>
      <c r="J72" s="356" t="s">
        <v>237</v>
      </c>
      <c r="K72" s="393"/>
      <c r="M72" s="384"/>
      <c r="N72" s="384"/>
      <c r="O72" s="384"/>
      <c r="P72" s="398"/>
    </row>
    <row r="73" spans="1:16" s="397" customFormat="1" ht="14.25" customHeight="1">
      <c r="A73" s="328"/>
      <c r="B73" s="326" t="s">
        <v>236</v>
      </c>
      <c r="C73" s="325" t="s">
        <v>189</v>
      </c>
      <c r="D73" s="324" t="s">
        <v>416</v>
      </c>
      <c r="E73" s="327">
        <v>90000000</v>
      </c>
      <c r="F73" s="327">
        <v>0</v>
      </c>
      <c r="G73" s="426">
        <v>90000000</v>
      </c>
      <c r="H73" s="327">
        <v>0</v>
      </c>
      <c r="I73" s="355">
        <v>6.7</v>
      </c>
      <c r="J73" s="356" t="s">
        <v>237</v>
      </c>
      <c r="K73" s="393"/>
      <c r="M73" s="384"/>
      <c r="N73" s="384"/>
      <c r="O73" s="384"/>
      <c r="P73" s="398"/>
    </row>
    <row r="74" spans="1:16" s="397" customFormat="1" ht="14.25" customHeight="1">
      <c r="A74" s="328"/>
      <c r="B74" s="326" t="s">
        <v>236</v>
      </c>
      <c r="C74" s="325" t="s">
        <v>180</v>
      </c>
      <c r="D74" s="324" t="s">
        <v>416</v>
      </c>
      <c r="E74" s="327">
        <v>50000000</v>
      </c>
      <c r="F74" s="327">
        <v>0</v>
      </c>
      <c r="G74" s="426">
        <v>50000000</v>
      </c>
      <c r="H74" s="327">
        <v>0</v>
      </c>
      <c r="I74" s="355">
        <v>7.1</v>
      </c>
      <c r="J74" s="356" t="s">
        <v>238</v>
      </c>
      <c r="K74" s="393"/>
      <c r="M74" s="384"/>
      <c r="N74" s="384"/>
      <c r="O74" s="384"/>
      <c r="P74" s="398"/>
    </row>
    <row r="75" spans="1:16" s="397" customFormat="1" ht="14.25" customHeight="1">
      <c r="A75" s="328"/>
      <c r="B75" s="326" t="s">
        <v>236</v>
      </c>
      <c r="C75" s="325" t="s">
        <v>180</v>
      </c>
      <c r="D75" s="324" t="s">
        <v>417</v>
      </c>
      <c r="E75" s="327">
        <v>100000000</v>
      </c>
      <c r="F75" s="327">
        <v>0</v>
      </c>
      <c r="G75" s="426">
        <v>100000000</v>
      </c>
      <c r="H75" s="327">
        <v>0</v>
      </c>
      <c r="I75" s="355">
        <v>6.9</v>
      </c>
      <c r="J75" s="356" t="s">
        <v>238</v>
      </c>
      <c r="K75" s="393"/>
      <c r="M75" s="384"/>
      <c r="N75" s="384"/>
      <c r="O75" s="384"/>
      <c r="P75" s="398"/>
    </row>
    <row r="76" spans="1:16" s="397" customFormat="1" ht="14.25" customHeight="1">
      <c r="A76" s="328"/>
      <c r="B76" s="326" t="s">
        <v>236</v>
      </c>
      <c r="C76" s="325" t="s">
        <v>185</v>
      </c>
      <c r="D76" s="324" t="s">
        <v>418</v>
      </c>
      <c r="E76" s="327">
        <v>232000000</v>
      </c>
      <c r="F76" s="327">
        <v>0</v>
      </c>
      <c r="G76" s="426">
        <v>232000000</v>
      </c>
      <c r="H76" s="327">
        <v>0</v>
      </c>
      <c r="I76" s="355">
        <v>6.5</v>
      </c>
      <c r="J76" s="356" t="s">
        <v>239</v>
      </c>
      <c r="K76" s="393"/>
      <c r="M76" s="384"/>
      <c r="N76" s="384"/>
      <c r="O76" s="384"/>
      <c r="P76" s="398"/>
    </row>
    <row r="77" spans="1:16" s="397" customFormat="1" ht="14.25" customHeight="1">
      <c r="A77" s="407"/>
      <c r="B77" s="408" t="s">
        <v>236</v>
      </c>
      <c r="C77" s="427" t="s">
        <v>180</v>
      </c>
      <c r="D77" s="410" t="s">
        <v>418</v>
      </c>
      <c r="E77" s="391">
        <v>100000000</v>
      </c>
      <c r="F77" s="327">
        <v>0</v>
      </c>
      <c r="G77" s="426">
        <v>100000000</v>
      </c>
      <c r="H77" s="327">
        <v>0</v>
      </c>
      <c r="I77" s="400">
        <v>6.8</v>
      </c>
      <c r="J77" s="428" t="s">
        <v>212</v>
      </c>
      <c r="K77" s="393"/>
      <c r="M77" s="384"/>
      <c r="N77" s="384"/>
      <c r="O77" s="384"/>
      <c r="P77" s="398"/>
    </row>
    <row r="78" spans="1:16" s="397" customFormat="1" ht="17.25" customHeight="1">
      <c r="A78" s="357" t="s">
        <v>376</v>
      </c>
      <c r="B78" s="358" t="s">
        <v>173</v>
      </c>
      <c r="C78" s="359" t="s">
        <v>173</v>
      </c>
      <c r="D78" s="360" t="s">
        <v>173</v>
      </c>
      <c r="E78" s="361">
        <v>14495000000</v>
      </c>
      <c r="F78" s="361">
        <v>0</v>
      </c>
      <c r="G78" s="361">
        <v>14495000000</v>
      </c>
      <c r="H78" s="361">
        <v>0</v>
      </c>
      <c r="I78" s="412"/>
      <c r="J78" s="413" t="s">
        <v>173</v>
      </c>
      <c r="K78" s="393"/>
      <c r="M78" s="384"/>
      <c r="N78" s="384"/>
      <c r="O78" s="384"/>
      <c r="P78" s="398"/>
    </row>
    <row r="79" spans="1:16" s="397" customFormat="1" ht="14.25" customHeight="1">
      <c r="A79" s="319" t="s">
        <v>240</v>
      </c>
      <c r="B79" s="321" t="s">
        <v>419</v>
      </c>
      <c r="C79" s="362" t="s">
        <v>189</v>
      </c>
      <c r="D79" s="321" t="s">
        <v>420</v>
      </c>
      <c r="E79" s="363">
        <v>150000000</v>
      </c>
      <c r="F79" s="327">
        <v>0</v>
      </c>
      <c r="G79" s="426">
        <v>150000000</v>
      </c>
      <c r="H79" s="327">
        <v>0</v>
      </c>
      <c r="I79" s="402">
        <v>6.7</v>
      </c>
      <c r="J79" s="403" t="s">
        <v>237</v>
      </c>
      <c r="K79" s="393"/>
      <c r="M79" s="384"/>
      <c r="N79" s="384"/>
      <c r="O79" s="384"/>
      <c r="P79" s="398"/>
    </row>
    <row r="80" spans="1:16" s="397" customFormat="1" ht="14.25" customHeight="1">
      <c r="A80" s="328" t="s">
        <v>182</v>
      </c>
      <c r="B80" s="326" t="s">
        <v>236</v>
      </c>
      <c r="C80" s="325" t="s">
        <v>189</v>
      </c>
      <c r="D80" s="324" t="s">
        <v>416</v>
      </c>
      <c r="E80" s="327">
        <v>482714000</v>
      </c>
      <c r="F80" s="327">
        <v>0</v>
      </c>
      <c r="G80" s="426">
        <v>482714000</v>
      </c>
      <c r="H80" s="327">
        <v>0</v>
      </c>
      <c r="I80" s="355">
        <v>6.7</v>
      </c>
      <c r="J80" s="356" t="s">
        <v>237</v>
      </c>
      <c r="K80" s="393"/>
      <c r="M80" s="384"/>
      <c r="N80" s="384"/>
      <c r="O80" s="384"/>
      <c r="P80" s="398"/>
    </row>
    <row r="81" spans="1:16" s="397" customFormat="1" ht="14.25" customHeight="1">
      <c r="A81" s="328"/>
      <c r="B81" s="326" t="s">
        <v>236</v>
      </c>
      <c r="C81" s="332" t="s">
        <v>180</v>
      </c>
      <c r="D81" s="324" t="s">
        <v>417</v>
      </c>
      <c r="E81" s="327">
        <v>200000000</v>
      </c>
      <c r="F81" s="327">
        <v>0</v>
      </c>
      <c r="G81" s="426">
        <v>200000000</v>
      </c>
      <c r="H81" s="327">
        <v>0</v>
      </c>
      <c r="I81" s="355">
        <v>6.9</v>
      </c>
      <c r="J81" s="356" t="s">
        <v>238</v>
      </c>
      <c r="K81" s="393"/>
      <c r="M81" s="384"/>
      <c r="N81" s="384"/>
      <c r="O81" s="384"/>
      <c r="P81" s="398"/>
    </row>
    <row r="82" spans="1:16" s="397" customFormat="1" ht="14.25" customHeight="1">
      <c r="A82" s="328"/>
      <c r="B82" s="326" t="s">
        <v>236</v>
      </c>
      <c r="C82" s="325" t="s">
        <v>189</v>
      </c>
      <c r="D82" s="324" t="s">
        <v>421</v>
      </c>
      <c r="E82" s="327">
        <v>125000000</v>
      </c>
      <c r="F82" s="327">
        <v>0</v>
      </c>
      <c r="G82" s="426">
        <v>125000000</v>
      </c>
      <c r="H82" s="327">
        <v>0</v>
      </c>
      <c r="I82" s="355">
        <v>6.7</v>
      </c>
      <c r="J82" s="356" t="s">
        <v>237</v>
      </c>
      <c r="K82" s="393"/>
      <c r="M82" s="384"/>
      <c r="N82" s="384"/>
      <c r="O82" s="384"/>
      <c r="P82" s="398"/>
    </row>
    <row r="83" spans="1:16" s="397" customFormat="1" ht="14.25" customHeight="1">
      <c r="A83" s="328"/>
      <c r="B83" s="326" t="s">
        <v>236</v>
      </c>
      <c r="C83" s="332" t="s">
        <v>180</v>
      </c>
      <c r="D83" s="324" t="s">
        <v>422</v>
      </c>
      <c r="E83" s="327">
        <v>500000000</v>
      </c>
      <c r="F83" s="327">
        <v>0</v>
      </c>
      <c r="G83" s="426">
        <v>500000000</v>
      </c>
      <c r="H83" s="327">
        <v>0</v>
      </c>
      <c r="I83" s="355">
        <v>6.8</v>
      </c>
      <c r="J83" s="356" t="s">
        <v>238</v>
      </c>
      <c r="K83" s="393"/>
      <c r="M83" s="384"/>
      <c r="N83" s="384"/>
      <c r="O83" s="384"/>
      <c r="P83" s="398"/>
    </row>
    <row r="84" spans="1:16" s="397" customFormat="1" ht="14.25" customHeight="1">
      <c r="A84" s="328"/>
      <c r="B84" s="326" t="s">
        <v>236</v>
      </c>
      <c r="C84" s="332" t="s">
        <v>180</v>
      </c>
      <c r="D84" s="324" t="s">
        <v>418</v>
      </c>
      <c r="E84" s="327">
        <v>200000000</v>
      </c>
      <c r="F84" s="327">
        <v>0</v>
      </c>
      <c r="G84" s="426">
        <v>200000000</v>
      </c>
      <c r="H84" s="327">
        <v>0</v>
      </c>
      <c r="I84" s="355">
        <v>6.8</v>
      </c>
      <c r="J84" s="356" t="s">
        <v>212</v>
      </c>
      <c r="K84" s="393"/>
      <c r="M84" s="384"/>
      <c r="N84" s="384"/>
      <c r="O84" s="384"/>
      <c r="P84" s="398"/>
    </row>
    <row r="85" spans="1:16" s="397" customFormat="1" ht="14.25" customHeight="1">
      <c r="A85" s="328"/>
      <c r="B85" s="326" t="s">
        <v>236</v>
      </c>
      <c r="C85" s="325" t="s">
        <v>185</v>
      </c>
      <c r="D85" s="324" t="s">
        <v>423</v>
      </c>
      <c r="E85" s="327">
        <v>2114870889</v>
      </c>
      <c r="F85" s="327">
        <v>0</v>
      </c>
      <c r="G85" s="426">
        <v>2114870889</v>
      </c>
      <c r="H85" s="327">
        <v>0</v>
      </c>
      <c r="I85" s="355">
        <v>6.5</v>
      </c>
      <c r="J85" s="356" t="s">
        <v>239</v>
      </c>
      <c r="K85" s="393"/>
      <c r="M85" s="384"/>
      <c r="N85" s="384"/>
      <c r="O85" s="384"/>
      <c r="P85" s="398"/>
    </row>
    <row r="86" spans="1:16" s="397" customFormat="1" ht="14.25" customHeight="1">
      <c r="A86" s="328"/>
      <c r="B86" s="326" t="s">
        <v>236</v>
      </c>
      <c r="C86" s="332" t="s">
        <v>180</v>
      </c>
      <c r="D86" s="324" t="s">
        <v>423</v>
      </c>
      <c r="E86" s="327">
        <v>300000000</v>
      </c>
      <c r="F86" s="327">
        <v>0</v>
      </c>
      <c r="G86" s="426">
        <v>300000000</v>
      </c>
      <c r="H86" s="327">
        <v>0</v>
      </c>
      <c r="I86" s="355">
        <v>6.8</v>
      </c>
      <c r="J86" s="356" t="s">
        <v>212</v>
      </c>
      <c r="K86" s="393"/>
      <c r="M86" s="384"/>
      <c r="N86" s="384"/>
      <c r="O86" s="384"/>
      <c r="P86" s="398"/>
    </row>
    <row r="87" spans="1:16" s="397" customFormat="1" ht="14.25" customHeight="1">
      <c r="A87" s="328"/>
      <c r="B87" s="326" t="s">
        <v>241</v>
      </c>
      <c r="C87" s="325" t="s">
        <v>189</v>
      </c>
      <c r="D87" s="324" t="s">
        <v>424</v>
      </c>
      <c r="E87" s="327">
        <v>700000000</v>
      </c>
      <c r="F87" s="327">
        <v>0</v>
      </c>
      <c r="G87" s="426">
        <v>700000000</v>
      </c>
      <c r="H87" s="327">
        <v>0</v>
      </c>
      <c r="I87" s="355">
        <v>6.4</v>
      </c>
      <c r="J87" s="356" t="s">
        <v>219</v>
      </c>
      <c r="K87" s="393"/>
      <c r="M87" s="384"/>
      <c r="N87" s="384"/>
      <c r="O87" s="384"/>
      <c r="P87" s="398"/>
    </row>
    <row r="88" spans="1:16" s="397" customFormat="1" ht="14.25" customHeight="1">
      <c r="A88" s="323"/>
      <c r="B88" s="324">
        <v>47</v>
      </c>
      <c r="C88" s="325" t="s">
        <v>189</v>
      </c>
      <c r="D88" s="324" t="s">
        <v>425</v>
      </c>
      <c r="E88" s="327">
        <v>1361276000</v>
      </c>
      <c r="F88" s="327">
        <v>0</v>
      </c>
      <c r="G88" s="426">
        <v>1361276000</v>
      </c>
      <c r="H88" s="327">
        <v>0</v>
      </c>
      <c r="I88" s="355">
        <v>6.4</v>
      </c>
      <c r="J88" s="356" t="s">
        <v>219</v>
      </c>
      <c r="K88" s="393"/>
      <c r="M88" s="384"/>
      <c r="N88" s="384"/>
      <c r="O88" s="384"/>
      <c r="P88" s="398"/>
    </row>
    <row r="89" spans="1:16" s="397" customFormat="1" ht="14.25" customHeight="1">
      <c r="A89" s="328"/>
      <c r="B89" s="326" t="s">
        <v>241</v>
      </c>
      <c r="C89" s="332" t="s">
        <v>180</v>
      </c>
      <c r="D89" s="324" t="s">
        <v>426</v>
      </c>
      <c r="E89" s="327">
        <v>130000000</v>
      </c>
      <c r="F89" s="327">
        <v>0</v>
      </c>
      <c r="G89" s="426">
        <v>130000000</v>
      </c>
      <c r="H89" s="327">
        <v>0</v>
      </c>
      <c r="I89" s="355">
        <v>6.8</v>
      </c>
      <c r="J89" s="356" t="s">
        <v>212</v>
      </c>
      <c r="K89" s="393"/>
      <c r="M89" s="384"/>
      <c r="N89" s="384"/>
      <c r="O89" s="384"/>
      <c r="P89" s="398"/>
    </row>
    <row r="90" spans="1:16" s="397" customFormat="1" ht="14.25" customHeight="1">
      <c r="A90" s="328"/>
      <c r="B90" s="326" t="s">
        <v>241</v>
      </c>
      <c r="C90" s="332" t="s">
        <v>180</v>
      </c>
      <c r="D90" s="324" t="s">
        <v>427</v>
      </c>
      <c r="E90" s="327">
        <v>1280000000</v>
      </c>
      <c r="F90" s="327">
        <v>0</v>
      </c>
      <c r="G90" s="426">
        <v>1280000000</v>
      </c>
      <c r="H90" s="327">
        <v>0</v>
      </c>
      <c r="I90" s="355">
        <v>7</v>
      </c>
      <c r="J90" s="356" t="s">
        <v>188</v>
      </c>
      <c r="K90" s="393"/>
      <c r="M90" s="384"/>
      <c r="N90" s="384"/>
      <c r="O90" s="384"/>
      <c r="P90" s="398"/>
    </row>
    <row r="91" spans="1:16" s="397" customFormat="1" ht="14.25" customHeight="1">
      <c r="A91" s="328"/>
      <c r="B91" s="326" t="s">
        <v>241</v>
      </c>
      <c r="C91" s="325" t="s">
        <v>185</v>
      </c>
      <c r="D91" s="324" t="s">
        <v>428</v>
      </c>
      <c r="E91" s="327">
        <v>3053639000</v>
      </c>
      <c r="F91" s="327">
        <v>0</v>
      </c>
      <c r="G91" s="426">
        <v>3053639000</v>
      </c>
      <c r="H91" s="327">
        <v>0</v>
      </c>
      <c r="I91" s="355">
        <v>6.75</v>
      </c>
      <c r="J91" s="356" t="s">
        <v>242</v>
      </c>
      <c r="K91" s="393"/>
      <c r="M91" s="384"/>
      <c r="N91" s="384"/>
      <c r="O91" s="384"/>
      <c r="P91" s="398"/>
    </row>
    <row r="92" spans="1:16" s="397" customFormat="1" ht="14.25" customHeight="1">
      <c r="A92" s="328"/>
      <c r="B92" s="326" t="s">
        <v>243</v>
      </c>
      <c r="C92" s="325" t="s">
        <v>189</v>
      </c>
      <c r="D92" s="324" t="s">
        <v>429</v>
      </c>
      <c r="E92" s="327">
        <v>921935000</v>
      </c>
      <c r="F92" s="327">
        <v>0</v>
      </c>
      <c r="G92" s="426">
        <v>921935000</v>
      </c>
      <c r="H92" s="327">
        <v>0</v>
      </c>
      <c r="I92" s="355">
        <v>7.7</v>
      </c>
      <c r="J92" s="356" t="s">
        <v>228</v>
      </c>
      <c r="K92" s="393"/>
      <c r="M92" s="384"/>
      <c r="N92" s="384"/>
      <c r="O92" s="384"/>
      <c r="P92" s="398"/>
    </row>
    <row r="93" spans="1:16" s="397" customFormat="1" ht="14.25" customHeight="1">
      <c r="A93" s="328"/>
      <c r="B93" s="326" t="s">
        <v>243</v>
      </c>
      <c r="C93" s="325" t="s">
        <v>189</v>
      </c>
      <c r="D93" s="324" t="s">
        <v>430</v>
      </c>
      <c r="E93" s="327">
        <v>565354000</v>
      </c>
      <c r="F93" s="327">
        <v>0</v>
      </c>
      <c r="G93" s="426">
        <v>565354000</v>
      </c>
      <c r="H93" s="327">
        <v>0</v>
      </c>
      <c r="I93" s="355">
        <v>7.7</v>
      </c>
      <c r="J93" s="356" t="s">
        <v>228</v>
      </c>
      <c r="K93" s="393"/>
      <c r="M93" s="384"/>
      <c r="N93" s="384"/>
      <c r="O93" s="384"/>
      <c r="P93" s="398"/>
    </row>
    <row r="94" spans="1:16" s="397" customFormat="1" ht="14.25" customHeight="1">
      <c r="A94" s="328"/>
      <c r="B94" s="326" t="s">
        <v>243</v>
      </c>
      <c r="C94" s="325" t="s">
        <v>189</v>
      </c>
      <c r="D94" s="324" t="s">
        <v>431</v>
      </c>
      <c r="E94" s="327">
        <v>500000000</v>
      </c>
      <c r="F94" s="327">
        <v>0</v>
      </c>
      <c r="G94" s="426">
        <v>500000000</v>
      </c>
      <c r="H94" s="327">
        <v>0</v>
      </c>
      <c r="I94" s="355">
        <v>7.7</v>
      </c>
      <c r="J94" s="356" t="s">
        <v>228</v>
      </c>
      <c r="K94" s="393"/>
      <c r="M94" s="384"/>
      <c r="N94" s="384"/>
      <c r="O94" s="384"/>
      <c r="P94" s="398"/>
    </row>
    <row r="95" spans="1:16" s="397" customFormat="1" ht="14.25" customHeight="1">
      <c r="A95" s="328"/>
      <c r="B95" s="326" t="s">
        <v>243</v>
      </c>
      <c r="C95" s="332" t="s">
        <v>180</v>
      </c>
      <c r="D95" s="324" t="s">
        <v>432</v>
      </c>
      <c r="E95" s="327">
        <v>1546000000</v>
      </c>
      <c r="F95" s="327">
        <v>0</v>
      </c>
      <c r="G95" s="426">
        <v>1546000000</v>
      </c>
      <c r="H95" s="327">
        <v>0</v>
      </c>
      <c r="I95" s="355">
        <v>8.5</v>
      </c>
      <c r="J95" s="356" t="s">
        <v>194</v>
      </c>
      <c r="K95" s="393"/>
      <c r="M95" s="384"/>
      <c r="N95" s="384"/>
      <c r="O95" s="384"/>
      <c r="P95" s="398"/>
    </row>
    <row r="96" spans="1:16" s="397" customFormat="1" ht="14.25" customHeight="1">
      <c r="A96" s="328"/>
      <c r="B96" s="326" t="s">
        <v>243</v>
      </c>
      <c r="C96" s="325" t="s">
        <v>185</v>
      </c>
      <c r="D96" s="324" t="s">
        <v>433</v>
      </c>
      <c r="E96" s="327">
        <v>4283722000</v>
      </c>
      <c r="F96" s="327">
        <v>0</v>
      </c>
      <c r="G96" s="426">
        <v>4283722000</v>
      </c>
      <c r="H96" s="327">
        <v>0</v>
      </c>
      <c r="I96" s="355">
        <v>8</v>
      </c>
      <c r="J96" s="356" t="s">
        <v>244</v>
      </c>
      <c r="K96" s="393"/>
      <c r="M96" s="384"/>
      <c r="N96" s="384"/>
      <c r="O96" s="384"/>
      <c r="P96" s="398"/>
    </row>
    <row r="97" spans="1:16" s="397" customFormat="1" ht="14.25" customHeight="1">
      <c r="A97" s="328"/>
      <c r="B97" s="326" t="s">
        <v>245</v>
      </c>
      <c r="C97" s="325" t="s">
        <v>189</v>
      </c>
      <c r="D97" s="324" t="s">
        <v>434</v>
      </c>
      <c r="E97" s="327">
        <v>1341938000</v>
      </c>
      <c r="F97" s="327">
        <v>0</v>
      </c>
      <c r="G97" s="426">
        <v>1341938000</v>
      </c>
      <c r="H97" s="327">
        <v>0</v>
      </c>
      <c r="I97" s="355">
        <v>8.1999999999999993</v>
      </c>
      <c r="J97" s="356" t="s">
        <v>242</v>
      </c>
      <c r="K97" s="393"/>
      <c r="M97" s="384"/>
      <c r="N97" s="384"/>
      <c r="O97" s="384"/>
      <c r="P97" s="398"/>
    </row>
    <row r="98" spans="1:16" s="397" customFormat="1" ht="14.25" customHeight="1">
      <c r="A98" s="323"/>
      <c r="B98" s="326" t="s">
        <v>245</v>
      </c>
      <c r="C98" s="332" t="s">
        <v>180</v>
      </c>
      <c r="D98" s="324" t="s">
        <v>435</v>
      </c>
      <c r="E98" s="327">
        <v>1000000000</v>
      </c>
      <c r="F98" s="327">
        <v>0</v>
      </c>
      <c r="G98" s="426">
        <v>1000000000</v>
      </c>
      <c r="H98" s="327">
        <v>0</v>
      </c>
      <c r="I98" s="355">
        <v>9.1</v>
      </c>
      <c r="J98" s="356" t="s">
        <v>198</v>
      </c>
      <c r="K98" s="393"/>
      <c r="M98" s="384"/>
      <c r="N98" s="384"/>
      <c r="O98" s="384"/>
      <c r="P98" s="398"/>
    </row>
    <row r="99" spans="1:16" s="397" customFormat="1" ht="14.25" customHeight="1">
      <c r="A99" s="328"/>
      <c r="B99" s="326" t="s">
        <v>245</v>
      </c>
      <c r="C99" s="325" t="s">
        <v>189</v>
      </c>
      <c r="D99" s="324" t="s">
        <v>436</v>
      </c>
      <c r="E99" s="327">
        <v>1030000000</v>
      </c>
      <c r="F99" s="327">
        <v>0</v>
      </c>
      <c r="G99" s="426">
        <v>1030000000</v>
      </c>
      <c r="H99" s="327">
        <v>0</v>
      </c>
      <c r="I99" s="355">
        <v>8.1999999999999993</v>
      </c>
      <c r="J99" s="356" t="s">
        <v>242</v>
      </c>
      <c r="K99" s="393"/>
      <c r="M99" s="384"/>
      <c r="N99" s="384"/>
      <c r="O99" s="384"/>
      <c r="P99" s="398"/>
    </row>
    <row r="100" spans="1:16" s="397" customFormat="1" ht="14.25" customHeight="1">
      <c r="A100" s="323"/>
      <c r="B100" s="324" t="s">
        <v>437</v>
      </c>
      <c r="C100" s="332" t="s">
        <v>180</v>
      </c>
      <c r="D100" s="324" t="s">
        <v>142</v>
      </c>
      <c r="E100" s="327">
        <v>600000000</v>
      </c>
      <c r="F100" s="327">
        <v>0</v>
      </c>
      <c r="G100" s="426">
        <v>600000000</v>
      </c>
      <c r="H100" s="327">
        <v>0</v>
      </c>
      <c r="I100" s="355">
        <v>9.1</v>
      </c>
      <c r="J100" s="356" t="s">
        <v>198</v>
      </c>
      <c r="K100" s="393"/>
      <c r="M100" s="384"/>
      <c r="N100" s="384"/>
      <c r="O100" s="384"/>
      <c r="P100" s="398"/>
    </row>
    <row r="101" spans="1:16" s="397" customFormat="1" ht="14.25" customHeight="1">
      <c r="A101" s="323"/>
      <c r="B101" s="326">
        <v>49</v>
      </c>
      <c r="C101" s="325" t="s">
        <v>189</v>
      </c>
      <c r="D101" s="324" t="s">
        <v>439</v>
      </c>
      <c r="E101" s="327">
        <v>416040000</v>
      </c>
      <c r="F101" s="327">
        <v>0</v>
      </c>
      <c r="G101" s="426">
        <v>416040000</v>
      </c>
      <c r="H101" s="327">
        <v>0</v>
      </c>
      <c r="I101" s="355">
        <v>8.1999999999999993</v>
      </c>
      <c r="J101" s="356" t="s">
        <v>242</v>
      </c>
      <c r="K101" s="393"/>
      <c r="M101" s="384"/>
      <c r="N101" s="384"/>
      <c r="O101" s="384"/>
      <c r="P101" s="398"/>
    </row>
    <row r="102" spans="1:16" s="397" customFormat="1" ht="14.25" customHeight="1">
      <c r="A102" s="328"/>
      <c r="B102" s="326" t="s">
        <v>245</v>
      </c>
      <c r="C102" s="332" t="s">
        <v>180</v>
      </c>
      <c r="D102" s="324" t="s">
        <v>440</v>
      </c>
      <c r="E102" s="327">
        <v>310000000</v>
      </c>
      <c r="F102" s="327">
        <v>0</v>
      </c>
      <c r="G102" s="426">
        <v>310000000</v>
      </c>
      <c r="H102" s="327">
        <v>0</v>
      </c>
      <c r="I102" s="355">
        <v>9.1</v>
      </c>
      <c r="J102" s="356" t="s">
        <v>201</v>
      </c>
      <c r="K102" s="393"/>
      <c r="M102" s="384"/>
      <c r="N102" s="384"/>
      <c r="O102" s="384"/>
      <c r="P102" s="398"/>
    </row>
    <row r="103" spans="1:16" s="397" customFormat="1" ht="14.25" customHeight="1">
      <c r="A103" s="328"/>
      <c r="B103" s="326" t="s">
        <v>245</v>
      </c>
      <c r="C103" s="332" t="s">
        <v>180</v>
      </c>
      <c r="D103" s="324" t="s">
        <v>441</v>
      </c>
      <c r="E103" s="327">
        <v>2000000000</v>
      </c>
      <c r="F103" s="327">
        <v>0</v>
      </c>
      <c r="G103" s="426">
        <v>2000000000</v>
      </c>
      <c r="H103" s="327">
        <v>0</v>
      </c>
      <c r="I103" s="355">
        <v>8.6</v>
      </c>
      <c r="J103" s="356" t="s">
        <v>201</v>
      </c>
      <c r="K103" s="393"/>
      <c r="M103" s="384"/>
      <c r="N103" s="384"/>
      <c r="O103" s="384"/>
      <c r="P103" s="398"/>
    </row>
    <row r="104" spans="1:16" s="397" customFormat="1" ht="14.25" customHeight="1">
      <c r="A104" s="328"/>
      <c r="B104" s="326" t="s">
        <v>245</v>
      </c>
      <c r="C104" s="332" t="s">
        <v>180</v>
      </c>
      <c r="D104" s="324" t="s">
        <v>442</v>
      </c>
      <c r="E104" s="327">
        <v>1000000000</v>
      </c>
      <c r="F104" s="327">
        <v>0</v>
      </c>
      <c r="G104" s="426">
        <v>1000000000</v>
      </c>
      <c r="H104" s="327">
        <v>0</v>
      </c>
      <c r="I104" s="355">
        <v>8.6</v>
      </c>
      <c r="J104" s="356" t="s">
        <v>201</v>
      </c>
      <c r="K104" s="393"/>
      <c r="M104" s="384"/>
      <c r="N104" s="384"/>
      <c r="O104" s="384"/>
      <c r="P104" s="398"/>
    </row>
    <row r="105" spans="1:16" s="397" customFormat="1" ht="14.25" customHeight="1">
      <c r="A105" s="328"/>
      <c r="B105" s="326">
        <v>50</v>
      </c>
      <c r="C105" s="325" t="s">
        <v>189</v>
      </c>
      <c r="D105" s="324" t="s">
        <v>443</v>
      </c>
      <c r="E105" s="327">
        <v>1422752000</v>
      </c>
      <c r="F105" s="327">
        <v>0</v>
      </c>
      <c r="G105" s="426">
        <v>1422752000</v>
      </c>
      <c r="H105" s="327">
        <v>0</v>
      </c>
      <c r="I105" s="355">
        <v>7.7</v>
      </c>
      <c r="J105" s="404" t="s">
        <v>246</v>
      </c>
      <c r="K105" s="405"/>
      <c r="M105" s="384"/>
      <c r="N105" s="384"/>
      <c r="O105" s="384"/>
      <c r="P105" s="398"/>
    </row>
    <row r="106" spans="1:16" s="397" customFormat="1" ht="14.25" customHeight="1">
      <c r="A106" s="365"/>
      <c r="B106" s="326">
        <v>49</v>
      </c>
      <c r="C106" s="325" t="s">
        <v>185</v>
      </c>
      <c r="D106" s="324" t="s">
        <v>712</v>
      </c>
      <c r="E106" s="327">
        <v>13759150000</v>
      </c>
      <c r="F106" s="327">
        <v>0</v>
      </c>
      <c r="G106" s="327">
        <v>13759150000</v>
      </c>
      <c r="H106" s="327">
        <v>0</v>
      </c>
      <c r="I106" s="355">
        <v>7.5</v>
      </c>
      <c r="J106" s="429" t="s">
        <v>247</v>
      </c>
      <c r="K106" s="405"/>
      <c r="M106" s="384"/>
      <c r="N106" s="384"/>
      <c r="O106" s="384"/>
      <c r="P106" s="398"/>
    </row>
    <row r="107" spans="1:16" s="397" customFormat="1" ht="14.25" customHeight="1">
      <c r="A107" s="365"/>
      <c r="B107" s="326">
        <v>50</v>
      </c>
      <c r="C107" s="325" t="s">
        <v>189</v>
      </c>
      <c r="D107" s="324" t="s">
        <v>324</v>
      </c>
      <c r="E107" s="327">
        <v>1878457000</v>
      </c>
      <c r="F107" s="327">
        <v>0</v>
      </c>
      <c r="G107" s="327">
        <v>1878457000</v>
      </c>
      <c r="H107" s="327">
        <v>0</v>
      </c>
      <c r="I107" s="355">
        <v>7.7</v>
      </c>
      <c r="J107" s="429" t="s">
        <v>246</v>
      </c>
      <c r="K107" s="405"/>
      <c r="M107" s="384"/>
      <c r="N107" s="384"/>
      <c r="O107" s="384"/>
      <c r="P107" s="398"/>
    </row>
    <row r="108" spans="1:16" s="397" customFormat="1" ht="14.25" customHeight="1">
      <c r="A108" s="365"/>
      <c r="B108" s="326" t="s">
        <v>248</v>
      </c>
      <c r="C108" s="325" t="s">
        <v>189</v>
      </c>
      <c r="D108" s="324" t="s">
        <v>325</v>
      </c>
      <c r="E108" s="327">
        <v>2740000000</v>
      </c>
      <c r="F108" s="327">
        <v>0</v>
      </c>
      <c r="G108" s="327">
        <v>2740000000</v>
      </c>
      <c r="H108" s="327">
        <v>0</v>
      </c>
      <c r="I108" s="355">
        <v>7.7</v>
      </c>
      <c r="J108" s="429" t="s">
        <v>246</v>
      </c>
      <c r="K108" s="405"/>
      <c r="M108" s="384"/>
      <c r="N108" s="384"/>
      <c r="O108" s="384"/>
      <c r="P108" s="398"/>
    </row>
    <row r="109" spans="1:16" s="397" customFormat="1" ht="14.25" customHeight="1">
      <c r="A109" s="365"/>
      <c r="B109" s="326" t="s">
        <v>248</v>
      </c>
      <c r="C109" s="325" t="s">
        <v>185</v>
      </c>
      <c r="D109" s="324" t="s">
        <v>326</v>
      </c>
      <c r="E109" s="327">
        <v>7512771000</v>
      </c>
      <c r="F109" s="327">
        <v>0</v>
      </c>
      <c r="G109" s="327">
        <v>7512771000</v>
      </c>
      <c r="H109" s="327">
        <v>0</v>
      </c>
      <c r="I109" s="355">
        <v>7.5</v>
      </c>
      <c r="J109" s="429" t="s">
        <v>249</v>
      </c>
      <c r="K109" s="405"/>
      <c r="M109" s="384"/>
      <c r="N109" s="384"/>
      <c r="O109" s="384"/>
      <c r="P109" s="398"/>
    </row>
    <row r="110" spans="1:16" s="397" customFormat="1" ht="14.25" customHeight="1">
      <c r="A110" s="365"/>
      <c r="B110" s="326" t="s">
        <v>250</v>
      </c>
      <c r="C110" s="325" t="s">
        <v>189</v>
      </c>
      <c r="D110" s="324" t="s">
        <v>327</v>
      </c>
      <c r="E110" s="327">
        <v>2103702000</v>
      </c>
      <c r="F110" s="327">
        <v>0</v>
      </c>
      <c r="G110" s="327">
        <v>2103702000</v>
      </c>
      <c r="H110" s="327">
        <v>0</v>
      </c>
      <c r="I110" s="355">
        <v>7.7</v>
      </c>
      <c r="J110" s="429" t="s">
        <v>244</v>
      </c>
      <c r="K110" s="405"/>
      <c r="M110" s="384"/>
      <c r="N110" s="384"/>
      <c r="O110" s="384"/>
      <c r="P110" s="398"/>
    </row>
    <row r="111" spans="1:16" s="397" customFormat="1" ht="14.25" customHeight="1" thickBot="1">
      <c r="A111" s="417"/>
      <c r="B111" s="418" t="s">
        <v>250</v>
      </c>
      <c r="C111" s="419" t="s">
        <v>189</v>
      </c>
      <c r="D111" s="420" t="s">
        <v>328</v>
      </c>
      <c r="E111" s="421">
        <v>1485841000</v>
      </c>
      <c r="F111" s="421">
        <v>0</v>
      </c>
      <c r="G111" s="421">
        <v>1485841000</v>
      </c>
      <c r="H111" s="327">
        <v>0</v>
      </c>
      <c r="I111" s="422">
        <v>7.7</v>
      </c>
      <c r="J111" s="430" t="s">
        <v>244</v>
      </c>
      <c r="K111" s="405"/>
      <c r="M111" s="384"/>
      <c r="N111" s="384"/>
      <c r="O111" s="384"/>
      <c r="P111" s="398"/>
    </row>
    <row r="112" spans="1:16" s="397" customFormat="1" ht="9.75" customHeight="1" thickBot="1">
      <c r="A112" s="431"/>
      <c r="B112" s="432"/>
      <c r="C112" s="346"/>
      <c r="D112" s="347"/>
      <c r="E112" s="348"/>
      <c r="F112" s="348"/>
      <c r="G112" s="348"/>
      <c r="H112" s="348"/>
      <c r="I112" s="433"/>
      <c r="J112" s="434"/>
      <c r="K112" s="393"/>
      <c r="M112" s="384"/>
      <c r="N112" s="384"/>
      <c r="O112" s="384"/>
      <c r="P112" s="398"/>
    </row>
    <row r="113" spans="1:16" s="397" customFormat="1">
      <c r="A113" s="466" t="s">
        <v>26</v>
      </c>
      <c r="B113" s="468" t="s">
        <v>311</v>
      </c>
      <c r="C113" s="470" t="s">
        <v>27</v>
      </c>
      <c r="D113" s="468" t="s">
        <v>312</v>
      </c>
      <c r="E113" s="472" t="s">
        <v>28</v>
      </c>
      <c r="F113" s="474" t="s">
        <v>29</v>
      </c>
      <c r="G113" s="476"/>
      <c r="H113" s="460" t="s">
        <v>174</v>
      </c>
      <c r="I113" s="462" t="s">
        <v>30</v>
      </c>
      <c r="J113" s="464" t="s">
        <v>313</v>
      </c>
      <c r="K113" s="399"/>
      <c r="M113" s="384"/>
      <c r="N113" s="384"/>
      <c r="O113" s="384"/>
      <c r="P113" s="398"/>
    </row>
    <row r="114" spans="1:16" s="397" customFormat="1">
      <c r="A114" s="467"/>
      <c r="B114" s="469"/>
      <c r="C114" s="471"/>
      <c r="D114" s="469"/>
      <c r="E114" s="473"/>
      <c r="F114" s="343" t="s">
        <v>176</v>
      </c>
      <c r="G114" s="343" t="s">
        <v>305</v>
      </c>
      <c r="H114" s="461"/>
      <c r="I114" s="463"/>
      <c r="J114" s="465"/>
      <c r="K114" s="401"/>
      <c r="M114" s="384"/>
      <c r="N114" s="384"/>
      <c r="O114" s="384"/>
      <c r="P114" s="398"/>
    </row>
    <row r="115" spans="1:16" s="397" customFormat="1">
      <c r="A115" s="319"/>
      <c r="B115" s="320"/>
      <c r="C115" s="320"/>
      <c r="D115" s="321" t="s">
        <v>177</v>
      </c>
      <c r="E115" s="322" t="s">
        <v>178</v>
      </c>
      <c r="F115" s="322" t="s">
        <v>172</v>
      </c>
      <c r="G115" s="322" t="s">
        <v>178</v>
      </c>
      <c r="H115" s="322" t="s">
        <v>178</v>
      </c>
      <c r="I115" s="402" t="s">
        <v>31</v>
      </c>
      <c r="J115" s="403" t="s">
        <v>175</v>
      </c>
      <c r="K115" s="393"/>
      <c r="M115" s="384"/>
      <c r="N115" s="384"/>
      <c r="O115" s="384"/>
      <c r="P115" s="398"/>
    </row>
    <row r="116" spans="1:16" s="397" customFormat="1" ht="14.25" customHeight="1">
      <c r="A116" s="323" t="s">
        <v>240</v>
      </c>
      <c r="B116" s="326" t="s">
        <v>329</v>
      </c>
      <c r="C116" s="325" t="s">
        <v>189</v>
      </c>
      <c r="D116" s="324" t="s">
        <v>691</v>
      </c>
      <c r="E116" s="327">
        <v>4952879000</v>
      </c>
      <c r="F116" s="327">
        <v>0</v>
      </c>
      <c r="G116" s="327">
        <v>4952879000</v>
      </c>
      <c r="H116" s="327">
        <v>0</v>
      </c>
      <c r="I116" s="355">
        <v>7.7</v>
      </c>
      <c r="J116" s="356" t="s">
        <v>244</v>
      </c>
      <c r="K116" s="393"/>
      <c r="M116" s="384"/>
      <c r="N116" s="384"/>
      <c r="O116" s="384"/>
      <c r="P116" s="398"/>
    </row>
    <row r="117" spans="1:16" s="397" customFormat="1" ht="14.25" customHeight="1">
      <c r="A117" s="328" t="s">
        <v>182</v>
      </c>
      <c r="B117" s="326" t="s">
        <v>250</v>
      </c>
      <c r="C117" s="325" t="s">
        <v>189</v>
      </c>
      <c r="D117" s="324" t="s">
        <v>444</v>
      </c>
      <c r="E117" s="327">
        <v>700000000</v>
      </c>
      <c r="F117" s="327">
        <v>0</v>
      </c>
      <c r="G117" s="327">
        <v>700000000</v>
      </c>
      <c r="H117" s="327">
        <v>0</v>
      </c>
      <c r="I117" s="355">
        <v>6.95</v>
      </c>
      <c r="J117" s="356" t="s">
        <v>244</v>
      </c>
      <c r="K117" s="393"/>
      <c r="M117" s="384"/>
      <c r="N117" s="384"/>
      <c r="O117" s="384"/>
      <c r="P117" s="398"/>
    </row>
    <row r="118" spans="1:16" s="397" customFormat="1" ht="14.25" customHeight="1">
      <c r="A118" s="328"/>
      <c r="B118" s="326" t="s">
        <v>250</v>
      </c>
      <c r="C118" s="325" t="s">
        <v>189</v>
      </c>
      <c r="D118" s="324" t="s">
        <v>445</v>
      </c>
      <c r="E118" s="327">
        <v>700000000</v>
      </c>
      <c r="F118" s="327">
        <v>0</v>
      </c>
      <c r="G118" s="327">
        <v>700000000</v>
      </c>
      <c r="H118" s="327">
        <v>0</v>
      </c>
      <c r="I118" s="355">
        <v>6.95</v>
      </c>
      <c r="J118" s="356" t="s">
        <v>244</v>
      </c>
      <c r="K118" s="393"/>
      <c r="M118" s="384"/>
      <c r="N118" s="384"/>
      <c r="O118" s="384"/>
      <c r="P118" s="398"/>
    </row>
    <row r="119" spans="1:16" s="397" customFormat="1" ht="14.25" customHeight="1">
      <c r="A119" s="328"/>
      <c r="B119" s="326" t="s">
        <v>250</v>
      </c>
      <c r="C119" s="325" t="s">
        <v>189</v>
      </c>
      <c r="D119" s="324" t="s">
        <v>446</v>
      </c>
      <c r="E119" s="327">
        <v>2000000000</v>
      </c>
      <c r="F119" s="327">
        <v>0</v>
      </c>
      <c r="G119" s="327">
        <v>2000000000</v>
      </c>
      <c r="H119" s="327">
        <v>0</v>
      </c>
      <c r="I119" s="355">
        <v>6.95</v>
      </c>
      <c r="J119" s="356" t="s">
        <v>244</v>
      </c>
      <c r="K119" s="393"/>
      <c r="M119" s="384"/>
      <c r="N119" s="384"/>
      <c r="O119" s="384"/>
      <c r="P119" s="398"/>
    </row>
    <row r="120" spans="1:16" s="397" customFormat="1" ht="14.25" customHeight="1">
      <c r="A120" s="328"/>
      <c r="B120" s="326" t="s">
        <v>250</v>
      </c>
      <c r="C120" s="325" t="s">
        <v>189</v>
      </c>
      <c r="D120" s="324" t="s">
        <v>447</v>
      </c>
      <c r="E120" s="327">
        <v>410000000</v>
      </c>
      <c r="F120" s="327">
        <v>0</v>
      </c>
      <c r="G120" s="327">
        <v>410000000</v>
      </c>
      <c r="H120" s="327">
        <v>0</v>
      </c>
      <c r="I120" s="355">
        <v>6.95</v>
      </c>
      <c r="J120" s="356" t="s">
        <v>247</v>
      </c>
      <c r="K120" s="393"/>
      <c r="M120" s="384"/>
      <c r="N120" s="384"/>
      <c r="O120" s="384"/>
      <c r="P120" s="398"/>
    </row>
    <row r="121" spans="1:16" s="397" customFormat="1" ht="14.25" customHeight="1">
      <c r="A121" s="328"/>
      <c r="B121" s="326">
        <v>52</v>
      </c>
      <c r="C121" s="325" t="s">
        <v>189</v>
      </c>
      <c r="D121" s="324" t="s">
        <v>448</v>
      </c>
      <c r="E121" s="327">
        <v>906331000</v>
      </c>
      <c r="F121" s="327">
        <v>0</v>
      </c>
      <c r="G121" s="327">
        <v>906331000</v>
      </c>
      <c r="H121" s="327">
        <v>0</v>
      </c>
      <c r="I121" s="355">
        <v>6.7</v>
      </c>
      <c r="J121" s="404" t="s">
        <v>247</v>
      </c>
      <c r="K121" s="405"/>
      <c r="M121" s="384"/>
      <c r="N121" s="384"/>
      <c r="O121" s="384"/>
      <c r="P121" s="398"/>
    </row>
    <row r="122" spans="1:16" s="397" customFormat="1" ht="14.25" customHeight="1">
      <c r="A122" s="328"/>
      <c r="B122" s="326" t="s">
        <v>250</v>
      </c>
      <c r="C122" s="325" t="s">
        <v>185</v>
      </c>
      <c r="D122" s="324" t="s">
        <v>449</v>
      </c>
      <c r="E122" s="327">
        <v>3969362000</v>
      </c>
      <c r="F122" s="327">
        <v>0</v>
      </c>
      <c r="G122" s="327">
        <v>3969362000</v>
      </c>
      <c r="H122" s="327">
        <v>0</v>
      </c>
      <c r="I122" s="355">
        <v>6.5</v>
      </c>
      <c r="J122" s="356" t="s">
        <v>251</v>
      </c>
      <c r="K122" s="393"/>
      <c r="M122" s="384"/>
      <c r="N122" s="384"/>
      <c r="O122" s="384"/>
      <c r="P122" s="398"/>
    </row>
    <row r="123" spans="1:16" s="397" customFormat="1" ht="14.25" customHeight="1">
      <c r="A123" s="328"/>
      <c r="B123" s="326" t="s">
        <v>252</v>
      </c>
      <c r="C123" s="325" t="s">
        <v>189</v>
      </c>
      <c r="D123" s="324" t="s">
        <v>450</v>
      </c>
      <c r="E123" s="327">
        <v>1480274000</v>
      </c>
      <c r="F123" s="327">
        <v>0</v>
      </c>
      <c r="G123" s="327">
        <v>1480274000</v>
      </c>
      <c r="H123" s="327">
        <v>0</v>
      </c>
      <c r="I123" s="355">
        <v>6.7</v>
      </c>
      <c r="J123" s="356" t="s">
        <v>247</v>
      </c>
      <c r="K123" s="393"/>
      <c r="M123" s="384"/>
      <c r="N123" s="384"/>
      <c r="O123" s="384"/>
      <c r="P123" s="398"/>
    </row>
    <row r="124" spans="1:16" s="397" customFormat="1" ht="14.25" customHeight="1">
      <c r="A124" s="328"/>
      <c r="B124" s="326" t="s">
        <v>252</v>
      </c>
      <c r="C124" s="325" t="s">
        <v>189</v>
      </c>
      <c r="D124" s="324" t="s">
        <v>451</v>
      </c>
      <c r="E124" s="327">
        <v>700000000</v>
      </c>
      <c r="F124" s="327">
        <v>0</v>
      </c>
      <c r="G124" s="327">
        <v>700000000</v>
      </c>
      <c r="H124" s="327">
        <v>0</v>
      </c>
      <c r="I124" s="355">
        <v>6.25</v>
      </c>
      <c r="J124" s="356" t="s">
        <v>247</v>
      </c>
      <c r="K124" s="393"/>
      <c r="M124" s="384"/>
      <c r="N124" s="384"/>
      <c r="O124" s="384"/>
      <c r="P124" s="398"/>
    </row>
    <row r="125" spans="1:16" s="397" customFormat="1" ht="14.25" customHeight="1">
      <c r="A125" s="328"/>
      <c r="B125" s="326" t="s">
        <v>252</v>
      </c>
      <c r="C125" s="325" t="s">
        <v>189</v>
      </c>
      <c r="D125" s="324" t="s">
        <v>452</v>
      </c>
      <c r="E125" s="327">
        <v>2000000000</v>
      </c>
      <c r="F125" s="327">
        <v>0</v>
      </c>
      <c r="G125" s="327">
        <v>2000000000</v>
      </c>
      <c r="H125" s="327">
        <v>0</v>
      </c>
      <c r="I125" s="355">
        <v>6.25</v>
      </c>
      <c r="J125" s="356" t="s">
        <v>247</v>
      </c>
      <c r="K125" s="393"/>
      <c r="M125" s="384"/>
      <c r="N125" s="384"/>
      <c r="O125" s="384"/>
      <c r="P125" s="398"/>
    </row>
    <row r="126" spans="1:16" s="397" customFormat="1" ht="14.25" customHeight="1">
      <c r="A126" s="328"/>
      <c r="B126" s="326" t="s">
        <v>252</v>
      </c>
      <c r="C126" s="325" t="s">
        <v>189</v>
      </c>
      <c r="D126" s="324" t="s">
        <v>453</v>
      </c>
      <c r="E126" s="327">
        <v>800000000</v>
      </c>
      <c r="F126" s="327">
        <v>0</v>
      </c>
      <c r="G126" s="327">
        <v>800000000</v>
      </c>
      <c r="H126" s="327">
        <v>0</v>
      </c>
      <c r="I126" s="355">
        <v>6.25</v>
      </c>
      <c r="J126" s="356" t="s">
        <v>247</v>
      </c>
      <c r="K126" s="393"/>
      <c r="M126" s="384"/>
      <c r="N126" s="384"/>
      <c r="O126" s="384"/>
      <c r="P126" s="398"/>
    </row>
    <row r="127" spans="1:16" s="397" customFormat="1" ht="14.25" customHeight="1">
      <c r="A127" s="328"/>
      <c r="B127" s="326" t="s">
        <v>252</v>
      </c>
      <c r="C127" s="325" t="s">
        <v>189</v>
      </c>
      <c r="D127" s="324" t="s">
        <v>454</v>
      </c>
      <c r="E127" s="327">
        <v>2100000000</v>
      </c>
      <c r="F127" s="327">
        <v>0</v>
      </c>
      <c r="G127" s="327">
        <v>2100000000</v>
      </c>
      <c r="H127" s="327">
        <v>0</v>
      </c>
      <c r="I127" s="355">
        <v>6.25</v>
      </c>
      <c r="J127" s="356" t="s">
        <v>249</v>
      </c>
      <c r="K127" s="393"/>
      <c r="M127" s="384"/>
      <c r="N127" s="384"/>
      <c r="O127" s="384"/>
      <c r="P127" s="398"/>
    </row>
    <row r="128" spans="1:16" s="397" customFormat="1" ht="14.25" customHeight="1">
      <c r="A128" s="328"/>
      <c r="B128" s="326" t="s">
        <v>252</v>
      </c>
      <c r="C128" s="325" t="s">
        <v>189</v>
      </c>
      <c r="D128" s="324" t="s">
        <v>455</v>
      </c>
      <c r="E128" s="327">
        <v>800000000</v>
      </c>
      <c r="F128" s="327">
        <v>0</v>
      </c>
      <c r="G128" s="327">
        <v>800000000</v>
      </c>
      <c r="H128" s="327">
        <v>0</v>
      </c>
      <c r="I128" s="355">
        <v>6.25</v>
      </c>
      <c r="J128" s="356" t="s">
        <v>249</v>
      </c>
      <c r="K128" s="393"/>
      <c r="M128" s="384"/>
      <c r="N128" s="384"/>
      <c r="O128" s="384"/>
      <c r="P128" s="398"/>
    </row>
    <row r="129" spans="1:16" s="397" customFormat="1" ht="14.25" customHeight="1">
      <c r="A129" s="328"/>
      <c r="B129" s="326" t="s">
        <v>252</v>
      </c>
      <c r="C129" s="325" t="s">
        <v>185</v>
      </c>
      <c r="D129" s="324" t="s">
        <v>456</v>
      </c>
      <c r="E129" s="327">
        <v>1257999000</v>
      </c>
      <c r="F129" s="327">
        <v>0</v>
      </c>
      <c r="G129" s="327">
        <v>1257999000</v>
      </c>
      <c r="H129" s="327">
        <v>0</v>
      </c>
      <c r="I129" s="355">
        <v>6.05</v>
      </c>
      <c r="J129" s="356" t="s">
        <v>253</v>
      </c>
      <c r="K129" s="393"/>
      <c r="M129" s="384"/>
      <c r="N129" s="384"/>
      <c r="O129" s="384"/>
      <c r="P129" s="398"/>
    </row>
    <row r="130" spans="1:16" s="397" customFormat="1" ht="14.25" customHeight="1">
      <c r="A130" s="328"/>
      <c r="B130" s="326" t="s">
        <v>252</v>
      </c>
      <c r="C130" s="325" t="s">
        <v>189</v>
      </c>
      <c r="D130" s="324" t="s">
        <v>456</v>
      </c>
      <c r="E130" s="327">
        <v>1525000000</v>
      </c>
      <c r="F130" s="327">
        <v>0</v>
      </c>
      <c r="G130" s="327">
        <v>1525000000</v>
      </c>
      <c r="H130" s="327">
        <v>0</v>
      </c>
      <c r="I130" s="355">
        <v>6.25</v>
      </c>
      <c r="J130" s="356" t="s">
        <v>249</v>
      </c>
      <c r="K130" s="393"/>
      <c r="M130" s="384"/>
      <c r="N130" s="384"/>
      <c r="O130" s="384"/>
      <c r="P130" s="398"/>
    </row>
    <row r="131" spans="1:16" s="397" customFormat="1" ht="14.25" customHeight="1">
      <c r="A131" s="328"/>
      <c r="B131" s="326" t="s">
        <v>254</v>
      </c>
      <c r="C131" s="325" t="s">
        <v>189</v>
      </c>
      <c r="D131" s="324" t="s">
        <v>457</v>
      </c>
      <c r="E131" s="327">
        <v>1000000000</v>
      </c>
      <c r="F131" s="327">
        <v>0</v>
      </c>
      <c r="G131" s="327">
        <v>1000000000</v>
      </c>
      <c r="H131" s="327">
        <v>0</v>
      </c>
      <c r="I131" s="355">
        <v>6.25</v>
      </c>
      <c r="J131" s="356" t="s">
        <v>249</v>
      </c>
      <c r="K131" s="393"/>
      <c r="M131" s="384"/>
      <c r="N131" s="384"/>
      <c r="O131" s="384"/>
      <c r="P131" s="398"/>
    </row>
    <row r="132" spans="1:16" s="397" customFormat="1" ht="14.25" customHeight="1">
      <c r="A132" s="323"/>
      <c r="B132" s="324" t="s">
        <v>255</v>
      </c>
      <c r="C132" s="325" t="s">
        <v>189</v>
      </c>
      <c r="D132" s="324" t="s">
        <v>458</v>
      </c>
      <c r="E132" s="327">
        <v>1000000000</v>
      </c>
      <c r="F132" s="327">
        <v>0</v>
      </c>
      <c r="G132" s="327">
        <v>1000000000</v>
      </c>
      <c r="H132" s="327">
        <v>0</v>
      </c>
      <c r="I132" s="355">
        <v>6.25</v>
      </c>
      <c r="J132" s="356" t="s">
        <v>249</v>
      </c>
      <c r="K132" s="393"/>
      <c r="M132" s="384"/>
      <c r="N132" s="384"/>
      <c r="O132" s="384"/>
      <c r="P132" s="398"/>
    </row>
    <row r="133" spans="1:16" s="397" customFormat="1" ht="14.25" customHeight="1">
      <c r="A133" s="328"/>
      <c r="B133" s="326" t="s">
        <v>254</v>
      </c>
      <c r="C133" s="325" t="s">
        <v>189</v>
      </c>
      <c r="D133" s="324" t="s">
        <v>459</v>
      </c>
      <c r="E133" s="327">
        <v>1000000000</v>
      </c>
      <c r="F133" s="327">
        <v>0</v>
      </c>
      <c r="G133" s="327">
        <v>1000000000</v>
      </c>
      <c r="H133" s="327">
        <v>0</v>
      </c>
      <c r="I133" s="355">
        <v>6.15</v>
      </c>
      <c r="J133" s="356" t="s">
        <v>249</v>
      </c>
      <c r="K133" s="393"/>
      <c r="M133" s="384"/>
      <c r="N133" s="384"/>
      <c r="O133" s="384"/>
      <c r="P133" s="398"/>
    </row>
    <row r="134" spans="1:16" s="397" customFormat="1" ht="14.25" customHeight="1">
      <c r="A134" s="328"/>
      <c r="B134" s="326" t="s">
        <v>254</v>
      </c>
      <c r="C134" s="325" t="s">
        <v>189</v>
      </c>
      <c r="D134" s="324" t="s">
        <v>460</v>
      </c>
      <c r="E134" s="327">
        <v>1000000000</v>
      </c>
      <c r="F134" s="327">
        <v>0</v>
      </c>
      <c r="G134" s="327">
        <v>1000000000</v>
      </c>
      <c r="H134" s="327">
        <v>0</v>
      </c>
      <c r="I134" s="355">
        <v>6.75</v>
      </c>
      <c r="J134" s="356" t="s">
        <v>249</v>
      </c>
      <c r="K134" s="393"/>
      <c r="M134" s="384"/>
      <c r="N134" s="384"/>
      <c r="O134" s="384"/>
      <c r="P134" s="398"/>
    </row>
    <row r="135" spans="1:16" s="397" customFormat="1" ht="14.25" customHeight="1">
      <c r="A135" s="328"/>
      <c r="B135" s="326" t="s">
        <v>254</v>
      </c>
      <c r="C135" s="325" t="s">
        <v>189</v>
      </c>
      <c r="D135" s="324" t="s">
        <v>461</v>
      </c>
      <c r="E135" s="327">
        <v>3722000000</v>
      </c>
      <c r="F135" s="327">
        <v>0</v>
      </c>
      <c r="G135" s="327">
        <v>3722000000</v>
      </c>
      <c r="H135" s="327">
        <v>0</v>
      </c>
      <c r="I135" s="355">
        <v>7.25</v>
      </c>
      <c r="J135" s="356" t="s">
        <v>251</v>
      </c>
      <c r="K135" s="393"/>
      <c r="M135" s="384"/>
      <c r="N135" s="384"/>
      <c r="O135" s="384"/>
      <c r="P135" s="398"/>
    </row>
    <row r="136" spans="1:16" s="397" customFormat="1" ht="14.25" customHeight="1">
      <c r="A136" s="328"/>
      <c r="B136" s="326" t="s">
        <v>254</v>
      </c>
      <c r="C136" s="325" t="s">
        <v>185</v>
      </c>
      <c r="D136" s="324" t="s">
        <v>462</v>
      </c>
      <c r="E136" s="327">
        <v>2078000000</v>
      </c>
      <c r="F136" s="327">
        <v>0</v>
      </c>
      <c r="G136" s="327">
        <v>2078000000</v>
      </c>
      <c r="H136" s="327">
        <v>0</v>
      </c>
      <c r="I136" s="355">
        <v>7.15</v>
      </c>
      <c r="J136" s="356" t="s">
        <v>256</v>
      </c>
      <c r="K136" s="393"/>
      <c r="M136" s="384"/>
      <c r="N136" s="384"/>
      <c r="O136" s="384"/>
      <c r="P136" s="398"/>
    </row>
    <row r="137" spans="1:16" s="397" customFormat="1" ht="14.25" customHeight="1">
      <c r="A137" s="328"/>
      <c r="B137" s="326" t="s">
        <v>257</v>
      </c>
      <c r="C137" s="325" t="s">
        <v>189</v>
      </c>
      <c r="D137" s="324" t="s">
        <v>463</v>
      </c>
      <c r="E137" s="327">
        <v>3300000000</v>
      </c>
      <c r="F137" s="327">
        <v>0</v>
      </c>
      <c r="G137" s="327">
        <v>3300000000</v>
      </c>
      <c r="H137" s="327">
        <v>0</v>
      </c>
      <c r="I137" s="355">
        <v>7.25</v>
      </c>
      <c r="J137" s="356" t="s">
        <v>251</v>
      </c>
      <c r="K137" s="393"/>
      <c r="M137" s="384"/>
      <c r="N137" s="384"/>
      <c r="O137" s="384"/>
      <c r="P137" s="398"/>
    </row>
    <row r="138" spans="1:16" s="397" customFormat="1" ht="14.25" customHeight="1">
      <c r="A138" s="328"/>
      <c r="B138" s="326" t="s">
        <v>257</v>
      </c>
      <c r="C138" s="325" t="s">
        <v>189</v>
      </c>
      <c r="D138" s="324" t="s">
        <v>464</v>
      </c>
      <c r="E138" s="327">
        <v>1000000000</v>
      </c>
      <c r="F138" s="327">
        <v>0</v>
      </c>
      <c r="G138" s="327">
        <v>1000000000</v>
      </c>
      <c r="H138" s="327">
        <v>0</v>
      </c>
      <c r="I138" s="355">
        <v>8.6</v>
      </c>
      <c r="J138" s="356" t="s">
        <v>465</v>
      </c>
      <c r="K138" s="393"/>
      <c r="M138" s="384"/>
      <c r="N138" s="384"/>
      <c r="O138" s="384"/>
      <c r="P138" s="398"/>
    </row>
    <row r="139" spans="1:16" s="397" customFormat="1" ht="14.25" customHeight="1">
      <c r="A139" s="328"/>
      <c r="B139" s="326" t="s">
        <v>257</v>
      </c>
      <c r="C139" s="325" t="s">
        <v>189</v>
      </c>
      <c r="D139" s="324" t="s">
        <v>466</v>
      </c>
      <c r="E139" s="327">
        <v>2500000000</v>
      </c>
      <c r="F139" s="327">
        <v>0</v>
      </c>
      <c r="G139" s="327">
        <v>2500000000</v>
      </c>
      <c r="H139" s="327">
        <v>0</v>
      </c>
      <c r="I139" s="355">
        <v>8.6</v>
      </c>
      <c r="J139" s="356" t="s">
        <v>143</v>
      </c>
      <c r="K139" s="393"/>
      <c r="M139" s="384"/>
      <c r="N139" s="384"/>
      <c r="O139" s="384"/>
      <c r="P139" s="398"/>
    </row>
    <row r="140" spans="1:16" s="397" customFormat="1" ht="14.25" customHeight="1">
      <c r="A140" s="328"/>
      <c r="B140" s="326" t="s">
        <v>257</v>
      </c>
      <c r="C140" s="325" t="s">
        <v>185</v>
      </c>
      <c r="D140" s="324" t="s">
        <v>468</v>
      </c>
      <c r="E140" s="327">
        <v>1550704816</v>
      </c>
      <c r="F140" s="327">
        <v>0</v>
      </c>
      <c r="G140" s="327">
        <v>1550704816</v>
      </c>
      <c r="H140" s="327">
        <v>0</v>
      </c>
      <c r="I140" s="355">
        <v>8</v>
      </c>
      <c r="J140" s="356" t="s">
        <v>469</v>
      </c>
      <c r="K140" s="393"/>
      <c r="M140" s="384"/>
      <c r="N140" s="384"/>
      <c r="O140" s="384"/>
      <c r="P140" s="398"/>
    </row>
    <row r="141" spans="1:16" s="397" customFormat="1" ht="14.25" customHeight="1">
      <c r="A141" s="328"/>
      <c r="B141" s="326" t="s">
        <v>257</v>
      </c>
      <c r="C141" s="325" t="s">
        <v>189</v>
      </c>
      <c r="D141" s="324" t="s">
        <v>470</v>
      </c>
      <c r="E141" s="327">
        <v>2579000000</v>
      </c>
      <c r="F141" s="327">
        <v>0</v>
      </c>
      <c r="G141" s="327">
        <v>2579000000</v>
      </c>
      <c r="H141" s="327">
        <v>0</v>
      </c>
      <c r="I141" s="355">
        <v>8.1</v>
      </c>
      <c r="J141" s="356" t="s">
        <v>253</v>
      </c>
      <c r="K141" s="393"/>
      <c r="M141" s="384"/>
      <c r="N141" s="384"/>
      <c r="O141" s="384"/>
      <c r="P141" s="398"/>
    </row>
    <row r="142" spans="1:16" s="397" customFormat="1" ht="14.25" customHeight="1">
      <c r="A142" s="328"/>
      <c r="B142" s="326" t="s">
        <v>258</v>
      </c>
      <c r="C142" s="325" t="s">
        <v>189</v>
      </c>
      <c r="D142" s="324" t="s">
        <v>471</v>
      </c>
      <c r="E142" s="327">
        <v>3500000000</v>
      </c>
      <c r="F142" s="327">
        <v>0</v>
      </c>
      <c r="G142" s="327">
        <v>3500000000</v>
      </c>
      <c r="H142" s="327">
        <v>0</v>
      </c>
      <c r="I142" s="355">
        <v>8.1</v>
      </c>
      <c r="J142" s="356" t="s">
        <v>465</v>
      </c>
      <c r="K142" s="393"/>
      <c r="M142" s="384"/>
      <c r="N142" s="384"/>
      <c r="O142" s="384"/>
      <c r="P142" s="398"/>
    </row>
    <row r="143" spans="1:16" s="397" customFormat="1" ht="14.25" customHeight="1">
      <c r="A143" s="328"/>
      <c r="B143" s="326" t="s">
        <v>258</v>
      </c>
      <c r="C143" s="325" t="s">
        <v>189</v>
      </c>
      <c r="D143" s="324" t="s">
        <v>472</v>
      </c>
      <c r="E143" s="327">
        <v>1000000000</v>
      </c>
      <c r="F143" s="327">
        <v>0</v>
      </c>
      <c r="G143" s="327">
        <v>1000000000</v>
      </c>
      <c r="H143" s="327">
        <v>0</v>
      </c>
      <c r="I143" s="355">
        <v>7.6</v>
      </c>
      <c r="J143" s="356" t="s">
        <v>253</v>
      </c>
      <c r="K143" s="393"/>
      <c r="M143" s="384"/>
      <c r="N143" s="384"/>
      <c r="O143" s="384"/>
      <c r="P143" s="398"/>
    </row>
    <row r="144" spans="1:16" s="397" customFormat="1" ht="14.25" customHeight="1">
      <c r="A144" s="328"/>
      <c r="B144" s="326" t="s">
        <v>258</v>
      </c>
      <c r="C144" s="325" t="s">
        <v>189</v>
      </c>
      <c r="D144" s="324" t="s">
        <v>473</v>
      </c>
      <c r="E144" s="327">
        <v>882000000</v>
      </c>
      <c r="F144" s="327">
        <v>0</v>
      </c>
      <c r="G144" s="327">
        <v>882000000</v>
      </c>
      <c r="H144" s="327">
        <v>0</v>
      </c>
      <c r="I144" s="355">
        <v>7.6</v>
      </c>
      <c r="J144" s="356" t="s">
        <v>256</v>
      </c>
      <c r="K144" s="393"/>
      <c r="M144" s="384"/>
      <c r="N144" s="384"/>
      <c r="O144" s="384"/>
      <c r="P144" s="398"/>
    </row>
    <row r="145" spans="1:16" s="397" customFormat="1" ht="14.25" customHeight="1">
      <c r="A145" s="328"/>
      <c r="B145" s="326" t="s">
        <v>258</v>
      </c>
      <c r="C145" s="325" t="s">
        <v>185</v>
      </c>
      <c r="D145" s="324" t="s">
        <v>474</v>
      </c>
      <c r="E145" s="327">
        <v>2385295998</v>
      </c>
      <c r="F145" s="327">
        <v>0</v>
      </c>
      <c r="G145" s="327">
        <v>2385295998</v>
      </c>
      <c r="H145" s="327">
        <v>0</v>
      </c>
      <c r="I145" s="355">
        <v>7.5</v>
      </c>
      <c r="J145" s="356" t="s">
        <v>469</v>
      </c>
      <c r="K145" s="393"/>
      <c r="M145" s="384"/>
      <c r="N145" s="384"/>
      <c r="O145" s="384"/>
      <c r="P145" s="398"/>
    </row>
    <row r="146" spans="1:16" s="397" customFormat="1" ht="14.25" customHeight="1">
      <c r="A146" s="328"/>
      <c r="B146" s="326" t="s">
        <v>259</v>
      </c>
      <c r="C146" s="325" t="s">
        <v>189</v>
      </c>
      <c r="D146" s="324" t="s">
        <v>475</v>
      </c>
      <c r="E146" s="327">
        <v>3800000000</v>
      </c>
      <c r="F146" s="327">
        <v>0</v>
      </c>
      <c r="G146" s="327">
        <v>3800000000</v>
      </c>
      <c r="H146" s="327">
        <v>0</v>
      </c>
      <c r="I146" s="355">
        <v>7.4</v>
      </c>
      <c r="J146" s="356" t="s">
        <v>65</v>
      </c>
      <c r="K146" s="393"/>
      <c r="M146" s="384"/>
      <c r="N146" s="384"/>
      <c r="O146" s="384"/>
      <c r="P146" s="398"/>
    </row>
    <row r="147" spans="1:16" s="397" customFormat="1" ht="14.25" customHeight="1">
      <c r="A147" s="323"/>
      <c r="B147" s="324" t="s">
        <v>145</v>
      </c>
      <c r="C147" s="325" t="s">
        <v>189</v>
      </c>
      <c r="D147" s="324" t="s">
        <v>146</v>
      </c>
      <c r="E147" s="327">
        <v>527000000</v>
      </c>
      <c r="F147" s="327">
        <v>0</v>
      </c>
      <c r="G147" s="327">
        <v>527000000</v>
      </c>
      <c r="H147" s="327">
        <v>0</v>
      </c>
      <c r="I147" s="355">
        <v>7.4</v>
      </c>
      <c r="J147" s="356" t="s">
        <v>61</v>
      </c>
      <c r="K147" s="393"/>
      <c r="M147" s="384"/>
      <c r="N147" s="384"/>
      <c r="O147" s="384"/>
      <c r="P147" s="398"/>
    </row>
    <row r="148" spans="1:16" s="397" customFormat="1" ht="14.25" customHeight="1">
      <c r="A148" s="328"/>
      <c r="B148" s="326" t="s">
        <v>259</v>
      </c>
      <c r="C148" s="325" t="s">
        <v>185</v>
      </c>
      <c r="D148" s="324" t="s">
        <v>480</v>
      </c>
      <c r="E148" s="327">
        <v>2101596178</v>
      </c>
      <c r="F148" s="327">
        <v>0</v>
      </c>
      <c r="G148" s="327">
        <v>2101596178</v>
      </c>
      <c r="H148" s="327">
        <v>0</v>
      </c>
      <c r="I148" s="355">
        <v>7.3</v>
      </c>
      <c r="J148" s="356" t="s">
        <v>469</v>
      </c>
      <c r="K148" s="393"/>
      <c r="M148" s="384"/>
      <c r="N148" s="384"/>
      <c r="O148" s="384"/>
      <c r="P148" s="398"/>
    </row>
    <row r="149" spans="1:16" s="397" customFormat="1" ht="14.25" customHeight="1">
      <c r="A149" s="328"/>
      <c r="B149" s="435">
        <v>54</v>
      </c>
      <c r="C149" s="325" t="s">
        <v>163</v>
      </c>
      <c r="D149" s="324" t="s">
        <v>321</v>
      </c>
      <c r="E149" s="327">
        <v>1020295184</v>
      </c>
      <c r="F149" s="327">
        <v>0</v>
      </c>
      <c r="G149" s="327">
        <v>1020295184</v>
      </c>
      <c r="H149" s="327">
        <v>0</v>
      </c>
      <c r="I149" s="355">
        <v>8</v>
      </c>
      <c r="J149" s="356" t="s">
        <v>638</v>
      </c>
      <c r="K149" s="393"/>
      <c r="M149" s="384"/>
      <c r="N149" s="384"/>
      <c r="O149" s="384"/>
      <c r="P149" s="398"/>
    </row>
    <row r="150" spans="1:16" s="397" customFormat="1" ht="14.25" customHeight="1">
      <c r="A150" s="328"/>
      <c r="B150" s="435">
        <v>55</v>
      </c>
      <c r="C150" s="325" t="s">
        <v>163</v>
      </c>
      <c r="D150" s="324" t="s">
        <v>639</v>
      </c>
      <c r="E150" s="327">
        <v>1862704002</v>
      </c>
      <c r="F150" s="327">
        <v>0</v>
      </c>
      <c r="G150" s="327">
        <v>1862704002</v>
      </c>
      <c r="H150" s="327">
        <v>0</v>
      </c>
      <c r="I150" s="355">
        <v>7.5</v>
      </c>
      <c r="J150" s="356" t="s">
        <v>638</v>
      </c>
      <c r="K150" s="393"/>
      <c r="M150" s="384"/>
      <c r="N150" s="384"/>
      <c r="O150" s="384"/>
      <c r="P150" s="398"/>
    </row>
    <row r="151" spans="1:16" s="397" customFormat="1" ht="14.25" customHeight="1">
      <c r="A151" s="323"/>
      <c r="B151" s="326">
        <v>56</v>
      </c>
      <c r="C151" s="325" t="s">
        <v>163</v>
      </c>
      <c r="D151" s="326" t="s">
        <v>639</v>
      </c>
      <c r="E151" s="327">
        <v>1944403822</v>
      </c>
      <c r="F151" s="327">
        <v>0</v>
      </c>
      <c r="G151" s="327">
        <v>1944403822</v>
      </c>
      <c r="H151" s="327">
        <v>0</v>
      </c>
      <c r="I151" s="355">
        <v>7.3</v>
      </c>
      <c r="J151" s="356" t="s">
        <v>638</v>
      </c>
      <c r="K151" s="393"/>
      <c r="M151" s="384"/>
      <c r="N151" s="384"/>
      <c r="O151" s="384"/>
      <c r="P151" s="398"/>
    </row>
    <row r="152" spans="1:16" s="397" customFormat="1" ht="14.25" customHeight="1">
      <c r="A152" s="328"/>
      <c r="B152" s="436" t="s">
        <v>147</v>
      </c>
      <c r="C152" s="325" t="s">
        <v>189</v>
      </c>
      <c r="D152" s="326" t="s">
        <v>640</v>
      </c>
      <c r="E152" s="327">
        <v>215000000</v>
      </c>
      <c r="F152" s="327">
        <v>0</v>
      </c>
      <c r="G152" s="327">
        <v>215000000</v>
      </c>
      <c r="H152" s="327">
        <v>0</v>
      </c>
      <c r="I152" s="355">
        <v>2.0499999999999998</v>
      </c>
      <c r="J152" s="356" t="s">
        <v>60</v>
      </c>
      <c r="K152" s="393"/>
      <c r="M152" s="384"/>
      <c r="N152" s="384"/>
      <c r="O152" s="384"/>
      <c r="P152" s="398"/>
    </row>
    <row r="153" spans="1:16" s="397" customFormat="1" ht="14.25" customHeight="1">
      <c r="A153" s="328"/>
      <c r="B153" s="324">
        <v>17</v>
      </c>
      <c r="C153" s="325" t="s">
        <v>189</v>
      </c>
      <c r="D153" s="326" t="s">
        <v>640</v>
      </c>
      <c r="E153" s="327">
        <v>634000000</v>
      </c>
      <c r="F153" s="327">
        <v>0</v>
      </c>
      <c r="G153" s="327">
        <v>634000000</v>
      </c>
      <c r="H153" s="327">
        <v>0</v>
      </c>
      <c r="I153" s="355">
        <v>2.0499999999999998</v>
      </c>
      <c r="J153" s="356" t="s">
        <v>60</v>
      </c>
      <c r="K153" s="393"/>
      <c r="M153" s="384"/>
      <c r="N153" s="384"/>
      <c r="O153" s="384"/>
      <c r="P153" s="398"/>
    </row>
    <row r="154" spans="1:16" s="397" customFormat="1" ht="14.25" customHeight="1">
      <c r="A154" s="328"/>
      <c r="B154" s="324">
        <v>17</v>
      </c>
      <c r="C154" s="325" t="s">
        <v>189</v>
      </c>
      <c r="D154" s="326" t="s">
        <v>640</v>
      </c>
      <c r="E154" s="327">
        <v>596000000</v>
      </c>
      <c r="F154" s="327">
        <v>0</v>
      </c>
      <c r="G154" s="327">
        <v>596000000</v>
      </c>
      <c r="H154" s="327">
        <v>0</v>
      </c>
      <c r="I154" s="355">
        <v>2.0499999999999998</v>
      </c>
      <c r="J154" s="356" t="s">
        <v>60</v>
      </c>
      <c r="K154" s="393"/>
      <c r="M154" s="384"/>
      <c r="N154" s="384"/>
      <c r="O154" s="384"/>
      <c r="P154" s="398"/>
    </row>
    <row r="155" spans="1:16" s="397" customFormat="1" ht="14.25" customHeight="1">
      <c r="A155" s="328"/>
      <c r="B155" s="324">
        <v>17</v>
      </c>
      <c r="C155" s="325" t="s">
        <v>189</v>
      </c>
      <c r="D155" s="326" t="s">
        <v>640</v>
      </c>
      <c r="E155" s="327">
        <v>981000000</v>
      </c>
      <c r="F155" s="327">
        <v>0</v>
      </c>
      <c r="G155" s="327">
        <v>981000000</v>
      </c>
      <c r="H155" s="327">
        <v>0</v>
      </c>
      <c r="I155" s="355">
        <v>2.0499999999999998</v>
      </c>
      <c r="J155" s="356" t="s">
        <v>61</v>
      </c>
      <c r="K155" s="393"/>
      <c r="M155" s="384"/>
      <c r="N155" s="384"/>
      <c r="O155" s="384"/>
      <c r="P155" s="398"/>
    </row>
    <row r="156" spans="1:16" s="397" customFormat="1" ht="14.25" customHeight="1">
      <c r="A156" s="328"/>
      <c r="B156" s="324">
        <v>18</v>
      </c>
      <c r="C156" s="325" t="s">
        <v>189</v>
      </c>
      <c r="D156" s="326" t="s">
        <v>64</v>
      </c>
      <c r="E156" s="327">
        <v>26300000</v>
      </c>
      <c r="F156" s="327">
        <v>0</v>
      </c>
      <c r="G156" s="327">
        <v>26300000</v>
      </c>
      <c r="H156" s="327">
        <v>0</v>
      </c>
      <c r="I156" s="355">
        <v>2.5499999999999998</v>
      </c>
      <c r="J156" s="356" t="s">
        <v>642</v>
      </c>
      <c r="K156" s="393"/>
      <c r="M156" s="384"/>
      <c r="N156" s="384"/>
      <c r="O156" s="384"/>
      <c r="P156" s="398"/>
    </row>
    <row r="157" spans="1:16" s="397" customFormat="1" ht="14.25" customHeight="1">
      <c r="A157" s="328"/>
      <c r="B157" s="324">
        <v>18</v>
      </c>
      <c r="C157" s="325" t="s">
        <v>189</v>
      </c>
      <c r="D157" s="326" t="s">
        <v>64</v>
      </c>
      <c r="E157" s="327">
        <v>201100000</v>
      </c>
      <c r="F157" s="327">
        <v>0</v>
      </c>
      <c r="G157" s="327">
        <v>201100000</v>
      </c>
      <c r="H157" s="327">
        <v>0</v>
      </c>
      <c r="I157" s="355">
        <v>2.5499999999999998</v>
      </c>
      <c r="J157" s="356" t="s">
        <v>642</v>
      </c>
      <c r="K157" s="393"/>
      <c r="M157" s="384"/>
      <c r="N157" s="384"/>
      <c r="O157" s="384"/>
      <c r="P157" s="398"/>
    </row>
    <row r="158" spans="1:16" s="397" customFormat="1" ht="14.25" customHeight="1">
      <c r="A158" s="328"/>
      <c r="B158" s="324">
        <v>18</v>
      </c>
      <c r="C158" s="325" t="s">
        <v>189</v>
      </c>
      <c r="D158" s="326" t="s">
        <v>351</v>
      </c>
      <c r="E158" s="327">
        <v>209100000</v>
      </c>
      <c r="F158" s="327">
        <v>0</v>
      </c>
      <c r="G158" s="327">
        <v>209100000</v>
      </c>
      <c r="H158" s="327">
        <v>0</v>
      </c>
      <c r="I158" s="355">
        <v>2.5499999999999998</v>
      </c>
      <c r="J158" s="356" t="s">
        <v>256</v>
      </c>
      <c r="K158" s="393"/>
      <c r="M158" s="384"/>
      <c r="N158" s="384"/>
      <c r="O158" s="384"/>
      <c r="P158" s="398"/>
    </row>
    <row r="159" spans="1:16" s="397" customFormat="1" ht="14.25" customHeight="1">
      <c r="A159" s="328"/>
      <c r="B159" s="324">
        <v>19</v>
      </c>
      <c r="C159" s="325" t="s">
        <v>495</v>
      </c>
      <c r="D159" s="326" t="s">
        <v>67</v>
      </c>
      <c r="E159" s="327">
        <v>544100000</v>
      </c>
      <c r="F159" s="327">
        <v>0</v>
      </c>
      <c r="G159" s="327">
        <v>544100000</v>
      </c>
      <c r="H159" s="327">
        <v>0</v>
      </c>
      <c r="I159" s="355">
        <v>2.4</v>
      </c>
      <c r="J159" s="356" t="s">
        <v>65</v>
      </c>
      <c r="K159" s="393"/>
      <c r="M159" s="384"/>
      <c r="N159" s="384"/>
      <c r="O159" s="384"/>
      <c r="P159" s="398"/>
    </row>
    <row r="160" spans="1:16" s="397" customFormat="1" ht="14.25" customHeight="1">
      <c r="A160" s="328"/>
      <c r="B160" s="324">
        <v>19</v>
      </c>
      <c r="C160" s="325" t="s">
        <v>495</v>
      </c>
      <c r="D160" s="326" t="s">
        <v>67</v>
      </c>
      <c r="E160" s="327">
        <v>92100000</v>
      </c>
      <c r="F160" s="327">
        <v>0</v>
      </c>
      <c r="G160" s="327">
        <v>92100000</v>
      </c>
      <c r="H160" s="327">
        <v>0</v>
      </c>
      <c r="I160" s="355">
        <v>2.4</v>
      </c>
      <c r="J160" s="356" t="s">
        <v>69</v>
      </c>
      <c r="K160" s="393"/>
      <c r="M160" s="384"/>
      <c r="N160" s="384"/>
      <c r="O160" s="384"/>
      <c r="P160" s="398"/>
    </row>
    <row r="161" spans="1:16" s="397" customFormat="1" ht="17.25" customHeight="1">
      <c r="A161" s="357" t="s">
        <v>376</v>
      </c>
      <c r="B161" s="358"/>
      <c r="C161" s="359"/>
      <c r="D161" s="360"/>
      <c r="E161" s="361">
        <v>124568706889</v>
      </c>
      <c r="F161" s="361">
        <v>0</v>
      </c>
      <c r="G161" s="361">
        <v>124568706889</v>
      </c>
      <c r="H161" s="361">
        <v>0</v>
      </c>
      <c r="I161" s="412"/>
      <c r="J161" s="413"/>
      <c r="K161" s="393"/>
      <c r="M161" s="384"/>
      <c r="N161" s="384"/>
      <c r="O161" s="384"/>
      <c r="P161" s="398"/>
    </row>
    <row r="162" spans="1:16" s="397" customFormat="1" ht="14.25" customHeight="1">
      <c r="A162" s="323" t="s">
        <v>481</v>
      </c>
      <c r="B162" s="324" t="s">
        <v>643</v>
      </c>
      <c r="C162" s="332" t="s">
        <v>184</v>
      </c>
      <c r="D162" s="324" t="s">
        <v>644</v>
      </c>
      <c r="E162" s="327">
        <v>60000000</v>
      </c>
      <c r="F162" s="327">
        <v>0</v>
      </c>
      <c r="G162" s="327">
        <v>60000000</v>
      </c>
      <c r="H162" s="327">
        <v>0</v>
      </c>
      <c r="I162" s="355">
        <v>7.1</v>
      </c>
      <c r="J162" s="356" t="s">
        <v>209</v>
      </c>
      <c r="K162" s="393"/>
      <c r="M162" s="384"/>
      <c r="N162" s="384"/>
      <c r="O162" s="384"/>
      <c r="P162" s="398"/>
    </row>
    <row r="163" spans="1:16" s="397" customFormat="1" ht="14.25" customHeight="1">
      <c r="A163" s="328" t="s">
        <v>482</v>
      </c>
      <c r="B163" s="326">
        <v>45</v>
      </c>
      <c r="C163" s="325" t="s">
        <v>185</v>
      </c>
      <c r="D163" s="324" t="s">
        <v>645</v>
      </c>
      <c r="E163" s="327">
        <v>340000000</v>
      </c>
      <c r="F163" s="327">
        <v>0</v>
      </c>
      <c r="G163" s="327">
        <v>340000000</v>
      </c>
      <c r="H163" s="327">
        <v>0</v>
      </c>
      <c r="I163" s="355">
        <v>6.5</v>
      </c>
      <c r="J163" s="356" t="s">
        <v>235</v>
      </c>
      <c r="K163" s="393"/>
      <c r="M163" s="384"/>
      <c r="N163" s="384"/>
      <c r="O163" s="384"/>
      <c r="P163" s="398"/>
    </row>
    <row r="164" spans="1:16" s="397" customFormat="1" ht="14.25" customHeight="1">
      <c r="A164" s="328"/>
      <c r="B164" s="326">
        <v>46</v>
      </c>
      <c r="C164" s="325" t="s">
        <v>189</v>
      </c>
      <c r="D164" s="324" t="s">
        <v>416</v>
      </c>
      <c r="E164" s="327">
        <v>100000000</v>
      </c>
      <c r="F164" s="327">
        <v>0</v>
      </c>
      <c r="G164" s="327">
        <v>100000000</v>
      </c>
      <c r="H164" s="327">
        <v>0</v>
      </c>
      <c r="I164" s="355">
        <v>6.7</v>
      </c>
      <c r="J164" s="356" t="s">
        <v>237</v>
      </c>
      <c r="K164" s="393"/>
      <c r="M164" s="384"/>
      <c r="N164" s="384"/>
      <c r="O164" s="384"/>
      <c r="P164" s="398"/>
    </row>
    <row r="165" spans="1:16" s="397" customFormat="1" ht="14.25" customHeight="1">
      <c r="A165" s="328"/>
      <c r="B165" s="326">
        <v>46</v>
      </c>
      <c r="C165" s="325" t="s">
        <v>189</v>
      </c>
      <c r="D165" s="324" t="s">
        <v>732</v>
      </c>
      <c r="E165" s="327">
        <v>107000000</v>
      </c>
      <c r="F165" s="327">
        <v>0</v>
      </c>
      <c r="G165" s="327">
        <v>107000000</v>
      </c>
      <c r="H165" s="327">
        <v>0</v>
      </c>
      <c r="I165" s="355">
        <v>6.7</v>
      </c>
      <c r="J165" s="356" t="s">
        <v>237</v>
      </c>
      <c r="K165" s="393"/>
      <c r="M165" s="384"/>
      <c r="N165" s="384"/>
      <c r="O165" s="384"/>
      <c r="P165" s="398"/>
    </row>
    <row r="166" spans="1:16" s="397" customFormat="1" ht="14.25" customHeight="1">
      <c r="A166" s="328"/>
      <c r="B166" s="326">
        <v>46</v>
      </c>
      <c r="C166" s="325" t="s">
        <v>185</v>
      </c>
      <c r="D166" s="324" t="s">
        <v>331</v>
      </c>
      <c r="E166" s="327">
        <v>238000000</v>
      </c>
      <c r="F166" s="327">
        <v>0</v>
      </c>
      <c r="G166" s="327">
        <v>238000000</v>
      </c>
      <c r="H166" s="327">
        <v>0</v>
      </c>
      <c r="I166" s="355">
        <v>6.5</v>
      </c>
      <c r="J166" s="356" t="s">
        <v>239</v>
      </c>
      <c r="K166" s="393"/>
      <c r="M166" s="384"/>
      <c r="N166" s="384"/>
      <c r="O166" s="384"/>
      <c r="P166" s="398"/>
    </row>
    <row r="167" spans="1:16" s="397" customFormat="1" ht="14.25" customHeight="1">
      <c r="A167" s="328"/>
      <c r="B167" s="326">
        <v>46</v>
      </c>
      <c r="C167" s="325" t="s">
        <v>180</v>
      </c>
      <c r="D167" s="324" t="s">
        <v>331</v>
      </c>
      <c r="E167" s="327">
        <v>250000000</v>
      </c>
      <c r="F167" s="327">
        <v>0</v>
      </c>
      <c r="G167" s="327">
        <v>250000000</v>
      </c>
      <c r="H167" s="327">
        <v>0</v>
      </c>
      <c r="I167" s="355">
        <v>6.8</v>
      </c>
      <c r="J167" s="356" t="s">
        <v>212</v>
      </c>
      <c r="K167" s="393"/>
      <c r="M167" s="384"/>
      <c r="N167" s="384"/>
      <c r="O167" s="384"/>
      <c r="P167" s="398"/>
    </row>
    <row r="168" spans="1:16" s="397" customFormat="1" ht="14.25" customHeight="1">
      <c r="A168" s="328"/>
      <c r="B168" s="326">
        <v>47</v>
      </c>
      <c r="C168" s="325" t="s">
        <v>189</v>
      </c>
      <c r="D168" s="324" t="s">
        <v>332</v>
      </c>
      <c r="E168" s="327">
        <v>280000000</v>
      </c>
      <c r="F168" s="327">
        <v>0</v>
      </c>
      <c r="G168" s="327">
        <v>280000000</v>
      </c>
      <c r="H168" s="327">
        <v>0</v>
      </c>
      <c r="I168" s="355">
        <v>6.4</v>
      </c>
      <c r="J168" s="356" t="s">
        <v>219</v>
      </c>
      <c r="K168" s="393"/>
      <c r="M168" s="384"/>
      <c r="N168" s="384"/>
      <c r="O168" s="384"/>
      <c r="P168" s="398"/>
    </row>
    <row r="169" spans="1:16" s="397" customFormat="1" ht="14.25" customHeight="1" thickBot="1">
      <c r="A169" s="345"/>
      <c r="B169" s="418">
        <v>47</v>
      </c>
      <c r="C169" s="419" t="s">
        <v>180</v>
      </c>
      <c r="D169" s="420" t="s">
        <v>333</v>
      </c>
      <c r="E169" s="421">
        <v>340000000</v>
      </c>
      <c r="F169" s="421">
        <v>0</v>
      </c>
      <c r="G169" s="421">
        <v>340000000</v>
      </c>
      <c r="H169" s="327">
        <v>0</v>
      </c>
      <c r="I169" s="422">
        <v>7</v>
      </c>
      <c r="J169" s="437" t="s">
        <v>188</v>
      </c>
      <c r="K169" s="393"/>
      <c r="M169" s="384"/>
      <c r="N169" s="384"/>
      <c r="O169" s="384"/>
      <c r="P169" s="398"/>
    </row>
    <row r="170" spans="1:16" s="397" customFormat="1" ht="9.75" customHeight="1" thickBot="1">
      <c r="A170" s="346"/>
      <c r="B170" s="432"/>
      <c r="C170" s="346"/>
      <c r="D170" s="347"/>
      <c r="E170" s="348"/>
      <c r="F170" s="348"/>
      <c r="G170" s="348"/>
      <c r="H170" s="348"/>
      <c r="I170" s="433"/>
      <c r="J170" s="434"/>
      <c r="K170" s="393"/>
      <c r="M170" s="384"/>
      <c r="N170" s="384"/>
      <c r="O170" s="384"/>
      <c r="P170" s="398"/>
    </row>
    <row r="171" spans="1:16" s="397" customFormat="1">
      <c r="A171" s="466" t="s">
        <v>26</v>
      </c>
      <c r="B171" s="468" t="s">
        <v>311</v>
      </c>
      <c r="C171" s="470" t="s">
        <v>27</v>
      </c>
      <c r="D171" s="468" t="s">
        <v>312</v>
      </c>
      <c r="E171" s="472" t="s">
        <v>28</v>
      </c>
      <c r="F171" s="474" t="s">
        <v>29</v>
      </c>
      <c r="G171" s="476"/>
      <c r="H171" s="460" t="s">
        <v>174</v>
      </c>
      <c r="I171" s="462" t="s">
        <v>30</v>
      </c>
      <c r="J171" s="464" t="s">
        <v>313</v>
      </c>
      <c r="K171" s="399"/>
      <c r="M171" s="384"/>
      <c r="N171" s="384"/>
      <c r="O171" s="384"/>
      <c r="P171" s="398"/>
    </row>
    <row r="172" spans="1:16" s="397" customFormat="1">
      <c r="A172" s="467"/>
      <c r="B172" s="469"/>
      <c r="C172" s="471"/>
      <c r="D172" s="469"/>
      <c r="E172" s="473"/>
      <c r="F172" s="343" t="s">
        <v>176</v>
      </c>
      <c r="G172" s="343" t="s">
        <v>305</v>
      </c>
      <c r="H172" s="461"/>
      <c r="I172" s="463"/>
      <c r="J172" s="465"/>
      <c r="K172" s="401"/>
      <c r="M172" s="384"/>
      <c r="N172" s="384"/>
      <c r="O172" s="384"/>
      <c r="P172" s="398"/>
    </row>
    <row r="173" spans="1:16" s="397" customFormat="1">
      <c r="A173" s="319"/>
      <c r="B173" s="320"/>
      <c r="C173" s="320"/>
      <c r="D173" s="321" t="s">
        <v>177</v>
      </c>
      <c r="E173" s="322" t="s">
        <v>178</v>
      </c>
      <c r="F173" s="322" t="s">
        <v>172</v>
      </c>
      <c r="G173" s="322" t="s">
        <v>178</v>
      </c>
      <c r="H173" s="322" t="s">
        <v>178</v>
      </c>
      <c r="I173" s="402" t="s">
        <v>31</v>
      </c>
      <c r="J173" s="403" t="s">
        <v>175</v>
      </c>
      <c r="K173" s="393"/>
      <c r="M173" s="384"/>
      <c r="N173" s="384"/>
      <c r="O173" s="384"/>
      <c r="P173" s="398"/>
    </row>
    <row r="174" spans="1:16" s="397" customFormat="1" ht="14.25" customHeight="1">
      <c r="A174" s="323" t="s">
        <v>481</v>
      </c>
      <c r="B174" s="326" t="s">
        <v>340</v>
      </c>
      <c r="C174" s="325" t="s">
        <v>185</v>
      </c>
      <c r="D174" s="324" t="s">
        <v>692</v>
      </c>
      <c r="E174" s="327">
        <v>500000000</v>
      </c>
      <c r="F174" s="327">
        <v>0</v>
      </c>
      <c r="G174" s="327">
        <v>500000000</v>
      </c>
      <c r="H174" s="327">
        <v>0</v>
      </c>
      <c r="I174" s="355">
        <v>6.75</v>
      </c>
      <c r="J174" s="356" t="s">
        <v>242</v>
      </c>
      <c r="K174" s="393"/>
      <c r="M174" s="384"/>
      <c r="N174" s="384"/>
      <c r="O174" s="384"/>
      <c r="P174" s="398"/>
    </row>
    <row r="175" spans="1:16" s="397" customFormat="1" ht="14.25" customHeight="1">
      <c r="A175" s="328" t="s">
        <v>482</v>
      </c>
      <c r="B175" s="326">
        <v>48</v>
      </c>
      <c r="C175" s="325" t="s">
        <v>189</v>
      </c>
      <c r="D175" s="324" t="s">
        <v>483</v>
      </c>
      <c r="E175" s="327">
        <v>300000000</v>
      </c>
      <c r="F175" s="327">
        <v>0</v>
      </c>
      <c r="G175" s="327">
        <v>300000000</v>
      </c>
      <c r="H175" s="327">
        <v>0</v>
      </c>
      <c r="I175" s="355">
        <v>7.7</v>
      </c>
      <c r="J175" s="356" t="s">
        <v>228</v>
      </c>
      <c r="K175" s="393"/>
      <c r="M175" s="384"/>
      <c r="N175" s="384"/>
      <c r="O175" s="384"/>
      <c r="P175" s="398"/>
    </row>
    <row r="176" spans="1:16" s="397" customFormat="1" ht="14.25" customHeight="1">
      <c r="A176" s="328"/>
      <c r="B176" s="326">
        <v>48</v>
      </c>
      <c r="C176" s="325" t="s">
        <v>189</v>
      </c>
      <c r="D176" s="324" t="s">
        <v>430</v>
      </c>
      <c r="E176" s="327">
        <v>140000000</v>
      </c>
      <c r="F176" s="327">
        <v>0</v>
      </c>
      <c r="G176" s="327">
        <v>140000000</v>
      </c>
      <c r="H176" s="327">
        <v>0</v>
      </c>
      <c r="I176" s="355">
        <v>7.7</v>
      </c>
      <c r="J176" s="356" t="s">
        <v>228</v>
      </c>
      <c r="K176" s="393"/>
      <c r="M176" s="384"/>
      <c r="N176" s="384"/>
      <c r="O176" s="384"/>
      <c r="P176" s="398"/>
    </row>
    <row r="177" spans="1:16" s="397" customFormat="1" ht="14.25" customHeight="1">
      <c r="A177" s="328"/>
      <c r="B177" s="326">
        <v>48</v>
      </c>
      <c r="C177" s="332" t="s">
        <v>180</v>
      </c>
      <c r="D177" s="324" t="s">
        <v>484</v>
      </c>
      <c r="E177" s="327">
        <v>379000000</v>
      </c>
      <c r="F177" s="327">
        <v>0</v>
      </c>
      <c r="G177" s="327">
        <v>379000000</v>
      </c>
      <c r="H177" s="327">
        <v>0</v>
      </c>
      <c r="I177" s="355">
        <v>8.5</v>
      </c>
      <c r="J177" s="356" t="s">
        <v>194</v>
      </c>
      <c r="K177" s="393"/>
      <c r="M177" s="384"/>
      <c r="N177" s="384"/>
      <c r="O177" s="384"/>
      <c r="P177" s="398"/>
    </row>
    <row r="178" spans="1:16" s="397" customFormat="1" ht="14.25" customHeight="1">
      <c r="A178" s="328"/>
      <c r="B178" s="326">
        <v>48</v>
      </c>
      <c r="C178" s="325" t="s">
        <v>185</v>
      </c>
      <c r="D178" s="324" t="s">
        <v>433</v>
      </c>
      <c r="E178" s="327">
        <v>981000000</v>
      </c>
      <c r="F178" s="327">
        <v>0</v>
      </c>
      <c r="G178" s="327">
        <v>981000000</v>
      </c>
      <c r="H178" s="327">
        <v>0</v>
      </c>
      <c r="I178" s="355">
        <v>8</v>
      </c>
      <c r="J178" s="356" t="s">
        <v>244</v>
      </c>
      <c r="K178" s="393"/>
      <c r="M178" s="384"/>
      <c r="N178" s="384"/>
      <c r="O178" s="384"/>
      <c r="P178" s="398"/>
    </row>
    <row r="179" spans="1:16" s="397" customFormat="1" ht="14.25" customHeight="1">
      <c r="A179" s="328"/>
      <c r="B179" s="326">
        <v>49</v>
      </c>
      <c r="C179" s="325" t="s">
        <v>189</v>
      </c>
      <c r="D179" s="324" t="s">
        <v>436</v>
      </c>
      <c r="E179" s="327">
        <v>150000000</v>
      </c>
      <c r="F179" s="327">
        <v>0</v>
      </c>
      <c r="G179" s="327">
        <v>150000000</v>
      </c>
      <c r="H179" s="327">
        <v>0</v>
      </c>
      <c r="I179" s="355">
        <v>8.1999999999999993</v>
      </c>
      <c r="J179" s="356" t="s">
        <v>242</v>
      </c>
      <c r="K179" s="393"/>
      <c r="M179" s="384"/>
      <c r="N179" s="384"/>
      <c r="O179" s="384"/>
      <c r="P179" s="398"/>
    </row>
    <row r="180" spans="1:16" s="397" customFormat="1" ht="14.25" customHeight="1">
      <c r="A180" s="328"/>
      <c r="B180" s="326">
        <v>49</v>
      </c>
      <c r="C180" s="332" t="s">
        <v>180</v>
      </c>
      <c r="D180" s="324" t="s">
        <v>485</v>
      </c>
      <c r="E180" s="327">
        <v>150000000</v>
      </c>
      <c r="F180" s="327">
        <v>0</v>
      </c>
      <c r="G180" s="327">
        <v>150000000</v>
      </c>
      <c r="H180" s="327">
        <v>0</v>
      </c>
      <c r="I180" s="355">
        <v>9.1</v>
      </c>
      <c r="J180" s="356" t="s">
        <v>198</v>
      </c>
      <c r="K180" s="393"/>
      <c r="M180" s="384"/>
      <c r="N180" s="384"/>
      <c r="O180" s="384"/>
      <c r="P180" s="398"/>
    </row>
    <row r="181" spans="1:16" s="397" customFormat="1" ht="14.25" customHeight="1">
      <c r="A181" s="328"/>
      <c r="B181" s="326">
        <v>49</v>
      </c>
      <c r="C181" s="325" t="s">
        <v>185</v>
      </c>
      <c r="D181" s="324" t="s">
        <v>486</v>
      </c>
      <c r="E181" s="327">
        <v>700000000</v>
      </c>
      <c r="F181" s="327">
        <v>0</v>
      </c>
      <c r="G181" s="327">
        <v>700000000</v>
      </c>
      <c r="H181" s="327">
        <v>0</v>
      </c>
      <c r="I181" s="355">
        <v>8</v>
      </c>
      <c r="J181" s="356" t="s">
        <v>244</v>
      </c>
      <c r="K181" s="393"/>
      <c r="M181" s="384"/>
      <c r="N181" s="384"/>
      <c r="O181" s="384"/>
      <c r="P181" s="398"/>
    </row>
    <row r="182" spans="1:16" s="397" customFormat="1" ht="14.25" customHeight="1">
      <c r="A182" s="328"/>
      <c r="B182" s="326">
        <v>50</v>
      </c>
      <c r="C182" s="325" t="s">
        <v>189</v>
      </c>
      <c r="D182" s="324" t="s">
        <v>487</v>
      </c>
      <c r="E182" s="327">
        <v>300000000</v>
      </c>
      <c r="F182" s="327">
        <v>0</v>
      </c>
      <c r="G182" s="327">
        <v>300000000</v>
      </c>
      <c r="H182" s="327">
        <v>0</v>
      </c>
      <c r="I182" s="355">
        <v>7.7</v>
      </c>
      <c r="J182" s="356" t="s">
        <v>246</v>
      </c>
      <c r="K182" s="393"/>
      <c r="M182" s="384"/>
      <c r="N182" s="384"/>
      <c r="O182" s="384"/>
      <c r="P182" s="398"/>
    </row>
    <row r="183" spans="1:16" s="397" customFormat="1" ht="14.25" customHeight="1">
      <c r="A183" s="328"/>
      <c r="B183" s="326">
        <v>50</v>
      </c>
      <c r="C183" s="325" t="s">
        <v>185</v>
      </c>
      <c r="D183" s="324" t="s">
        <v>488</v>
      </c>
      <c r="E183" s="327">
        <v>700000000</v>
      </c>
      <c r="F183" s="327">
        <v>0</v>
      </c>
      <c r="G183" s="327">
        <v>700000000</v>
      </c>
      <c r="H183" s="327">
        <v>0</v>
      </c>
      <c r="I183" s="355">
        <v>7.5</v>
      </c>
      <c r="J183" s="356" t="s">
        <v>249</v>
      </c>
      <c r="K183" s="393"/>
      <c r="M183" s="384"/>
      <c r="N183" s="384"/>
      <c r="O183" s="384"/>
      <c r="P183" s="398"/>
    </row>
    <row r="184" spans="1:16" s="397" customFormat="1" ht="14.25" customHeight="1">
      <c r="A184" s="328"/>
      <c r="B184" s="326">
        <v>51</v>
      </c>
      <c r="C184" s="325" t="s">
        <v>189</v>
      </c>
      <c r="D184" s="324" t="s">
        <v>446</v>
      </c>
      <c r="E184" s="327">
        <v>400000000</v>
      </c>
      <c r="F184" s="327">
        <v>0</v>
      </c>
      <c r="G184" s="327">
        <v>400000000</v>
      </c>
      <c r="H184" s="327">
        <v>0</v>
      </c>
      <c r="I184" s="355">
        <v>6.95</v>
      </c>
      <c r="J184" s="356" t="s">
        <v>244</v>
      </c>
      <c r="K184" s="393"/>
      <c r="M184" s="384"/>
      <c r="N184" s="384"/>
      <c r="O184" s="384"/>
      <c r="P184" s="398"/>
    </row>
    <row r="185" spans="1:16" s="397" customFormat="1" ht="14.25" customHeight="1">
      <c r="A185" s="328"/>
      <c r="B185" s="326">
        <v>51</v>
      </c>
      <c r="C185" s="325" t="s">
        <v>189</v>
      </c>
      <c r="D185" s="324" t="s">
        <v>489</v>
      </c>
      <c r="E185" s="327">
        <v>440000000</v>
      </c>
      <c r="F185" s="327">
        <v>0</v>
      </c>
      <c r="G185" s="327">
        <v>440000000</v>
      </c>
      <c r="H185" s="327">
        <v>0</v>
      </c>
      <c r="I185" s="355">
        <v>6.7</v>
      </c>
      <c r="J185" s="356" t="s">
        <v>247</v>
      </c>
      <c r="K185" s="393"/>
      <c r="M185" s="384"/>
      <c r="N185" s="384"/>
      <c r="O185" s="384"/>
      <c r="P185" s="398"/>
    </row>
    <row r="186" spans="1:16" s="397" customFormat="1" ht="14.25" customHeight="1">
      <c r="A186" s="328"/>
      <c r="B186" s="326">
        <v>52</v>
      </c>
      <c r="C186" s="325" t="s">
        <v>189</v>
      </c>
      <c r="D186" s="324" t="s">
        <v>458</v>
      </c>
      <c r="E186" s="327">
        <v>400000000</v>
      </c>
      <c r="F186" s="327">
        <v>0</v>
      </c>
      <c r="G186" s="327">
        <v>400000000</v>
      </c>
      <c r="H186" s="327">
        <v>0</v>
      </c>
      <c r="I186" s="355">
        <v>6.25</v>
      </c>
      <c r="J186" s="356" t="s">
        <v>249</v>
      </c>
      <c r="K186" s="393"/>
      <c r="M186" s="384"/>
      <c r="N186" s="384"/>
      <c r="O186" s="384"/>
      <c r="P186" s="398"/>
    </row>
    <row r="187" spans="1:16" s="397" customFormat="1" ht="14.25" customHeight="1">
      <c r="A187" s="328"/>
      <c r="B187" s="326">
        <v>53</v>
      </c>
      <c r="C187" s="325" t="s">
        <v>189</v>
      </c>
      <c r="D187" s="324" t="s">
        <v>490</v>
      </c>
      <c r="E187" s="327">
        <v>209000000</v>
      </c>
      <c r="F187" s="327">
        <v>0</v>
      </c>
      <c r="G187" s="327">
        <v>209000000</v>
      </c>
      <c r="H187" s="327">
        <v>0</v>
      </c>
      <c r="I187" s="355">
        <v>7.25</v>
      </c>
      <c r="J187" s="356" t="s">
        <v>251</v>
      </c>
      <c r="K187" s="393"/>
      <c r="M187" s="384"/>
      <c r="N187" s="384"/>
      <c r="O187" s="384"/>
      <c r="P187" s="398"/>
    </row>
    <row r="188" spans="1:16" s="397" customFormat="1" ht="14.25" customHeight="1">
      <c r="A188" s="328"/>
      <c r="B188" s="326">
        <v>54</v>
      </c>
      <c r="C188" s="325" t="s">
        <v>189</v>
      </c>
      <c r="D188" s="324" t="s">
        <v>463</v>
      </c>
      <c r="E188" s="327">
        <v>44000000</v>
      </c>
      <c r="F188" s="327">
        <v>0</v>
      </c>
      <c r="G188" s="327">
        <v>44000000</v>
      </c>
      <c r="H188" s="327">
        <v>0</v>
      </c>
      <c r="I188" s="355">
        <v>7.25</v>
      </c>
      <c r="J188" s="356" t="s">
        <v>251</v>
      </c>
      <c r="K188" s="393"/>
      <c r="M188" s="384"/>
      <c r="N188" s="384"/>
      <c r="O188" s="384"/>
      <c r="P188" s="398"/>
    </row>
    <row r="189" spans="1:16" s="397" customFormat="1" ht="14.25" customHeight="1">
      <c r="A189" s="328"/>
      <c r="B189" s="326">
        <v>54</v>
      </c>
      <c r="C189" s="325" t="s">
        <v>189</v>
      </c>
      <c r="D189" s="324" t="s">
        <v>464</v>
      </c>
      <c r="E189" s="327">
        <v>40000000</v>
      </c>
      <c r="F189" s="327">
        <v>0</v>
      </c>
      <c r="G189" s="327">
        <v>40000000</v>
      </c>
      <c r="H189" s="327">
        <v>0</v>
      </c>
      <c r="I189" s="355">
        <v>8.6</v>
      </c>
      <c r="J189" s="356" t="s">
        <v>465</v>
      </c>
      <c r="K189" s="393"/>
      <c r="M189" s="384"/>
      <c r="N189" s="384"/>
      <c r="O189" s="384"/>
      <c r="P189" s="398"/>
    </row>
    <row r="190" spans="1:16" s="397" customFormat="1" ht="14.25" customHeight="1">
      <c r="A190" s="328"/>
      <c r="B190" s="326">
        <v>55</v>
      </c>
      <c r="C190" s="325" t="s">
        <v>189</v>
      </c>
      <c r="D190" s="324" t="s">
        <v>491</v>
      </c>
      <c r="E190" s="327">
        <v>30000000</v>
      </c>
      <c r="F190" s="327">
        <v>0</v>
      </c>
      <c r="G190" s="327">
        <v>30000000</v>
      </c>
      <c r="H190" s="327">
        <v>0</v>
      </c>
      <c r="I190" s="355">
        <v>8.1</v>
      </c>
      <c r="J190" s="356" t="s">
        <v>465</v>
      </c>
      <c r="K190" s="393"/>
      <c r="M190" s="384"/>
      <c r="N190" s="384"/>
      <c r="O190" s="384"/>
      <c r="P190" s="398"/>
    </row>
    <row r="191" spans="1:16" s="397" customFormat="1" ht="14.25" customHeight="1">
      <c r="A191" s="328"/>
      <c r="B191" s="326">
        <v>55</v>
      </c>
      <c r="C191" s="325" t="s">
        <v>189</v>
      </c>
      <c r="D191" s="324" t="s">
        <v>475</v>
      </c>
      <c r="E191" s="327">
        <v>20000000</v>
      </c>
      <c r="F191" s="327">
        <v>0</v>
      </c>
      <c r="G191" s="327">
        <v>20000000</v>
      </c>
      <c r="H191" s="327">
        <v>0</v>
      </c>
      <c r="I191" s="355">
        <v>7.4</v>
      </c>
      <c r="J191" s="356" t="s">
        <v>60</v>
      </c>
      <c r="K191" s="393"/>
      <c r="M191" s="384"/>
      <c r="N191" s="384"/>
      <c r="O191" s="384"/>
      <c r="P191" s="398"/>
    </row>
    <row r="192" spans="1:16" s="397" customFormat="1" ht="14.25" customHeight="1">
      <c r="A192" s="328"/>
      <c r="B192" s="324" t="s">
        <v>147</v>
      </c>
      <c r="C192" s="325" t="s">
        <v>189</v>
      </c>
      <c r="D192" s="324" t="s">
        <v>148</v>
      </c>
      <c r="E192" s="327">
        <v>8000000</v>
      </c>
      <c r="F192" s="327">
        <v>0</v>
      </c>
      <c r="G192" s="327">
        <v>8000000</v>
      </c>
      <c r="H192" s="327">
        <v>0</v>
      </c>
      <c r="I192" s="355">
        <v>2.0499999999999998</v>
      </c>
      <c r="J192" s="356" t="s">
        <v>60</v>
      </c>
      <c r="K192" s="393"/>
      <c r="M192" s="384"/>
      <c r="N192" s="384"/>
      <c r="O192" s="384"/>
      <c r="P192" s="398"/>
    </row>
    <row r="193" spans="1:16" s="397" customFormat="1" ht="14.25" customHeight="1">
      <c r="A193" s="328"/>
      <c r="B193" s="324">
        <v>17</v>
      </c>
      <c r="C193" s="325" t="s">
        <v>189</v>
      </c>
      <c r="D193" s="324" t="s">
        <v>349</v>
      </c>
      <c r="E193" s="327">
        <v>8000000</v>
      </c>
      <c r="F193" s="327">
        <v>0</v>
      </c>
      <c r="G193" s="327">
        <v>8000000</v>
      </c>
      <c r="H193" s="327">
        <v>0</v>
      </c>
      <c r="I193" s="355">
        <v>2.0499999999999998</v>
      </c>
      <c r="J193" s="356" t="s">
        <v>260</v>
      </c>
      <c r="K193" s="393"/>
      <c r="M193" s="384"/>
      <c r="N193" s="384"/>
      <c r="O193" s="384"/>
      <c r="P193" s="398"/>
    </row>
    <row r="194" spans="1:16" s="397" customFormat="1" ht="14.25" customHeight="1">
      <c r="A194" s="328"/>
      <c r="B194" s="324">
        <v>19</v>
      </c>
      <c r="C194" s="325" t="s">
        <v>495</v>
      </c>
      <c r="D194" s="326" t="s">
        <v>67</v>
      </c>
      <c r="E194" s="327">
        <v>2900000</v>
      </c>
      <c r="F194" s="327">
        <v>0</v>
      </c>
      <c r="G194" s="327">
        <v>2900000</v>
      </c>
      <c r="H194" s="327">
        <v>0</v>
      </c>
      <c r="I194" s="355">
        <v>2.4</v>
      </c>
      <c r="J194" s="356" t="s">
        <v>65</v>
      </c>
      <c r="K194" s="393"/>
      <c r="M194" s="384"/>
      <c r="N194" s="384"/>
      <c r="O194" s="384"/>
      <c r="P194" s="398"/>
    </row>
    <row r="195" spans="1:16" s="397" customFormat="1" ht="17.25" customHeight="1">
      <c r="A195" s="357" t="s">
        <v>376</v>
      </c>
      <c r="B195" s="358" t="s">
        <v>173</v>
      </c>
      <c r="C195" s="359" t="s">
        <v>173</v>
      </c>
      <c r="D195" s="360" t="s">
        <v>173</v>
      </c>
      <c r="E195" s="361">
        <v>7616900000</v>
      </c>
      <c r="F195" s="361">
        <v>0</v>
      </c>
      <c r="G195" s="361">
        <v>7616900000</v>
      </c>
      <c r="H195" s="361">
        <v>0</v>
      </c>
      <c r="I195" s="412"/>
      <c r="J195" s="413" t="s">
        <v>173</v>
      </c>
      <c r="K195" s="393"/>
      <c r="M195" s="384"/>
      <c r="N195" s="384"/>
      <c r="O195" s="384"/>
      <c r="P195" s="398"/>
    </row>
    <row r="196" spans="1:16" s="397" customFormat="1" ht="14.25" customHeight="1">
      <c r="A196" s="323" t="s">
        <v>497</v>
      </c>
      <c r="B196" s="324" t="s">
        <v>149</v>
      </c>
      <c r="C196" s="325" t="s">
        <v>189</v>
      </c>
      <c r="D196" s="324" t="s">
        <v>150</v>
      </c>
      <c r="E196" s="327">
        <v>1473000000</v>
      </c>
      <c r="F196" s="363">
        <v>0</v>
      </c>
      <c r="G196" s="327">
        <v>1473000000</v>
      </c>
      <c r="H196" s="327">
        <v>0</v>
      </c>
      <c r="I196" s="355">
        <v>7.4</v>
      </c>
      <c r="J196" s="404" t="s">
        <v>260</v>
      </c>
      <c r="K196" s="405"/>
      <c r="M196" s="384"/>
      <c r="N196" s="384"/>
      <c r="O196" s="384"/>
      <c r="P196" s="398"/>
    </row>
    <row r="197" spans="1:16" s="397" customFormat="1" ht="14.25" customHeight="1">
      <c r="A197" s="328" t="s">
        <v>182</v>
      </c>
      <c r="B197" s="326">
        <v>57</v>
      </c>
      <c r="C197" s="325" t="s">
        <v>189</v>
      </c>
      <c r="D197" s="324" t="s">
        <v>500</v>
      </c>
      <c r="E197" s="327">
        <v>1848000000</v>
      </c>
      <c r="F197" s="327">
        <v>0</v>
      </c>
      <c r="G197" s="327">
        <v>1848000000</v>
      </c>
      <c r="H197" s="327">
        <v>0</v>
      </c>
      <c r="I197" s="355">
        <v>7.4</v>
      </c>
      <c r="J197" s="404" t="s">
        <v>260</v>
      </c>
      <c r="K197" s="405"/>
      <c r="M197" s="384"/>
      <c r="N197" s="384"/>
      <c r="O197" s="384"/>
      <c r="P197" s="398"/>
    </row>
    <row r="198" spans="1:16" s="397" customFormat="1" ht="14.25" customHeight="1">
      <c r="A198" s="354"/>
      <c r="B198" s="326">
        <v>57</v>
      </c>
      <c r="C198" s="325" t="s">
        <v>185</v>
      </c>
      <c r="D198" s="324" t="s">
        <v>501</v>
      </c>
      <c r="E198" s="327">
        <v>2386413639</v>
      </c>
      <c r="F198" s="327">
        <v>0</v>
      </c>
      <c r="G198" s="327">
        <v>2386413639</v>
      </c>
      <c r="H198" s="327">
        <v>0</v>
      </c>
      <c r="I198" s="355">
        <v>7.3</v>
      </c>
      <c r="J198" s="356" t="s">
        <v>469</v>
      </c>
      <c r="K198" s="393"/>
      <c r="M198" s="384"/>
      <c r="N198" s="384"/>
      <c r="O198" s="384"/>
      <c r="P198" s="398"/>
    </row>
    <row r="199" spans="1:16" s="397" customFormat="1" ht="14.25" customHeight="1">
      <c r="A199" s="328"/>
      <c r="B199" s="326">
        <v>58</v>
      </c>
      <c r="C199" s="325" t="s">
        <v>189</v>
      </c>
      <c r="D199" s="324" t="s">
        <v>502</v>
      </c>
      <c r="E199" s="327">
        <v>1485000000</v>
      </c>
      <c r="F199" s="327">
        <v>0</v>
      </c>
      <c r="G199" s="327">
        <v>1485000000</v>
      </c>
      <c r="H199" s="327">
        <v>0</v>
      </c>
      <c r="I199" s="355">
        <v>7.2</v>
      </c>
      <c r="J199" s="356" t="s">
        <v>263</v>
      </c>
      <c r="K199" s="393"/>
      <c r="M199" s="384"/>
      <c r="N199" s="384"/>
      <c r="O199" s="384"/>
      <c r="P199" s="398"/>
    </row>
    <row r="200" spans="1:16" s="397" customFormat="1" ht="14.25" customHeight="1">
      <c r="A200" s="328"/>
      <c r="B200" s="326">
        <v>58</v>
      </c>
      <c r="C200" s="325" t="s">
        <v>189</v>
      </c>
      <c r="D200" s="324" t="s">
        <v>503</v>
      </c>
      <c r="E200" s="327">
        <v>1370000000</v>
      </c>
      <c r="F200" s="327">
        <v>0</v>
      </c>
      <c r="G200" s="327">
        <v>1370000000</v>
      </c>
      <c r="H200" s="327">
        <v>0</v>
      </c>
      <c r="I200" s="355">
        <v>7.2</v>
      </c>
      <c r="J200" s="356" t="s">
        <v>66</v>
      </c>
      <c r="K200" s="393"/>
      <c r="M200" s="384"/>
      <c r="N200" s="384"/>
      <c r="O200" s="384"/>
      <c r="P200" s="398"/>
    </row>
    <row r="201" spans="1:16" s="397" customFormat="1" ht="14.25" customHeight="1">
      <c r="A201" s="328"/>
      <c r="B201" s="326">
        <v>58</v>
      </c>
      <c r="C201" s="325" t="s">
        <v>189</v>
      </c>
      <c r="D201" s="324" t="s">
        <v>0</v>
      </c>
      <c r="E201" s="327">
        <v>763000000</v>
      </c>
      <c r="F201" s="327">
        <v>0</v>
      </c>
      <c r="G201" s="327">
        <v>763000000</v>
      </c>
      <c r="H201" s="327">
        <v>0</v>
      </c>
      <c r="I201" s="355">
        <v>7.2</v>
      </c>
      <c r="J201" s="356" t="s">
        <v>264</v>
      </c>
      <c r="K201" s="393"/>
      <c r="M201" s="384"/>
      <c r="N201" s="384"/>
      <c r="O201" s="384"/>
      <c r="P201" s="398"/>
    </row>
    <row r="202" spans="1:16" s="397" customFormat="1" ht="14.25" customHeight="1">
      <c r="A202" s="328"/>
      <c r="B202" s="326">
        <v>58</v>
      </c>
      <c r="C202" s="325" t="s">
        <v>185</v>
      </c>
      <c r="D202" s="324" t="s">
        <v>506</v>
      </c>
      <c r="E202" s="327">
        <v>301471</v>
      </c>
      <c r="F202" s="327">
        <v>0</v>
      </c>
      <c r="G202" s="327">
        <v>301471</v>
      </c>
      <c r="H202" s="327">
        <v>0</v>
      </c>
      <c r="I202" s="355">
        <v>7.1</v>
      </c>
      <c r="J202" s="356" t="s">
        <v>210</v>
      </c>
      <c r="K202" s="393"/>
      <c r="M202" s="384"/>
      <c r="N202" s="384"/>
      <c r="O202" s="384"/>
      <c r="P202" s="398"/>
    </row>
    <row r="203" spans="1:16" s="397" customFormat="1" ht="14.25" customHeight="1">
      <c r="A203" s="328"/>
      <c r="B203" s="326">
        <v>59</v>
      </c>
      <c r="C203" s="325" t="s">
        <v>189</v>
      </c>
      <c r="D203" s="324" t="s">
        <v>1</v>
      </c>
      <c r="E203" s="327">
        <v>200000000</v>
      </c>
      <c r="F203" s="327">
        <v>0</v>
      </c>
      <c r="G203" s="327">
        <v>200000000</v>
      </c>
      <c r="H203" s="327">
        <v>0</v>
      </c>
      <c r="I203" s="355">
        <v>7.2</v>
      </c>
      <c r="J203" s="356" t="s">
        <v>264</v>
      </c>
      <c r="K203" s="393"/>
      <c r="M203" s="384"/>
      <c r="N203" s="384"/>
      <c r="O203" s="384"/>
      <c r="P203" s="398"/>
    </row>
    <row r="204" spans="1:16" s="397" customFormat="1" ht="14.25" customHeight="1">
      <c r="A204" s="328"/>
      <c r="B204" s="326">
        <v>59</v>
      </c>
      <c r="C204" s="325" t="s">
        <v>266</v>
      </c>
      <c r="D204" s="324" t="s">
        <v>508</v>
      </c>
      <c r="E204" s="327">
        <v>1000000000</v>
      </c>
      <c r="F204" s="327">
        <v>0</v>
      </c>
      <c r="G204" s="327">
        <v>1000000000</v>
      </c>
      <c r="H204" s="327">
        <v>0</v>
      </c>
      <c r="I204" s="355">
        <v>6.9</v>
      </c>
      <c r="J204" s="356" t="s">
        <v>237</v>
      </c>
      <c r="K204" s="393"/>
      <c r="M204" s="384"/>
      <c r="N204" s="384"/>
      <c r="O204" s="384"/>
      <c r="P204" s="398"/>
    </row>
    <row r="205" spans="1:16" s="397" customFormat="1" ht="14.25" customHeight="1">
      <c r="A205" s="328"/>
      <c r="B205" s="326">
        <v>59</v>
      </c>
      <c r="C205" s="325" t="s">
        <v>189</v>
      </c>
      <c r="D205" s="324" t="s">
        <v>509</v>
      </c>
      <c r="E205" s="327">
        <v>923000000</v>
      </c>
      <c r="F205" s="327">
        <v>0</v>
      </c>
      <c r="G205" s="327">
        <v>923000000</v>
      </c>
      <c r="H205" s="327">
        <v>0</v>
      </c>
      <c r="I205" s="355">
        <v>7.2</v>
      </c>
      <c r="J205" s="356" t="s">
        <v>264</v>
      </c>
      <c r="K205" s="393"/>
      <c r="M205" s="384"/>
      <c r="N205" s="384"/>
      <c r="O205" s="384"/>
      <c r="P205" s="398"/>
    </row>
    <row r="206" spans="1:16" s="397" customFormat="1" ht="14.25" customHeight="1">
      <c r="A206" s="328"/>
      <c r="B206" s="326">
        <v>59</v>
      </c>
      <c r="C206" s="325" t="s">
        <v>189</v>
      </c>
      <c r="D206" s="324" t="s">
        <v>3</v>
      </c>
      <c r="E206" s="327">
        <v>389000000</v>
      </c>
      <c r="F206" s="327">
        <v>0</v>
      </c>
      <c r="G206" s="327">
        <v>389000000</v>
      </c>
      <c r="H206" s="327">
        <v>0</v>
      </c>
      <c r="I206" s="355">
        <v>6.9</v>
      </c>
      <c r="J206" s="356" t="s">
        <v>267</v>
      </c>
      <c r="K206" s="393"/>
      <c r="M206" s="384"/>
      <c r="N206" s="384"/>
      <c r="O206" s="384"/>
      <c r="P206" s="398"/>
    </row>
    <row r="207" spans="1:16" s="397" customFormat="1" ht="14.25" customHeight="1">
      <c r="A207" s="323"/>
      <c r="B207" s="326">
        <v>59</v>
      </c>
      <c r="C207" s="325" t="s">
        <v>185</v>
      </c>
      <c r="D207" s="324" t="s">
        <v>5</v>
      </c>
      <c r="E207" s="327">
        <v>1147273396</v>
      </c>
      <c r="F207" s="327">
        <v>0</v>
      </c>
      <c r="G207" s="327">
        <v>1147273396</v>
      </c>
      <c r="H207" s="327">
        <v>0</v>
      </c>
      <c r="I207" s="355">
        <v>6.3</v>
      </c>
      <c r="J207" s="356" t="s">
        <v>469</v>
      </c>
      <c r="K207" s="393"/>
      <c r="M207" s="384"/>
      <c r="N207" s="384"/>
      <c r="O207" s="384"/>
      <c r="P207" s="398"/>
    </row>
    <row r="208" spans="1:16" s="397" customFormat="1" ht="14.25" customHeight="1">
      <c r="A208" s="328"/>
      <c r="B208" s="326">
        <v>60</v>
      </c>
      <c r="C208" s="325" t="s">
        <v>266</v>
      </c>
      <c r="D208" s="324" t="s">
        <v>5</v>
      </c>
      <c r="E208" s="327">
        <v>1000000000</v>
      </c>
      <c r="F208" s="327">
        <v>0</v>
      </c>
      <c r="G208" s="327">
        <v>1000000000</v>
      </c>
      <c r="H208" s="327">
        <v>0</v>
      </c>
      <c r="I208" s="355">
        <v>5.8</v>
      </c>
      <c r="J208" s="356" t="s">
        <v>219</v>
      </c>
      <c r="K208" s="393"/>
      <c r="M208" s="384"/>
      <c r="N208" s="384"/>
      <c r="O208" s="384"/>
      <c r="P208" s="398"/>
    </row>
    <row r="209" spans="1:16" s="397" customFormat="1" ht="14.25" customHeight="1">
      <c r="A209" s="328"/>
      <c r="B209" s="326">
        <v>60</v>
      </c>
      <c r="C209" s="325" t="s">
        <v>189</v>
      </c>
      <c r="D209" s="324" t="s">
        <v>512</v>
      </c>
      <c r="E209" s="327">
        <v>805000000</v>
      </c>
      <c r="F209" s="327">
        <v>0</v>
      </c>
      <c r="G209" s="327">
        <v>805000000</v>
      </c>
      <c r="H209" s="327">
        <v>0</v>
      </c>
      <c r="I209" s="355">
        <v>6.4</v>
      </c>
      <c r="J209" s="356" t="s">
        <v>267</v>
      </c>
      <c r="K209" s="393"/>
      <c r="M209" s="384"/>
      <c r="N209" s="384"/>
      <c r="O209" s="384"/>
      <c r="P209" s="398"/>
    </row>
    <row r="210" spans="1:16" s="397" customFormat="1" ht="14.25" customHeight="1">
      <c r="A210" s="328"/>
      <c r="B210" s="326">
        <v>60</v>
      </c>
      <c r="C210" s="325" t="s">
        <v>185</v>
      </c>
      <c r="D210" s="324" t="s">
        <v>513</v>
      </c>
      <c r="E210" s="327">
        <v>527791158</v>
      </c>
      <c r="F210" s="327">
        <v>0</v>
      </c>
      <c r="G210" s="327">
        <v>527791158</v>
      </c>
      <c r="H210" s="327">
        <v>0</v>
      </c>
      <c r="I210" s="355">
        <v>5.2</v>
      </c>
      <c r="J210" s="356" t="s">
        <v>469</v>
      </c>
      <c r="K210" s="393"/>
      <c r="M210" s="384"/>
      <c r="N210" s="384"/>
      <c r="O210" s="384"/>
      <c r="P210" s="398"/>
    </row>
    <row r="211" spans="1:16" s="397" customFormat="1" ht="14.25" customHeight="1">
      <c r="A211" s="323"/>
      <c r="B211" s="324">
        <v>60</v>
      </c>
      <c r="C211" s="325" t="s">
        <v>189</v>
      </c>
      <c r="D211" s="324" t="s">
        <v>9</v>
      </c>
      <c r="E211" s="327">
        <v>355000000</v>
      </c>
      <c r="F211" s="327">
        <v>0</v>
      </c>
      <c r="G211" s="327">
        <v>355000000</v>
      </c>
      <c r="H211" s="327">
        <v>0</v>
      </c>
      <c r="I211" s="355">
        <v>5.4</v>
      </c>
      <c r="J211" s="356" t="s">
        <v>1769</v>
      </c>
      <c r="K211" s="393"/>
      <c r="M211" s="384"/>
      <c r="N211" s="384"/>
      <c r="O211" s="384"/>
      <c r="P211" s="398"/>
    </row>
    <row r="212" spans="1:16" s="397" customFormat="1" ht="14.25" customHeight="1">
      <c r="A212" s="328"/>
      <c r="B212" s="326">
        <v>61</v>
      </c>
      <c r="C212" s="325" t="s">
        <v>189</v>
      </c>
      <c r="D212" s="324" t="s">
        <v>513</v>
      </c>
      <c r="E212" s="327">
        <v>390000000</v>
      </c>
      <c r="F212" s="327">
        <v>0</v>
      </c>
      <c r="G212" s="327">
        <v>390000000</v>
      </c>
      <c r="H212" s="327">
        <v>0</v>
      </c>
      <c r="I212" s="355">
        <v>5.4</v>
      </c>
      <c r="J212" s="356" t="s">
        <v>1769</v>
      </c>
      <c r="K212" s="393"/>
      <c r="M212" s="384"/>
      <c r="N212" s="384"/>
      <c r="O212" s="384"/>
      <c r="P212" s="398"/>
    </row>
    <row r="213" spans="1:16" s="397" customFormat="1" ht="14.25" customHeight="1">
      <c r="A213" s="328"/>
      <c r="B213" s="326">
        <v>61</v>
      </c>
      <c r="C213" s="325" t="s">
        <v>266</v>
      </c>
      <c r="D213" s="324" t="s">
        <v>513</v>
      </c>
      <c r="E213" s="327">
        <v>2000000000</v>
      </c>
      <c r="F213" s="327">
        <v>0</v>
      </c>
      <c r="G213" s="327">
        <v>2000000000</v>
      </c>
      <c r="H213" s="327">
        <v>0</v>
      </c>
      <c r="I213" s="355">
        <v>5.0999999999999996</v>
      </c>
      <c r="J213" s="356" t="s">
        <v>221</v>
      </c>
      <c r="K213" s="393"/>
      <c r="M213" s="384"/>
      <c r="N213" s="384"/>
      <c r="O213" s="384"/>
      <c r="P213" s="398"/>
    </row>
    <row r="214" spans="1:16" s="397" customFormat="1" ht="14.25" customHeight="1">
      <c r="A214" s="328"/>
      <c r="B214" s="326">
        <v>61</v>
      </c>
      <c r="C214" s="325" t="s">
        <v>189</v>
      </c>
      <c r="D214" s="324" t="s">
        <v>10</v>
      </c>
      <c r="E214" s="327">
        <v>464000000</v>
      </c>
      <c r="F214" s="327">
        <v>0</v>
      </c>
      <c r="G214" s="327">
        <v>464000000</v>
      </c>
      <c r="H214" s="327">
        <v>0</v>
      </c>
      <c r="I214" s="355">
        <v>4.7</v>
      </c>
      <c r="J214" s="356" t="s">
        <v>1769</v>
      </c>
      <c r="K214" s="393"/>
      <c r="M214" s="384"/>
      <c r="N214" s="384"/>
      <c r="O214" s="384"/>
      <c r="P214" s="398"/>
    </row>
    <row r="215" spans="1:16" s="397" customFormat="1" ht="14.25" customHeight="1">
      <c r="A215" s="323"/>
      <c r="B215" s="324">
        <v>58</v>
      </c>
      <c r="C215" s="325" t="s">
        <v>185</v>
      </c>
      <c r="D215" s="324" t="s">
        <v>516</v>
      </c>
      <c r="E215" s="327">
        <v>2435157074</v>
      </c>
      <c r="F215" s="327">
        <v>0</v>
      </c>
      <c r="G215" s="327">
        <v>2435157074</v>
      </c>
      <c r="H215" s="327">
        <v>0</v>
      </c>
      <c r="I215" s="355">
        <v>7.1</v>
      </c>
      <c r="J215" s="356" t="s">
        <v>469</v>
      </c>
      <c r="K215" s="393"/>
      <c r="M215" s="384"/>
      <c r="N215" s="384"/>
      <c r="O215" s="384"/>
      <c r="P215" s="398"/>
    </row>
    <row r="216" spans="1:16" s="397" customFormat="1" ht="14.25" customHeight="1">
      <c r="A216" s="328"/>
      <c r="B216" s="326">
        <v>61</v>
      </c>
      <c r="C216" s="325" t="s">
        <v>189</v>
      </c>
      <c r="D216" s="324" t="s">
        <v>517</v>
      </c>
      <c r="E216" s="327">
        <v>80000000</v>
      </c>
      <c r="F216" s="327">
        <v>0</v>
      </c>
      <c r="G216" s="327">
        <v>80000000</v>
      </c>
      <c r="H216" s="327">
        <v>0</v>
      </c>
      <c r="I216" s="355">
        <v>5.3</v>
      </c>
      <c r="J216" s="356" t="s">
        <v>1769</v>
      </c>
      <c r="K216" s="393"/>
      <c r="M216" s="384"/>
      <c r="N216" s="384"/>
      <c r="O216" s="384"/>
      <c r="P216" s="398"/>
    </row>
    <row r="217" spans="1:16" s="397" customFormat="1" ht="14.25" customHeight="1">
      <c r="A217" s="328"/>
      <c r="B217" s="326">
        <v>62</v>
      </c>
      <c r="C217" s="325" t="s">
        <v>273</v>
      </c>
      <c r="D217" s="324" t="s">
        <v>518</v>
      </c>
      <c r="E217" s="327">
        <v>229513000</v>
      </c>
      <c r="F217" s="327">
        <v>0</v>
      </c>
      <c r="G217" s="327">
        <v>229513000</v>
      </c>
      <c r="H217" s="327">
        <v>0</v>
      </c>
      <c r="I217" s="355" t="s">
        <v>274</v>
      </c>
      <c r="J217" s="416" t="s">
        <v>225</v>
      </c>
      <c r="K217" s="393"/>
      <c r="M217" s="384"/>
      <c r="N217" s="384"/>
      <c r="O217" s="384"/>
      <c r="P217" s="398"/>
    </row>
    <row r="218" spans="1:16" s="397" customFormat="1" ht="14.25" customHeight="1">
      <c r="A218" s="328"/>
      <c r="B218" s="324">
        <v>61</v>
      </c>
      <c r="C218" s="325" t="s">
        <v>185</v>
      </c>
      <c r="D218" s="324" t="s">
        <v>519</v>
      </c>
      <c r="E218" s="327">
        <v>340191842</v>
      </c>
      <c r="F218" s="327">
        <v>0</v>
      </c>
      <c r="G218" s="327">
        <v>340191842</v>
      </c>
      <c r="H218" s="327">
        <v>0</v>
      </c>
      <c r="I218" s="355">
        <v>5</v>
      </c>
      <c r="J218" s="356" t="s">
        <v>469</v>
      </c>
      <c r="K218" s="393"/>
      <c r="M218" s="384"/>
      <c r="N218" s="384"/>
      <c r="O218" s="384"/>
      <c r="P218" s="398"/>
    </row>
    <row r="219" spans="1:16" s="397" customFormat="1" ht="14.25" customHeight="1">
      <c r="A219" s="328"/>
      <c r="B219" s="324">
        <v>62</v>
      </c>
      <c r="C219" s="325" t="s">
        <v>266</v>
      </c>
      <c r="D219" s="324" t="s">
        <v>519</v>
      </c>
      <c r="E219" s="327">
        <v>1000000000</v>
      </c>
      <c r="F219" s="327">
        <v>0</v>
      </c>
      <c r="G219" s="327">
        <v>1000000000</v>
      </c>
      <c r="H219" s="327">
        <v>0</v>
      </c>
      <c r="I219" s="355">
        <v>4.8</v>
      </c>
      <c r="J219" s="404" t="s">
        <v>225</v>
      </c>
      <c r="K219" s="405"/>
      <c r="M219" s="384"/>
      <c r="N219" s="384"/>
      <c r="O219" s="384"/>
      <c r="P219" s="398"/>
    </row>
    <row r="220" spans="1:16" s="397" customFormat="1" ht="14.25" customHeight="1">
      <c r="A220" s="328"/>
      <c r="B220" s="324">
        <v>63</v>
      </c>
      <c r="C220" s="325" t="s">
        <v>273</v>
      </c>
      <c r="D220" s="324" t="s">
        <v>735</v>
      </c>
      <c r="E220" s="327">
        <v>88343000</v>
      </c>
      <c r="F220" s="327">
        <v>0</v>
      </c>
      <c r="G220" s="327">
        <v>88343000</v>
      </c>
      <c r="H220" s="327">
        <v>0</v>
      </c>
      <c r="I220" s="355" t="s">
        <v>274</v>
      </c>
      <c r="J220" s="404" t="s">
        <v>228</v>
      </c>
      <c r="K220" s="405"/>
      <c r="M220" s="384"/>
      <c r="N220" s="384"/>
      <c r="O220" s="384"/>
      <c r="P220" s="398"/>
    </row>
    <row r="221" spans="1:16" s="397" customFormat="1" ht="14.25" customHeight="1">
      <c r="A221" s="328"/>
      <c r="B221" s="324">
        <v>63</v>
      </c>
      <c r="C221" s="325" t="s">
        <v>273</v>
      </c>
      <c r="D221" s="324" t="s">
        <v>334</v>
      </c>
      <c r="E221" s="327">
        <v>138400000</v>
      </c>
      <c r="F221" s="327">
        <v>0</v>
      </c>
      <c r="G221" s="327">
        <v>138400000</v>
      </c>
      <c r="H221" s="327">
        <v>0</v>
      </c>
      <c r="I221" s="355" t="s">
        <v>274</v>
      </c>
      <c r="J221" s="404" t="s">
        <v>228</v>
      </c>
      <c r="K221" s="405"/>
      <c r="M221" s="384"/>
      <c r="N221" s="384"/>
      <c r="O221" s="384"/>
      <c r="P221" s="398"/>
    </row>
    <row r="222" spans="1:16" s="397" customFormat="1" ht="14.25" customHeight="1">
      <c r="A222" s="328"/>
      <c r="B222" s="324">
        <v>62</v>
      </c>
      <c r="C222" s="325" t="s">
        <v>189</v>
      </c>
      <c r="D222" s="324" t="s">
        <v>335</v>
      </c>
      <c r="E222" s="327">
        <v>837000000</v>
      </c>
      <c r="F222" s="327">
        <v>0</v>
      </c>
      <c r="G222" s="327">
        <v>837000000</v>
      </c>
      <c r="H222" s="327">
        <v>0</v>
      </c>
      <c r="I222" s="355">
        <v>4.95</v>
      </c>
      <c r="J222" s="404" t="s">
        <v>1769</v>
      </c>
      <c r="K222" s="405"/>
      <c r="M222" s="384"/>
      <c r="N222" s="384"/>
      <c r="O222" s="384"/>
      <c r="P222" s="398"/>
    </row>
    <row r="223" spans="1:16" s="397" customFormat="1" ht="14.25" customHeight="1">
      <c r="A223" s="328"/>
      <c r="B223" s="324">
        <v>62</v>
      </c>
      <c r="C223" s="325" t="s">
        <v>185</v>
      </c>
      <c r="D223" s="324" t="s">
        <v>336</v>
      </c>
      <c r="E223" s="327">
        <v>308504686</v>
      </c>
      <c r="F223" s="327">
        <v>0</v>
      </c>
      <c r="G223" s="327">
        <v>308504686</v>
      </c>
      <c r="H223" s="327">
        <v>0</v>
      </c>
      <c r="I223" s="355">
        <v>4.8499999999999996</v>
      </c>
      <c r="J223" s="356" t="s">
        <v>689</v>
      </c>
      <c r="K223" s="393"/>
      <c r="M223" s="384"/>
      <c r="N223" s="384"/>
      <c r="O223" s="384"/>
      <c r="P223" s="398"/>
    </row>
    <row r="224" spans="1:16" s="397" customFormat="1" ht="14.25" customHeight="1">
      <c r="A224" s="328"/>
      <c r="B224" s="324">
        <v>63</v>
      </c>
      <c r="C224" s="325" t="s">
        <v>273</v>
      </c>
      <c r="D224" s="324" t="s">
        <v>336</v>
      </c>
      <c r="E224" s="327">
        <v>617596000</v>
      </c>
      <c r="F224" s="327">
        <v>0</v>
      </c>
      <c r="G224" s="327">
        <v>617596000</v>
      </c>
      <c r="H224" s="327">
        <v>0</v>
      </c>
      <c r="I224" s="355" t="s">
        <v>274</v>
      </c>
      <c r="J224" s="404" t="s">
        <v>228</v>
      </c>
      <c r="K224" s="405"/>
      <c r="M224" s="384"/>
      <c r="N224" s="384"/>
      <c r="O224" s="384"/>
      <c r="P224" s="398"/>
    </row>
    <row r="225" spans="1:16" s="397" customFormat="1" ht="14.25" customHeight="1">
      <c r="A225" s="328"/>
      <c r="B225" s="324">
        <v>63</v>
      </c>
      <c r="C225" s="325" t="s">
        <v>180</v>
      </c>
      <c r="D225" s="324" t="s">
        <v>337</v>
      </c>
      <c r="E225" s="327">
        <v>2000000000</v>
      </c>
      <c r="F225" s="327">
        <v>0</v>
      </c>
      <c r="G225" s="327">
        <v>2000000000</v>
      </c>
      <c r="H225" s="327">
        <v>0</v>
      </c>
      <c r="I225" s="355">
        <v>4.8</v>
      </c>
      <c r="J225" s="404" t="s">
        <v>219</v>
      </c>
      <c r="K225" s="405"/>
      <c r="M225" s="384"/>
      <c r="N225" s="384"/>
      <c r="O225" s="384"/>
      <c r="P225" s="398"/>
    </row>
    <row r="226" spans="1:16" s="397" customFormat="1" ht="14.25" customHeight="1" thickBot="1">
      <c r="A226" s="345"/>
      <c r="B226" s="420" t="s">
        <v>338</v>
      </c>
      <c r="C226" s="419" t="s">
        <v>273</v>
      </c>
      <c r="D226" s="420" t="s">
        <v>339</v>
      </c>
      <c r="E226" s="421">
        <v>59345000</v>
      </c>
      <c r="F226" s="421">
        <v>0</v>
      </c>
      <c r="G226" s="421">
        <v>59345000</v>
      </c>
      <c r="H226" s="327">
        <v>0</v>
      </c>
      <c r="I226" s="422" t="s">
        <v>274</v>
      </c>
      <c r="J226" s="438" t="s">
        <v>232</v>
      </c>
      <c r="K226" s="405"/>
      <c r="M226" s="384"/>
      <c r="N226" s="384"/>
      <c r="O226" s="384"/>
      <c r="P226" s="398"/>
    </row>
    <row r="227" spans="1:16" s="397" customFormat="1" ht="9.75" customHeight="1" thickBot="1">
      <c r="A227" s="346"/>
      <c r="B227" s="347"/>
      <c r="C227" s="346"/>
      <c r="D227" s="347"/>
      <c r="E227" s="348"/>
      <c r="F227" s="348"/>
      <c r="G227" s="348"/>
      <c r="H227" s="348"/>
      <c r="I227" s="433"/>
      <c r="J227" s="439"/>
      <c r="K227" s="405"/>
      <c r="M227" s="384"/>
      <c r="N227" s="384"/>
      <c r="O227" s="384"/>
      <c r="P227" s="398"/>
    </row>
    <row r="228" spans="1:16" s="397" customFormat="1">
      <c r="A228" s="466" t="s">
        <v>26</v>
      </c>
      <c r="B228" s="468" t="s">
        <v>311</v>
      </c>
      <c r="C228" s="470" t="s">
        <v>27</v>
      </c>
      <c r="D228" s="468" t="s">
        <v>312</v>
      </c>
      <c r="E228" s="472" t="s">
        <v>28</v>
      </c>
      <c r="F228" s="474" t="s">
        <v>29</v>
      </c>
      <c r="G228" s="476"/>
      <c r="H228" s="460" t="s">
        <v>174</v>
      </c>
      <c r="I228" s="462" t="s">
        <v>30</v>
      </c>
      <c r="J228" s="464" t="s">
        <v>313</v>
      </c>
      <c r="K228" s="399"/>
      <c r="M228" s="384"/>
      <c r="N228" s="384"/>
      <c r="O228" s="384"/>
      <c r="P228" s="398"/>
    </row>
    <row r="229" spans="1:16" s="397" customFormat="1">
      <c r="A229" s="467"/>
      <c r="B229" s="469"/>
      <c r="C229" s="471"/>
      <c r="D229" s="469"/>
      <c r="E229" s="473"/>
      <c r="F229" s="343" t="s">
        <v>176</v>
      </c>
      <c r="G229" s="343" t="s">
        <v>305</v>
      </c>
      <c r="H229" s="461"/>
      <c r="I229" s="463"/>
      <c r="J229" s="465"/>
      <c r="K229" s="401"/>
      <c r="M229" s="384"/>
      <c r="N229" s="384"/>
      <c r="O229" s="384"/>
      <c r="P229" s="398"/>
    </row>
    <row r="230" spans="1:16" s="397" customFormat="1">
      <c r="A230" s="319"/>
      <c r="B230" s="320"/>
      <c r="C230" s="320"/>
      <c r="D230" s="321" t="s">
        <v>177</v>
      </c>
      <c r="E230" s="322" t="s">
        <v>178</v>
      </c>
      <c r="F230" s="322" t="s">
        <v>172</v>
      </c>
      <c r="G230" s="322" t="s">
        <v>178</v>
      </c>
      <c r="H230" s="322" t="s">
        <v>178</v>
      </c>
      <c r="I230" s="402" t="s">
        <v>31</v>
      </c>
      <c r="J230" s="403" t="s">
        <v>175</v>
      </c>
      <c r="K230" s="393"/>
      <c r="M230" s="384"/>
      <c r="N230" s="384"/>
      <c r="O230" s="384"/>
      <c r="P230" s="398"/>
    </row>
    <row r="231" spans="1:16" s="397" customFormat="1" ht="14.25" customHeight="1">
      <c r="A231" s="323" t="s">
        <v>497</v>
      </c>
      <c r="B231" s="324" t="s">
        <v>520</v>
      </c>
      <c r="C231" s="325" t="s">
        <v>189</v>
      </c>
      <c r="D231" s="326" t="s">
        <v>693</v>
      </c>
      <c r="E231" s="327">
        <v>496000000</v>
      </c>
      <c r="F231" s="327">
        <v>0</v>
      </c>
      <c r="G231" s="327">
        <v>496000000</v>
      </c>
      <c r="H231" s="327">
        <v>0</v>
      </c>
      <c r="I231" s="355">
        <v>5.2</v>
      </c>
      <c r="J231" s="356" t="s">
        <v>1769</v>
      </c>
      <c r="K231" s="393"/>
      <c r="M231" s="384"/>
      <c r="N231" s="384"/>
      <c r="O231" s="384"/>
      <c r="P231" s="398"/>
    </row>
    <row r="232" spans="1:16" s="397" customFormat="1" ht="14.25" customHeight="1">
      <c r="A232" s="328" t="s">
        <v>182</v>
      </c>
      <c r="B232" s="324" t="s">
        <v>17</v>
      </c>
      <c r="C232" s="325" t="s">
        <v>273</v>
      </c>
      <c r="D232" s="324" t="s">
        <v>522</v>
      </c>
      <c r="E232" s="327">
        <v>107596000</v>
      </c>
      <c r="F232" s="327">
        <v>0</v>
      </c>
      <c r="G232" s="327">
        <v>107596000</v>
      </c>
      <c r="H232" s="327">
        <v>0</v>
      </c>
      <c r="I232" s="355" t="s">
        <v>274</v>
      </c>
      <c r="J232" s="356" t="s">
        <v>232</v>
      </c>
      <c r="K232" s="393"/>
      <c r="M232" s="384"/>
      <c r="N232" s="384"/>
      <c r="O232" s="384"/>
      <c r="P232" s="398"/>
    </row>
    <row r="233" spans="1:16" s="397" customFormat="1" ht="14.25" customHeight="1">
      <c r="A233" s="328"/>
      <c r="B233" s="324" t="s">
        <v>520</v>
      </c>
      <c r="C233" s="325" t="s">
        <v>185</v>
      </c>
      <c r="D233" s="324" t="s">
        <v>523</v>
      </c>
      <c r="E233" s="327">
        <v>198703790</v>
      </c>
      <c r="F233" s="327">
        <v>0</v>
      </c>
      <c r="G233" s="327">
        <v>198703790</v>
      </c>
      <c r="H233" s="327">
        <v>0</v>
      </c>
      <c r="I233" s="355">
        <v>5.4</v>
      </c>
      <c r="J233" s="356" t="s">
        <v>1753</v>
      </c>
      <c r="K233" s="393"/>
      <c r="M233" s="384"/>
      <c r="N233" s="384"/>
      <c r="O233" s="384"/>
      <c r="P233" s="398"/>
    </row>
    <row r="234" spans="1:16" s="397" customFormat="1" ht="14.25" customHeight="1">
      <c r="A234" s="328"/>
      <c r="B234" s="326">
        <v>63</v>
      </c>
      <c r="C234" s="325" t="s">
        <v>273</v>
      </c>
      <c r="D234" s="324" t="s">
        <v>524</v>
      </c>
      <c r="E234" s="327">
        <v>19261000</v>
      </c>
      <c r="F234" s="327">
        <v>0</v>
      </c>
      <c r="G234" s="327">
        <v>19261000</v>
      </c>
      <c r="H234" s="327">
        <v>0</v>
      </c>
      <c r="I234" s="355" t="s">
        <v>274</v>
      </c>
      <c r="J234" s="356" t="s">
        <v>228</v>
      </c>
      <c r="K234" s="393"/>
      <c r="M234" s="384"/>
      <c r="N234" s="384"/>
      <c r="O234" s="384"/>
      <c r="P234" s="398"/>
    </row>
    <row r="235" spans="1:16" s="397" customFormat="1" ht="14.25" customHeight="1">
      <c r="A235" s="328"/>
      <c r="B235" s="324" t="s">
        <v>17</v>
      </c>
      <c r="C235" s="325" t="s">
        <v>266</v>
      </c>
      <c r="D235" s="324" t="s">
        <v>525</v>
      </c>
      <c r="E235" s="327">
        <v>1000000000</v>
      </c>
      <c r="F235" s="327">
        <v>0</v>
      </c>
      <c r="G235" s="327">
        <v>1000000000</v>
      </c>
      <c r="H235" s="327">
        <v>0</v>
      </c>
      <c r="I235" s="355">
        <v>6.6</v>
      </c>
      <c r="J235" s="356" t="s">
        <v>232</v>
      </c>
      <c r="K235" s="393"/>
      <c r="M235" s="384"/>
      <c r="N235" s="384"/>
      <c r="O235" s="384"/>
      <c r="P235" s="398"/>
    </row>
    <row r="236" spans="1:16" s="397" customFormat="1" ht="14.25" customHeight="1">
      <c r="A236" s="328"/>
      <c r="B236" s="326" t="s">
        <v>278</v>
      </c>
      <c r="C236" s="325" t="s">
        <v>273</v>
      </c>
      <c r="D236" s="324" t="s">
        <v>525</v>
      </c>
      <c r="E236" s="327">
        <v>282931000</v>
      </c>
      <c r="F236" s="327">
        <v>0</v>
      </c>
      <c r="G236" s="327">
        <v>282931000</v>
      </c>
      <c r="H236" s="327">
        <v>0</v>
      </c>
      <c r="I236" s="355" t="s">
        <v>274</v>
      </c>
      <c r="J236" s="356" t="s">
        <v>232</v>
      </c>
      <c r="K236" s="393"/>
      <c r="M236" s="384"/>
      <c r="N236" s="384"/>
      <c r="O236" s="384"/>
      <c r="P236" s="398"/>
    </row>
    <row r="237" spans="1:16" s="397" customFormat="1" ht="14.25" customHeight="1">
      <c r="A237" s="328"/>
      <c r="B237" s="326" t="s">
        <v>278</v>
      </c>
      <c r="C237" s="325" t="s">
        <v>189</v>
      </c>
      <c r="D237" s="324" t="s">
        <v>526</v>
      </c>
      <c r="E237" s="327">
        <v>350000000</v>
      </c>
      <c r="F237" s="327">
        <v>0</v>
      </c>
      <c r="G237" s="327">
        <v>350000000</v>
      </c>
      <c r="H237" s="327">
        <v>0</v>
      </c>
      <c r="I237" s="355">
        <v>6.3</v>
      </c>
      <c r="J237" s="356" t="s">
        <v>277</v>
      </c>
      <c r="K237" s="393"/>
      <c r="M237" s="384"/>
      <c r="N237" s="384"/>
      <c r="O237" s="384"/>
      <c r="P237" s="398"/>
    </row>
    <row r="238" spans="1:16" s="397" customFormat="1" ht="14.25" customHeight="1">
      <c r="A238" s="328"/>
      <c r="B238" s="326" t="s">
        <v>278</v>
      </c>
      <c r="C238" s="325" t="s">
        <v>273</v>
      </c>
      <c r="D238" s="324" t="s">
        <v>527</v>
      </c>
      <c r="E238" s="327">
        <v>276396000</v>
      </c>
      <c r="F238" s="327">
        <v>0</v>
      </c>
      <c r="G238" s="327">
        <v>276396000</v>
      </c>
      <c r="H238" s="327">
        <v>0</v>
      </c>
      <c r="I238" s="355" t="s">
        <v>274</v>
      </c>
      <c r="J238" s="356" t="s">
        <v>232</v>
      </c>
      <c r="K238" s="393"/>
      <c r="M238" s="384"/>
      <c r="N238" s="384"/>
      <c r="O238" s="384"/>
      <c r="P238" s="398"/>
    </row>
    <row r="239" spans="1:16" s="397" customFormat="1" ht="14.25" customHeight="1">
      <c r="A239" s="328"/>
      <c r="B239" s="324">
        <v>2</v>
      </c>
      <c r="C239" s="325" t="s">
        <v>273</v>
      </c>
      <c r="D239" s="324" t="s">
        <v>528</v>
      </c>
      <c r="E239" s="327">
        <v>10779000</v>
      </c>
      <c r="F239" s="327">
        <v>0</v>
      </c>
      <c r="G239" s="327">
        <v>10779000</v>
      </c>
      <c r="H239" s="327">
        <v>0</v>
      </c>
      <c r="I239" s="355" t="s">
        <v>274</v>
      </c>
      <c r="J239" s="356" t="s">
        <v>235</v>
      </c>
      <c r="K239" s="393"/>
      <c r="M239" s="384"/>
      <c r="N239" s="384"/>
      <c r="O239" s="384"/>
      <c r="P239" s="398"/>
    </row>
    <row r="240" spans="1:16" s="397" customFormat="1" ht="14.25" customHeight="1">
      <c r="A240" s="328"/>
      <c r="B240" s="326" t="s">
        <v>278</v>
      </c>
      <c r="C240" s="325" t="s">
        <v>185</v>
      </c>
      <c r="D240" s="324" t="s">
        <v>529</v>
      </c>
      <c r="E240" s="327">
        <v>341106218</v>
      </c>
      <c r="F240" s="327">
        <v>0</v>
      </c>
      <c r="G240" s="327">
        <v>341106218</v>
      </c>
      <c r="H240" s="327">
        <v>0</v>
      </c>
      <c r="I240" s="355">
        <v>6.6</v>
      </c>
      <c r="J240" s="404" t="s">
        <v>469</v>
      </c>
      <c r="K240" s="405"/>
      <c r="M240" s="384"/>
      <c r="N240" s="384"/>
      <c r="O240" s="384"/>
      <c r="P240" s="398"/>
    </row>
    <row r="241" spans="1:16" ht="14.25" customHeight="1">
      <c r="A241" s="328"/>
      <c r="B241" s="324">
        <v>2</v>
      </c>
      <c r="C241" s="325" t="s">
        <v>266</v>
      </c>
      <c r="D241" s="324" t="s">
        <v>529</v>
      </c>
      <c r="E241" s="327">
        <v>400000000</v>
      </c>
      <c r="F241" s="327">
        <v>0</v>
      </c>
      <c r="G241" s="327">
        <v>400000000</v>
      </c>
      <c r="H241" s="327">
        <v>0</v>
      </c>
      <c r="I241" s="355">
        <v>6.4</v>
      </c>
      <c r="J241" s="356" t="s">
        <v>235</v>
      </c>
      <c r="K241" s="393"/>
    </row>
    <row r="242" spans="1:16" ht="14.25" customHeight="1">
      <c r="A242" s="328"/>
      <c r="B242" s="326" t="s">
        <v>278</v>
      </c>
      <c r="C242" s="325" t="s">
        <v>273</v>
      </c>
      <c r="D242" s="324" t="s">
        <v>530</v>
      </c>
      <c r="E242" s="327">
        <v>46394000</v>
      </c>
      <c r="F242" s="327">
        <v>0</v>
      </c>
      <c r="G242" s="327">
        <v>46394000</v>
      </c>
      <c r="H242" s="327">
        <v>0</v>
      </c>
      <c r="I242" s="355" t="s">
        <v>274</v>
      </c>
      <c r="J242" s="356" t="s">
        <v>232</v>
      </c>
      <c r="K242" s="393"/>
    </row>
    <row r="243" spans="1:16" ht="14.25" customHeight="1">
      <c r="A243" s="328"/>
      <c r="B243" s="326" t="s">
        <v>278</v>
      </c>
      <c r="C243" s="325" t="s">
        <v>189</v>
      </c>
      <c r="D243" s="324" t="s">
        <v>22</v>
      </c>
      <c r="E243" s="327">
        <v>574000000</v>
      </c>
      <c r="F243" s="327">
        <v>0</v>
      </c>
      <c r="G243" s="327">
        <v>574000000</v>
      </c>
      <c r="H243" s="327">
        <v>0</v>
      </c>
      <c r="I243" s="355">
        <v>6.7</v>
      </c>
      <c r="J243" s="356" t="s">
        <v>280</v>
      </c>
      <c r="K243" s="393"/>
    </row>
    <row r="244" spans="1:16" ht="14.25" customHeight="1">
      <c r="A244" s="328"/>
      <c r="B244" s="324">
        <v>2</v>
      </c>
      <c r="C244" s="325" t="s">
        <v>189</v>
      </c>
      <c r="D244" s="324" t="s">
        <v>22</v>
      </c>
      <c r="E244" s="327">
        <v>1200000000</v>
      </c>
      <c r="F244" s="327">
        <v>0</v>
      </c>
      <c r="G244" s="327">
        <v>1200000000</v>
      </c>
      <c r="H244" s="327">
        <v>0</v>
      </c>
      <c r="I244" s="355">
        <v>6.65</v>
      </c>
      <c r="J244" s="356" t="s">
        <v>280</v>
      </c>
      <c r="K244" s="393"/>
    </row>
    <row r="245" spans="1:16" ht="14.25" customHeight="1">
      <c r="A245" s="328"/>
      <c r="B245" s="324">
        <v>2</v>
      </c>
      <c r="C245" s="325" t="s">
        <v>273</v>
      </c>
      <c r="D245" s="324" t="s">
        <v>532</v>
      </c>
      <c r="E245" s="327">
        <v>58974000</v>
      </c>
      <c r="F245" s="327">
        <v>0</v>
      </c>
      <c r="G245" s="327">
        <v>58974000</v>
      </c>
      <c r="H245" s="327">
        <v>0</v>
      </c>
      <c r="I245" s="355" t="s">
        <v>274</v>
      </c>
      <c r="J245" s="356" t="s">
        <v>235</v>
      </c>
      <c r="K245" s="393"/>
    </row>
    <row r="246" spans="1:16" ht="14.25" customHeight="1">
      <c r="A246" s="328"/>
      <c r="B246" s="324">
        <v>3</v>
      </c>
      <c r="C246" s="325" t="s">
        <v>273</v>
      </c>
      <c r="D246" s="324" t="s">
        <v>533</v>
      </c>
      <c r="E246" s="327">
        <v>84612000</v>
      </c>
      <c r="F246" s="327">
        <v>0</v>
      </c>
      <c r="G246" s="327">
        <v>84612000</v>
      </c>
      <c r="H246" s="327">
        <v>0</v>
      </c>
      <c r="I246" s="355" t="s">
        <v>274</v>
      </c>
      <c r="J246" s="356" t="s">
        <v>239</v>
      </c>
      <c r="K246" s="393"/>
    </row>
    <row r="247" spans="1:16" ht="14.25" customHeight="1">
      <c r="A247" s="328"/>
      <c r="B247" s="324">
        <v>2</v>
      </c>
      <c r="C247" s="325" t="s">
        <v>185</v>
      </c>
      <c r="D247" s="324" t="s">
        <v>534</v>
      </c>
      <c r="E247" s="327">
        <v>923000000</v>
      </c>
      <c r="F247" s="327">
        <v>0</v>
      </c>
      <c r="G247" s="327">
        <v>923000000</v>
      </c>
      <c r="H247" s="327">
        <v>0</v>
      </c>
      <c r="I247" s="355">
        <v>5.5</v>
      </c>
      <c r="J247" s="356" t="s">
        <v>1747</v>
      </c>
      <c r="K247" s="393"/>
      <c r="N247" s="440"/>
      <c r="O247" s="440"/>
      <c r="P247" s="441"/>
    </row>
    <row r="248" spans="1:16" ht="14.25" customHeight="1">
      <c r="A248" s="328"/>
      <c r="B248" s="324">
        <v>3</v>
      </c>
      <c r="C248" s="325" t="s">
        <v>266</v>
      </c>
      <c r="D248" s="324" t="s">
        <v>534</v>
      </c>
      <c r="E248" s="327">
        <v>400000000</v>
      </c>
      <c r="F248" s="327">
        <v>0</v>
      </c>
      <c r="G248" s="327">
        <v>400000000</v>
      </c>
      <c r="H248" s="327">
        <v>0</v>
      </c>
      <c r="I248" s="355">
        <v>5.7</v>
      </c>
      <c r="J248" s="356" t="s">
        <v>239</v>
      </c>
      <c r="K248" s="393"/>
      <c r="P248" s="441"/>
    </row>
    <row r="249" spans="1:16" ht="14.25" customHeight="1">
      <c r="A249" s="328"/>
      <c r="B249" s="324">
        <v>2</v>
      </c>
      <c r="C249" s="325" t="s">
        <v>189</v>
      </c>
      <c r="D249" s="324" t="s">
        <v>535</v>
      </c>
      <c r="E249" s="327">
        <v>1451000000</v>
      </c>
      <c r="F249" s="327">
        <v>0</v>
      </c>
      <c r="G249" s="327">
        <v>1451000000</v>
      </c>
      <c r="H249" s="327">
        <v>0</v>
      </c>
      <c r="I249" s="355">
        <v>5.6</v>
      </c>
      <c r="J249" s="356" t="s">
        <v>1769</v>
      </c>
      <c r="K249" s="393"/>
      <c r="P249" s="441"/>
    </row>
    <row r="250" spans="1:16" ht="14.25" customHeight="1">
      <c r="A250" s="328"/>
      <c r="B250" s="324">
        <v>3</v>
      </c>
      <c r="C250" s="325" t="s">
        <v>189</v>
      </c>
      <c r="D250" s="324" t="s">
        <v>535</v>
      </c>
      <c r="E250" s="327">
        <v>2000000000</v>
      </c>
      <c r="F250" s="327">
        <v>0</v>
      </c>
      <c r="G250" s="327">
        <v>2000000000</v>
      </c>
      <c r="H250" s="327">
        <v>0</v>
      </c>
      <c r="I250" s="355">
        <v>5.6</v>
      </c>
      <c r="J250" s="356" t="s">
        <v>1769</v>
      </c>
      <c r="K250" s="393"/>
      <c r="P250" s="441"/>
    </row>
    <row r="251" spans="1:16" ht="14.25" customHeight="1">
      <c r="A251" s="328"/>
      <c r="B251" s="324">
        <v>2</v>
      </c>
      <c r="C251" s="325" t="s">
        <v>273</v>
      </c>
      <c r="D251" s="324" t="s">
        <v>536</v>
      </c>
      <c r="E251" s="327">
        <v>11224000</v>
      </c>
      <c r="F251" s="327">
        <v>0</v>
      </c>
      <c r="G251" s="327">
        <v>11224000</v>
      </c>
      <c r="H251" s="327">
        <v>0</v>
      </c>
      <c r="I251" s="355" t="s">
        <v>274</v>
      </c>
      <c r="J251" s="356" t="s">
        <v>235</v>
      </c>
      <c r="K251" s="393"/>
      <c r="P251" s="441"/>
    </row>
    <row r="252" spans="1:16" ht="14.25" customHeight="1">
      <c r="A252" s="328"/>
      <c r="B252" s="324">
        <v>3</v>
      </c>
      <c r="C252" s="325" t="s">
        <v>273</v>
      </c>
      <c r="D252" s="324" t="s">
        <v>536</v>
      </c>
      <c r="E252" s="327">
        <v>224672000</v>
      </c>
      <c r="F252" s="327">
        <v>0</v>
      </c>
      <c r="G252" s="327">
        <v>224672000</v>
      </c>
      <c r="H252" s="327">
        <v>0</v>
      </c>
      <c r="I252" s="355" t="s">
        <v>274</v>
      </c>
      <c r="J252" s="356" t="s">
        <v>239</v>
      </c>
      <c r="K252" s="393"/>
      <c r="P252" s="441"/>
    </row>
    <row r="253" spans="1:16" ht="14.25" customHeight="1">
      <c r="A253" s="328"/>
      <c r="B253" s="324">
        <v>4</v>
      </c>
      <c r="C253" s="325" t="s">
        <v>266</v>
      </c>
      <c r="D253" s="324" t="s">
        <v>537</v>
      </c>
      <c r="E253" s="327">
        <v>567000000</v>
      </c>
      <c r="F253" s="327">
        <v>0</v>
      </c>
      <c r="G253" s="327">
        <v>567000000</v>
      </c>
      <c r="H253" s="327">
        <v>0</v>
      </c>
      <c r="I253" s="355">
        <v>4.3</v>
      </c>
      <c r="J253" s="356" t="s">
        <v>242</v>
      </c>
      <c r="K253" s="393"/>
      <c r="P253" s="441"/>
    </row>
    <row r="254" spans="1:16" ht="14.25" customHeight="1">
      <c r="A254" s="328"/>
      <c r="B254" s="324">
        <v>3</v>
      </c>
      <c r="C254" s="325" t="s">
        <v>185</v>
      </c>
      <c r="D254" s="324" t="s">
        <v>538</v>
      </c>
      <c r="E254" s="327">
        <v>1920000000</v>
      </c>
      <c r="F254" s="327">
        <v>123310760</v>
      </c>
      <c r="G254" s="327">
        <v>1920000000</v>
      </c>
      <c r="H254" s="327">
        <v>0</v>
      </c>
      <c r="I254" s="355">
        <v>4.4000000000000004</v>
      </c>
      <c r="J254" s="356" t="s">
        <v>1746</v>
      </c>
      <c r="K254" s="393"/>
      <c r="N254" s="329"/>
      <c r="O254" s="329"/>
      <c r="P254" s="441"/>
    </row>
    <row r="255" spans="1:16" ht="14.25" customHeight="1">
      <c r="A255" s="328"/>
      <c r="B255" s="324">
        <v>3</v>
      </c>
      <c r="C255" s="325" t="s">
        <v>189</v>
      </c>
      <c r="D255" s="324" t="s">
        <v>539</v>
      </c>
      <c r="E255" s="327">
        <v>560000000</v>
      </c>
      <c r="F255" s="327">
        <v>0</v>
      </c>
      <c r="G255" s="327">
        <v>560000000</v>
      </c>
      <c r="H255" s="327">
        <v>0</v>
      </c>
      <c r="I255" s="355">
        <v>4.45</v>
      </c>
      <c r="J255" s="356" t="s">
        <v>1769</v>
      </c>
      <c r="K255" s="393"/>
      <c r="P255" s="441"/>
    </row>
    <row r="256" spans="1:16" ht="14.25" customHeight="1">
      <c r="A256" s="328"/>
      <c r="B256" s="324">
        <v>4</v>
      </c>
      <c r="C256" s="325" t="s">
        <v>189</v>
      </c>
      <c r="D256" s="324" t="s">
        <v>539</v>
      </c>
      <c r="E256" s="327">
        <v>1000000</v>
      </c>
      <c r="F256" s="327">
        <v>0</v>
      </c>
      <c r="G256" s="327">
        <v>1000000</v>
      </c>
      <c r="H256" s="327">
        <v>0</v>
      </c>
      <c r="I256" s="355">
        <v>4.5</v>
      </c>
      <c r="J256" s="356" t="s">
        <v>1769</v>
      </c>
      <c r="K256" s="393"/>
      <c r="P256" s="441"/>
    </row>
    <row r="257" spans="1:16" ht="14.25" customHeight="1">
      <c r="A257" s="323"/>
      <c r="B257" s="324">
        <v>4</v>
      </c>
      <c r="C257" s="325" t="s">
        <v>189</v>
      </c>
      <c r="D257" s="324" t="s">
        <v>539</v>
      </c>
      <c r="E257" s="327">
        <v>4498000000</v>
      </c>
      <c r="F257" s="327">
        <v>0</v>
      </c>
      <c r="G257" s="327">
        <v>4498000000</v>
      </c>
      <c r="H257" s="327">
        <v>0</v>
      </c>
      <c r="I257" s="355">
        <v>4.45</v>
      </c>
      <c r="J257" s="356" t="s">
        <v>1769</v>
      </c>
      <c r="K257" s="393"/>
      <c r="P257" s="441"/>
    </row>
    <row r="258" spans="1:16" ht="14.25" customHeight="1">
      <c r="A258" s="328"/>
      <c r="B258" s="324">
        <v>4</v>
      </c>
      <c r="C258" s="325" t="s">
        <v>185</v>
      </c>
      <c r="D258" s="324" t="s">
        <v>540</v>
      </c>
      <c r="E258" s="327">
        <v>8780000000</v>
      </c>
      <c r="F258" s="327">
        <v>505449736</v>
      </c>
      <c r="G258" s="327">
        <v>8255933003</v>
      </c>
      <c r="H258" s="327">
        <v>524066997</v>
      </c>
      <c r="I258" s="355">
        <v>3.65</v>
      </c>
      <c r="J258" s="356" t="s">
        <v>1745</v>
      </c>
      <c r="K258" s="393"/>
      <c r="N258" s="329"/>
      <c r="O258" s="329"/>
      <c r="P258" s="441"/>
    </row>
    <row r="259" spans="1:16" ht="14.25" customHeight="1">
      <c r="A259" s="328"/>
      <c r="B259" s="324">
        <v>4</v>
      </c>
      <c r="C259" s="325" t="s">
        <v>189</v>
      </c>
      <c r="D259" s="324" t="s">
        <v>540</v>
      </c>
      <c r="E259" s="327">
        <v>1354000000</v>
      </c>
      <c r="F259" s="327">
        <v>0</v>
      </c>
      <c r="G259" s="327">
        <v>1354000000</v>
      </c>
      <c r="H259" s="327">
        <v>0</v>
      </c>
      <c r="I259" s="355">
        <v>3.7</v>
      </c>
      <c r="J259" s="356" t="s">
        <v>1747</v>
      </c>
      <c r="K259" s="393"/>
      <c r="M259" s="330"/>
      <c r="N259" s="329"/>
      <c r="O259" s="329"/>
      <c r="P259" s="441"/>
    </row>
    <row r="260" spans="1:16" ht="14.25" customHeight="1">
      <c r="A260" s="323"/>
      <c r="B260" s="324">
        <v>5</v>
      </c>
      <c r="C260" s="325" t="s">
        <v>189</v>
      </c>
      <c r="D260" s="324" t="s">
        <v>540</v>
      </c>
      <c r="E260" s="327">
        <v>3928000000</v>
      </c>
      <c r="F260" s="327">
        <v>0</v>
      </c>
      <c r="G260" s="327">
        <v>3928000000</v>
      </c>
      <c r="H260" s="327">
        <v>0</v>
      </c>
      <c r="I260" s="355">
        <v>3.7</v>
      </c>
      <c r="J260" s="356" t="s">
        <v>1747</v>
      </c>
      <c r="K260" s="393"/>
      <c r="M260" s="330"/>
      <c r="N260" s="329"/>
      <c r="O260" s="329"/>
      <c r="P260" s="441"/>
    </row>
    <row r="261" spans="1:16" ht="14.25" customHeight="1">
      <c r="A261" s="328"/>
      <c r="B261" s="324">
        <v>5</v>
      </c>
      <c r="C261" s="325" t="s">
        <v>266</v>
      </c>
      <c r="D261" s="324" t="s">
        <v>541</v>
      </c>
      <c r="E261" s="327">
        <v>744000000</v>
      </c>
      <c r="F261" s="327">
        <v>0</v>
      </c>
      <c r="G261" s="327">
        <v>744000000</v>
      </c>
      <c r="H261" s="327">
        <v>0</v>
      </c>
      <c r="I261" s="355">
        <v>4.4000000000000004</v>
      </c>
      <c r="J261" s="356" t="s">
        <v>246</v>
      </c>
      <c r="K261" s="393"/>
      <c r="P261" s="441"/>
    </row>
    <row r="262" spans="1:16" ht="14.25" customHeight="1">
      <c r="A262" s="328"/>
      <c r="B262" s="324" t="s">
        <v>33</v>
      </c>
      <c r="C262" s="325" t="s">
        <v>266</v>
      </c>
      <c r="D262" s="324" t="s">
        <v>34</v>
      </c>
      <c r="E262" s="327">
        <v>580000000</v>
      </c>
      <c r="F262" s="327">
        <v>0</v>
      </c>
      <c r="G262" s="327">
        <v>580000000</v>
      </c>
      <c r="H262" s="327">
        <v>0</v>
      </c>
      <c r="I262" s="355">
        <v>4.5</v>
      </c>
      <c r="J262" s="356" t="s">
        <v>244</v>
      </c>
      <c r="K262" s="393"/>
      <c r="P262" s="441"/>
    </row>
    <row r="263" spans="1:16" ht="14.25" customHeight="1">
      <c r="A263" s="331"/>
      <c r="B263" s="324" t="s">
        <v>544</v>
      </c>
      <c r="C263" s="325" t="s">
        <v>185</v>
      </c>
      <c r="D263" s="324" t="s">
        <v>545</v>
      </c>
      <c r="E263" s="327">
        <v>6664000000</v>
      </c>
      <c r="F263" s="327">
        <v>399786472</v>
      </c>
      <c r="G263" s="327">
        <v>5807123861</v>
      </c>
      <c r="H263" s="327">
        <v>856876139</v>
      </c>
      <c r="I263" s="355">
        <v>4.6500000000000004</v>
      </c>
      <c r="J263" s="356" t="s">
        <v>1744</v>
      </c>
      <c r="K263" s="393"/>
      <c r="N263" s="329"/>
      <c r="O263" s="329"/>
      <c r="P263" s="441"/>
    </row>
    <row r="264" spans="1:16" ht="14.25" customHeight="1">
      <c r="A264" s="328"/>
      <c r="B264" s="324">
        <v>5</v>
      </c>
      <c r="C264" s="325" t="s">
        <v>189</v>
      </c>
      <c r="D264" s="324" t="s">
        <v>105</v>
      </c>
      <c r="E264" s="327">
        <v>2736000000</v>
      </c>
      <c r="F264" s="327">
        <v>0</v>
      </c>
      <c r="G264" s="327">
        <v>2736000000</v>
      </c>
      <c r="H264" s="327">
        <v>0</v>
      </c>
      <c r="I264" s="355">
        <v>4.7</v>
      </c>
      <c r="J264" s="356" t="s">
        <v>1769</v>
      </c>
      <c r="K264" s="393"/>
      <c r="P264" s="441"/>
    </row>
    <row r="265" spans="1:16" ht="14.25" customHeight="1">
      <c r="A265" s="323"/>
      <c r="B265" s="324" t="s">
        <v>546</v>
      </c>
      <c r="C265" s="325" t="s">
        <v>266</v>
      </c>
      <c r="D265" s="324" t="s">
        <v>547</v>
      </c>
      <c r="E265" s="327">
        <v>580000000</v>
      </c>
      <c r="F265" s="327">
        <v>0</v>
      </c>
      <c r="G265" s="327">
        <v>580000000</v>
      </c>
      <c r="H265" s="327">
        <v>0</v>
      </c>
      <c r="I265" s="355">
        <v>3</v>
      </c>
      <c r="J265" s="356" t="s">
        <v>247</v>
      </c>
      <c r="K265" s="393"/>
      <c r="P265" s="441"/>
    </row>
    <row r="266" spans="1:16" ht="14.25" customHeight="1">
      <c r="A266" s="328"/>
      <c r="B266" s="326">
        <v>63</v>
      </c>
      <c r="C266" s="332" t="s">
        <v>180</v>
      </c>
      <c r="D266" s="324" t="s">
        <v>548</v>
      </c>
      <c r="E266" s="327">
        <v>1400000000</v>
      </c>
      <c r="F266" s="327">
        <v>0</v>
      </c>
      <c r="G266" s="327">
        <v>1400000000</v>
      </c>
      <c r="H266" s="327">
        <v>0</v>
      </c>
      <c r="I266" s="355">
        <v>3.3</v>
      </c>
      <c r="J266" s="356" t="s">
        <v>247</v>
      </c>
      <c r="K266" s="393"/>
      <c r="P266" s="441"/>
    </row>
    <row r="267" spans="1:16" ht="14.25" customHeight="1">
      <c r="A267" s="328"/>
      <c r="B267" s="326">
        <v>61</v>
      </c>
      <c r="C267" s="333" t="s">
        <v>266</v>
      </c>
      <c r="D267" s="324" t="s">
        <v>549</v>
      </c>
      <c r="E267" s="327">
        <v>1151000000</v>
      </c>
      <c r="F267" s="327">
        <v>0</v>
      </c>
      <c r="G267" s="327">
        <v>1151000000</v>
      </c>
      <c r="H267" s="327">
        <v>0</v>
      </c>
      <c r="I267" s="355">
        <v>3.4</v>
      </c>
      <c r="J267" s="404" t="s">
        <v>249</v>
      </c>
      <c r="K267" s="405"/>
      <c r="P267" s="441"/>
    </row>
    <row r="268" spans="1:16" ht="14.25" customHeight="1">
      <c r="A268" s="328"/>
      <c r="B268" s="326">
        <v>62</v>
      </c>
      <c r="C268" s="333" t="s">
        <v>266</v>
      </c>
      <c r="D268" s="324" t="s">
        <v>550</v>
      </c>
      <c r="E268" s="327">
        <v>580000000</v>
      </c>
      <c r="F268" s="327">
        <v>0</v>
      </c>
      <c r="G268" s="327">
        <v>580000000</v>
      </c>
      <c r="H268" s="327">
        <v>0</v>
      </c>
      <c r="I268" s="355">
        <v>2.5</v>
      </c>
      <c r="J268" s="404" t="s">
        <v>251</v>
      </c>
      <c r="K268" s="405"/>
      <c r="P268" s="441"/>
    </row>
    <row r="269" spans="1:16" ht="14.25" customHeight="1">
      <c r="A269" s="328"/>
      <c r="B269" s="324" t="s">
        <v>314</v>
      </c>
      <c r="C269" s="333" t="s">
        <v>266</v>
      </c>
      <c r="D269" s="324" t="s">
        <v>646</v>
      </c>
      <c r="E269" s="327">
        <v>579000000</v>
      </c>
      <c r="F269" s="327">
        <v>0</v>
      </c>
      <c r="G269" s="327">
        <v>579000000</v>
      </c>
      <c r="H269" s="327">
        <v>0</v>
      </c>
      <c r="I269" s="355">
        <v>1.8</v>
      </c>
      <c r="J269" s="404" t="s">
        <v>60</v>
      </c>
      <c r="K269" s="405"/>
      <c r="P269" s="441"/>
    </row>
    <row r="270" spans="1:16" ht="14.25" customHeight="1">
      <c r="A270" s="328"/>
      <c r="B270" s="324">
        <v>4</v>
      </c>
      <c r="C270" s="333" t="s">
        <v>266</v>
      </c>
      <c r="D270" s="324" t="s">
        <v>647</v>
      </c>
      <c r="E270" s="327">
        <v>328000000</v>
      </c>
      <c r="F270" s="327">
        <v>0</v>
      </c>
      <c r="G270" s="327">
        <v>328000000</v>
      </c>
      <c r="H270" s="327">
        <v>0</v>
      </c>
      <c r="I270" s="355">
        <v>1.3</v>
      </c>
      <c r="J270" s="404" t="s">
        <v>608</v>
      </c>
      <c r="K270" s="405"/>
      <c r="P270" s="441"/>
    </row>
    <row r="271" spans="1:16" ht="14.25" customHeight="1">
      <c r="A271" s="328"/>
      <c r="B271" s="324">
        <v>5</v>
      </c>
      <c r="C271" s="333" t="s">
        <v>266</v>
      </c>
      <c r="D271" s="324" t="s">
        <v>288</v>
      </c>
      <c r="E271" s="327">
        <v>431000000</v>
      </c>
      <c r="F271" s="327">
        <v>0</v>
      </c>
      <c r="G271" s="327">
        <v>431000000</v>
      </c>
      <c r="H271" s="327">
        <v>0</v>
      </c>
      <c r="I271" s="355">
        <v>0.5</v>
      </c>
      <c r="J271" s="404" t="s">
        <v>267</v>
      </c>
      <c r="K271" s="405"/>
      <c r="P271" s="441"/>
    </row>
    <row r="272" spans="1:16" ht="14.25" customHeight="1">
      <c r="A272" s="328"/>
      <c r="B272" s="326" t="s">
        <v>315</v>
      </c>
      <c r="C272" s="333" t="s">
        <v>163</v>
      </c>
      <c r="D272" s="324" t="s">
        <v>138</v>
      </c>
      <c r="E272" s="327">
        <v>2392586361</v>
      </c>
      <c r="F272" s="327">
        <v>0</v>
      </c>
      <c r="G272" s="327">
        <v>2392586361</v>
      </c>
      <c r="H272" s="327">
        <v>0</v>
      </c>
      <c r="I272" s="355">
        <v>7.3</v>
      </c>
      <c r="J272" s="404" t="s">
        <v>638</v>
      </c>
      <c r="K272" s="405"/>
      <c r="P272" s="441"/>
    </row>
    <row r="273" spans="1:16" ht="14.25" customHeight="1">
      <c r="A273" s="328"/>
      <c r="B273" s="324">
        <v>58</v>
      </c>
      <c r="C273" s="333" t="s">
        <v>163</v>
      </c>
      <c r="D273" s="324" t="s">
        <v>138</v>
      </c>
      <c r="E273" s="327">
        <v>3064541455</v>
      </c>
      <c r="F273" s="327">
        <v>0</v>
      </c>
      <c r="G273" s="327">
        <v>3064541455</v>
      </c>
      <c r="H273" s="327">
        <v>0</v>
      </c>
      <c r="I273" s="355">
        <v>7.1</v>
      </c>
      <c r="J273" s="356" t="s">
        <v>563</v>
      </c>
      <c r="K273" s="393"/>
      <c r="P273" s="441"/>
    </row>
    <row r="274" spans="1:16" ht="14.25" customHeight="1">
      <c r="A274" s="328"/>
      <c r="B274" s="326">
        <v>59</v>
      </c>
      <c r="C274" s="333" t="s">
        <v>163</v>
      </c>
      <c r="D274" s="324" t="s">
        <v>138</v>
      </c>
      <c r="E274" s="327">
        <v>1613726604</v>
      </c>
      <c r="F274" s="327">
        <v>0</v>
      </c>
      <c r="G274" s="327">
        <v>1613726604</v>
      </c>
      <c r="H274" s="327">
        <v>0</v>
      </c>
      <c r="I274" s="355">
        <v>6.3</v>
      </c>
      <c r="J274" s="356" t="s">
        <v>642</v>
      </c>
      <c r="K274" s="393"/>
      <c r="P274" s="441"/>
    </row>
    <row r="275" spans="1:16" ht="14.25" customHeight="1">
      <c r="A275" s="328"/>
      <c r="B275" s="324">
        <v>60</v>
      </c>
      <c r="C275" s="333" t="s">
        <v>163</v>
      </c>
      <c r="D275" s="324" t="s">
        <v>138</v>
      </c>
      <c r="E275" s="327">
        <v>633208842</v>
      </c>
      <c r="F275" s="327">
        <v>0</v>
      </c>
      <c r="G275" s="327">
        <v>0</v>
      </c>
      <c r="H275" s="327">
        <v>633208842</v>
      </c>
      <c r="I275" s="355">
        <v>5.2</v>
      </c>
      <c r="J275" s="356" t="s">
        <v>276</v>
      </c>
      <c r="K275" s="393"/>
      <c r="P275" s="441"/>
    </row>
    <row r="276" spans="1:16" ht="14.25" customHeight="1">
      <c r="A276" s="328"/>
      <c r="B276" s="324">
        <v>61</v>
      </c>
      <c r="C276" s="333" t="s">
        <v>163</v>
      </c>
      <c r="D276" s="324" t="s">
        <v>138</v>
      </c>
      <c r="E276" s="327">
        <v>515808158</v>
      </c>
      <c r="F276" s="327">
        <v>0</v>
      </c>
      <c r="G276" s="327">
        <v>515808158</v>
      </c>
      <c r="H276" s="327">
        <v>0</v>
      </c>
      <c r="I276" s="355">
        <v>5</v>
      </c>
      <c r="J276" s="356" t="s">
        <v>277</v>
      </c>
      <c r="K276" s="393"/>
      <c r="P276" s="441"/>
    </row>
    <row r="277" spans="1:16" ht="14.25" customHeight="1">
      <c r="A277" s="328"/>
      <c r="B277" s="326">
        <v>62</v>
      </c>
      <c r="C277" s="333" t="s">
        <v>163</v>
      </c>
      <c r="D277" s="324" t="s">
        <v>138</v>
      </c>
      <c r="E277" s="327">
        <v>528495314</v>
      </c>
      <c r="F277" s="327">
        <v>0</v>
      </c>
      <c r="G277" s="327">
        <v>0</v>
      </c>
      <c r="H277" s="327">
        <v>528495314</v>
      </c>
      <c r="I277" s="355">
        <v>4.8499999999999996</v>
      </c>
      <c r="J277" s="356" t="s">
        <v>648</v>
      </c>
      <c r="K277" s="393"/>
      <c r="P277" s="441"/>
    </row>
    <row r="278" spans="1:16" ht="14.25" customHeight="1">
      <c r="A278" s="328"/>
      <c r="B278" s="324">
        <v>63</v>
      </c>
      <c r="C278" s="333" t="s">
        <v>163</v>
      </c>
      <c r="D278" s="324" t="s">
        <v>289</v>
      </c>
      <c r="E278" s="327">
        <v>459296210</v>
      </c>
      <c r="F278" s="327">
        <v>0</v>
      </c>
      <c r="G278" s="327">
        <v>0</v>
      </c>
      <c r="H278" s="327">
        <v>459296210</v>
      </c>
      <c r="I278" s="355">
        <v>5.4</v>
      </c>
      <c r="J278" s="356" t="s">
        <v>1753</v>
      </c>
      <c r="K278" s="393"/>
      <c r="P278" s="441"/>
    </row>
    <row r="279" spans="1:16" ht="14.25" customHeight="1">
      <c r="A279" s="328"/>
      <c r="B279" s="326" t="s">
        <v>316</v>
      </c>
      <c r="C279" s="333" t="s">
        <v>163</v>
      </c>
      <c r="D279" s="326" t="s">
        <v>289</v>
      </c>
      <c r="E279" s="327">
        <v>1007893782</v>
      </c>
      <c r="F279" s="327">
        <v>0</v>
      </c>
      <c r="G279" s="327">
        <v>1007893782</v>
      </c>
      <c r="H279" s="327">
        <v>0</v>
      </c>
      <c r="I279" s="355">
        <v>6.6</v>
      </c>
      <c r="J279" s="356" t="s">
        <v>642</v>
      </c>
      <c r="K279" s="393"/>
      <c r="P279" s="441"/>
    </row>
    <row r="280" spans="1:16" ht="14.25" customHeight="1">
      <c r="A280" s="328"/>
      <c r="B280" s="326">
        <v>18</v>
      </c>
      <c r="C280" s="333" t="s">
        <v>189</v>
      </c>
      <c r="D280" s="326" t="s">
        <v>351</v>
      </c>
      <c r="E280" s="327">
        <v>447400000</v>
      </c>
      <c r="F280" s="327">
        <v>0</v>
      </c>
      <c r="G280" s="327">
        <v>447400000</v>
      </c>
      <c r="H280" s="327">
        <v>0</v>
      </c>
      <c r="I280" s="355">
        <v>2.5499999999999998</v>
      </c>
      <c r="J280" s="356" t="s">
        <v>66</v>
      </c>
      <c r="K280" s="393"/>
      <c r="P280" s="441"/>
    </row>
    <row r="281" spans="1:16" ht="14.25" customHeight="1">
      <c r="A281" s="328"/>
      <c r="B281" s="326">
        <v>19</v>
      </c>
      <c r="C281" s="333" t="s">
        <v>495</v>
      </c>
      <c r="D281" s="326" t="s">
        <v>67</v>
      </c>
      <c r="E281" s="327">
        <v>99300000</v>
      </c>
      <c r="F281" s="327">
        <v>0</v>
      </c>
      <c r="G281" s="327">
        <v>99300000</v>
      </c>
      <c r="H281" s="327">
        <v>0</v>
      </c>
      <c r="I281" s="355">
        <v>2.4</v>
      </c>
      <c r="J281" s="356" t="s">
        <v>69</v>
      </c>
      <c r="K281" s="393"/>
      <c r="P281" s="441"/>
    </row>
    <row r="282" spans="1:16" ht="14.25" customHeight="1">
      <c r="A282" s="328"/>
      <c r="B282" s="326">
        <v>19</v>
      </c>
      <c r="C282" s="333" t="s">
        <v>189</v>
      </c>
      <c r="D282" s="326" t="s">
        <v>350</v>
      </c>
      <c r="E282" s="327">
        <v>385700000</v>
      </c>
      <c r="F282" s="327">
        <v>0</v>
      </c>
      <c r="G282" s="327">
        <v>385700000</v>
      </c>
      <c r="H282" s="327">
        <v>0</v>
      </c>
      <c r="I282" s="355">
        <v>2.4</v>
      </c>
      <c r="J282" s="356" t="s">
        <v>263</v>
      </c>
      <c r="K282" s="393"/>
      <c r="P282" s="441"/>
    </row>
    <row r="283" spans="1:16" ht="14.25" customHeight="1">
      <c r="A283" s="328"/>
      <c r="B283" s="326">
        <v>19</v>
      </c>
      <c r="C283" s="333" t="s">
        <v>495</v>
      </c>
      <c r="D283" s="326" t="s">
        <v>67</v>
      </c>
      <c r="E283" s="327">
        <v>355900000</v>
      </c>
      <c r="F283" s="327">
        <v>0</v>
      </c>
      <c r="G283" s="327">
        <v>355900000</v>
      </c>
      <c r="H283" s="327">
        <v>0</v>
      </c>
      <c r="I283" s="355">
        <v>2.4</v>
      </c>
      <c r="J283" s="356" t="s">
        <v>66</v>
      </c>
      <c r="K283" s="393"/>
      <c r="P283" s="441"/>
    </row>
    <row r="284" spans="1:16" ht="14.25" customHeight="1">
      <c r="A284" s="328"/>
      <c r="B284" s="326">
        <v>19</v>
      </c>
      <c r="C284" s="333" t="s">
        <v>495</v>
      </c>
      <c r="D284" s="326" t="s">
        <v>67</v>
      </c>
      <c r="E284" s="327">
        <v>218100000</v>
      </c>
      <c r="F284" s="327">
        <v>0</v>
      </c>
      <c r="G284" s="327">
        <v>218100000</v>
      </c>
      <c r="H284" s="327">
        <v>0</v>
      </c>
      <c r="I284" s="355">
        <v>2.4</v>
      </c>
      <c r="J284" s="356" t="s">
        <v>649</v>
      </c>
      <c r="K284" s="393"/>
      <c r="P284" s="441"/>
    </row>
    <row r="285" spans="1:16" ht="14.25" customHeight="1">
      <c r="A285" s="328"/>
      <c r="B285" s="326">
        <v>19</v>
      </c>
      <c r="C285" s="333" t="s">
        <v>495</v>
      </c>
      <c r="D285" s="326" t="s">
        <v>67</v>
      </c>
      <c r="E285" s="327">
        <v>61300000</v>
      </c>
      <c r="F285" s="327">
        <v>0</v>
      </c>
      <c r="G285" s="327">
        <v>61300000</v>
      </c>
      <c r="H285" s="327">
        <v>0</v>
      </c>
      <c r="I285" s="355">
        <v>2.4</v>
      </c>
      <c r="J285" s="356" t="s">
        <v>649</v>
      </c>
      <c r="K285" s="393"/>
      <c r="P285" s="441"/>
    </row>
    <row r="286" spans="1:16" ht="14.25" customHeight="1">
      <c r="A286" s="328"/>
      <c r="B286" s="326">
        <v>19</v>
      </c>
      <c r="C286" s="333" t="s">
        <v>495</v>
      </c>
      <c r="D286" s="326" t="s">
        <v>67</v>
      </c>
      <c r="E286" s="327">
        <v>285700000</v>
      </c>
      <c r="F286" s="327">
        <v>0</v>
      </c>
      <c r="G286" s="327">
        <v>285700000</v>
      </c>
      <c r="H286" s="327">
        <v>0</v>
      </c>
      <c r="I286" s="355">
        <v>2.4</v>
      </c>
      <c r="J286" s="356" t="s">
        <v>649</v>
      </c>
      <c r="K286" s="393"/>
      <c r="P286" s="441"/>
    </row>
    <row r="287" spans="1:16" ht="14.25" customHeight="1" thickBot="1">
      <c r="A287" s="334" t="s">
        <v>376</v>
      </c>
      <c r="B287" s="335" t="s">
        <v>173</v>
      </c>
      <c r="C287" s="336" t="s">
        <v>173</v>
      </c>
      <c r="D287" s="337" t="s">
        <v>173</v>
      </c>
      <c r="E287" s="338">
        <v>86567436000</v>
      </c>
      <c r="F287" s="338">
        <v>1028546968</v>
      </c>
      <c r="G287" s="338">
        <v>83565492498</v>
      </c>
      <c r="H287" s="338">
        <v>3001943502</v>
      </c>
      <c r="I287" s="442"/>
      <c r="J287" s="443" t="s">
        <v>173</v>
      </c>
      <c r="K287" s="393"/>
    </row>
    <row r="288" spans="1:16" ht="9.75" customHeight="1" thickBot="1">
      <c r="A288" s="339"/>
      <c r="B288" s="340"/>
      <c r="C288" s="341"/>
      <c r="D288" s="340"/>
      <c r="E288" s="342"/>
      <c r="F288" s="342"/>
      <c r="G288" s="342"/>
      <c r="H288" s="342"/>
      <c r="I288" s="396"/>
      <c r="J288" s="393"/>
      <c r="K288" s="393"/>
    </row>
    <row r="289" spans="1:16" s="397" customFormat="1">
      <c r="A289" s="466" t="s">
        <v>26</v>
      </c>
      <c r="B289" s="468" t="s">
        <v>311</v>
      </c>
      <c r="C289" s="470" t="s">
        <v>27</v>
      </c>
      <c r="D289" s="468" t="s">
        <v>312</v>
      </c>
      <c r="E289" s="472" t="s">
        <v>28</v>
      </c>
      <c r="F289" s="474" t="s">
        <v>29</v>
      </c>
      <c r="G289" s="476"/>
      <c r="H289" s="460" t="s">
        <v>174</v>
      </c>
      <c r="I289" s="462" t="s">
        <v>30</v>
      </c>
      <c r="J289" s="464" t="s">
        <v>313</v>
      </c>
      <c r="K289" s="399"/>
      <c r="M289" s="384"/>
      <c r="N289" s="384"/>
      <c r="O289" s="384"/>
      <c r="P289" s="398"/>
    </row>
    <row r="290" spans="1:16" s="397" customFormat="1">
      <c r="A290" s="467"/>
      <c r="B290" s="469"/>
      <c r="C290" s="471"/>
      <c r="D290" s="469"/>
      <c r="E290" s="473"/>
      <c r="F290" s="343" t="s">
        <v>176</v>
      </c>
      <c r="G290" s="343" t="s">
        <v>305</v>
      </c>
      <c r="H290" s="461"/>
      <c r="I290" s="463"/>
      <c r="J290" s="465"/>
      <c r="K290" s="401"/>
      <c r="M290" s="384"/>
      <c r="N290" s="384"/>
      <c r="O290" s="384"/>
      <c r="P290" s="398"/>
    </row>
    <row r="291" spans="1:16" s="397" customFormat="1">
      <c r="A291" s="319"/>
      <c r="B291" s="320"/>
      <c r="C291" s="320"/>
      <c r="D291" s="321" t="s">
        <v>177</v>
      </c>
      <c r="E291" s="322" t="s">
        <v>178</v>
      </c>
      <c r="F291" s="322" t="s">
        <v>172</v>
      </c>
      <c r="G291" s="322" t="s">
        <v>178</v>
      </c>
      <c r="H291" s="322" t="s">
        <v>178</v>
      </c>
      <c r="I291" s="402" t="s">
        <v>31</v>
      </c>
      <c r="J291" s="403" t="s">
        <v>175</v>
      </c>
      <c r="K291" s="393"/>
      <c r="M291" s="384"/>
      <c r="N291" s="384"/>
      <c r="O291" s="384"/>
      <c r="P291" s="398"/>
    </row>
    <row r="292" spans="1:16" s="397" customFormat="1">
      <c r="A292" s="323" t="s">
        <v>290</v>
      </c>
      <c r="B292" s="324" t="s">
        <v>551</v>
      </c>
      <c r="C292" s="332" t="s">
        <v>180</v>
      </c>
      <c r="D292" s="324" t="s">
        <v>552</v>
      </c>
      <c r="E292" s="327">
        <v>500000000</v>
      </c>
      <c r="F292" s="327">
        <v>0</v>
      </c>
      <c r="G292" s="327">
        <v>500000000</v>
      </c>
      <c r="H292" s="327">
        <v>0</v>
      </c>
      <c r="I292" s="355">
        <v>8.5</v>
      </c>
      <c r="J292" s="356" t="s">
        <v>194</v>
      </c>
      <c r="K292" s="393"/>
      <c r="M292" s="384"/>
      <c r="N292" s="384"/>
      <c r="O292" s="384"/>
      <c r="P292" s="398"/>
    </row>
    <row r="293" spans="1:16" s="397" customFormat="1">
      <c r="A293" s="328" t="s">
        <v>182</v>
      </c>
      <c r="B293" s="326" t="s">
        <v>245</v>
      </c>
      <c r="C293" s="332" t="s">
        <v>180</v>
      </c>
      <c r="D293" s="324" t="s">
        <v>553</v>
      </c>
      <c r="E293" s="327">
        <v>400000000</v>
      </c>
      <c r="F293" s="327">
        <v>0</v>
      </c>
      <c r="G293" s="327">
        <v>400000000</v>
      </c>
      <c r="H293" s="327">
        <v>0</v>
      </c>
      <c r="I293" s="355">
        <v>9.1</v>
      </c>
      <c r="J293" s="356" t="s">
        <v>198</v>
      </c>
      <c r="K293" s="393"/>
      <c r="M293" s="384"/>
      <c r="N293" s="384"/>
      <c r="O293" s="384"/>
      <c r="P293" s="398"/>
    </row>
    <row r="294" spans="1:16" s="397" customFormat="1" ht="14.25" customHeight="1">
      <c r="A294" s="323"/>
      <c r="B294" s="326">
        <v>49</v>
      </c>
      <c r="C294" s="332" t="s">
        <v>180</v>
      </c>
      <c r="D294" s="324" t="s">
        <v>440</v>
      </c>
      <c r="E294" s="327">
        <v>800000000</v>
      </c>
      <c r="F294" s="327">
        <v>0</v>
      </c>
      <c r="G294" s="327">
        <v>800000000</v>
      </c>
      <c r="H294" s="327">
        <v>0</v>
      </c>
      <c r="I294" s="355">
        <v>9.1</v>
      </c>
      <c r="J294" s="356" t="s">
        <v>201</v>
      </c>
      <c r="K294" s="393"/>
      <c r="M294" s="384"/>
      <c r="N294" s="384"/>
      <c r="O294" s="384"/>
      <c r="P294" s="398"/>
    </row>
    <row r="295" spans="1:16" s="397" customFormat="1" ht="14.25" customHeight="1">
      <c r="A295" s="328"/>
      <c r="B295" s="326" t="s">
        <v>245</v>
      </c>
      <c r="C295" s="332" t="s">
        <v>180</v>
      </c>
      <c r="D295" s="324" t="s">
        <v>442</v>
      </c>
      <c r="E295" s="327">
        <v>200000000</v>
      </c>
      <c r="F295" s="327">
        <v>0</v>
      </c>
      <c r="G295" s="327">
        <v>200000000</v>
      </c>
      <c r="H295" s="327">
        <v>0</v>
      </c>
      <c r="I295" s="355">
        <v>8.6</v>
      </c>
      <c r="J295" s="356" t="s">
        <v>201</v>
      </c>
      <c r="K295" s="393"/>
      <c r="M295" s="384"/>
      <c r="N295" s="384"/>
      <c r="O295" s="384"/>
      <c r="P295" s="398"/>
    </row>
    <row r="296" spans="1:16" s="397" customFormat="1" ht="14.25" customHeight="1">
      <c r="A296" s="328"/>
      <c r="B296" s="326" t="s">
        <v>248</v>
      </c>
      <c r="C296" s="325" t="s">
        <v>189</v>
      </c>
      <c r="D296" s="324" t="s">
        <v>554</v>
      </c>
      <c r="E296" s="327">
        <v>300000000</v>
      </c>
      <c r="F296" s="327">
        <v>0</v>
      </c>
      <c r="G296" s="327">
        <v>300000000</v>
      </c>
      <c r="H296" s="327">
        <v>0</v>
      </c>
      <c r="I296" s="355">
        <v>7.7</v>
      </c>
      <c r="J296" s="356" t="s">
        <v>246</v>
      </c>
      <c r="K296" s="393"/>
      <c r="M296" s="384"/>
      <c r="N296" s="384"/>
      <c r="O296" s="384"/>
      <c r="P296" s="398"/>
    </row>
    <row r="297" spans="1:16" s="397" customFormat="1" ht="14.25" customHeight="1">
      <c r="A297" s="328"/>
      <c r="B297" s="326" t="s">
        <v>248</v>
      </c>
      <c r="C297" s="332" t="s">
        <v>180</v>
      </c>
      <c r="D297" s="324" t="s">
        <v>555</v>
      </c>
      <c r="E297" s="327">
        <v>500000000</v>
      </c>
      <c r="F297" s="327">
        <v>0</v>
      </c>
      <c r="G297" s="327">
        <v>500000000</v>
      </c>
      <c r="H297" s="327">
        <v>0</v>
      </c>
      <c r="I297" s="355">
        <v>8.6</v>
      </c>
      <c r="J297" s="356" t="s">
        <v>201</v>
      </c>
      <c r="K297" s="393"/>
      <c r="M297" s="384"/>
      <c r="N297" s="384"/>
      <c r="O297" s="384"/>
      <c r="P297" s="398"/>
    </row>
    <row r="298" spans="1:16" s="397" customFormat="1" ht="14.25" customHeight="1">
      <c r="A298" s="328"/>
      <c r="B298" s="326" t="s">
        <v>248</v>
      </c>
      <c r="C298" s="332" t="s">
        <v>180</v>
      </c>
      <c r="D298" s="324" t="s">
        <v>556</v>
      </c>
      <c r="E298" s="327">
        <v>1000000000</v>
      </c>
      <c r="F298" s="327">
        <v>0</v>
      </c>
      <c r="G298" s="327">
        <v>1000000000</v>
      </c>
      <c r="H298" s="327">
        <v>0</v>
      </c>
      <c r="I298" s="355">
        <v>8.6</v>
      </c>
      <c r="J298" s="356" t="s">
        <v>204</v>
      </c>
      <c r="K298" s="393"/>
      <c r="M298" s="384"/>
      <c r="N298" s="384"/>
      <c r="O298" s="384"/>
      <c r="P298" s="398"/>
    </row>
    <row r="299" spans="1:16" s="397" customFormat="1" ht="14.25" customHeight="1">
      <c r="A299" s="323"/>
      <c r="B299" s="326" t="s">
        <v>250</v>
      </c>
      <c r="C299" s="325" t="s">
        <v>189</v>
      </c>
      <c r="D299" s="324" t="s">
        <v>557</v>
      </c>
      <c r="E299" s="327">
        <v>1000000000</v>
      </c>
      <c r="F299" s="327">
        <v>0</v>
      </c>
      <c r="G299" s="327">
        <v>1000000000</v>
      </c>
      <c r="H299" s="327">
        <v>0</v>
      </c>
      <c r="I299" s="355">
        <v>7.7</v>
      </c>
      <c r="J299" s="356" t="s">
        <v>244</v>
      </c>
      <c r="K299" s="393"/>
      <c r="M299" s="384"/>
      <c r="N299" s="384"/>
      <c r="O299" s="384"/>
      <c r="P299" s="398"/>
    </row>
    <row r="300" spans="1:16" s="397" customFormat="1" ht="14.25" customHeight="1">
      <c r="A300" s="323"/>
      <c r="B300" s="324" t="s">
        <v>291</v>
      </c>
      <c r="C300" s="325" t="s">
        <v>189</v>
      </c>
      <c r="D300" s="324" t="s">
        <v>558</v>
      </c>
      <c r="E300" s="327">
        <v>1100000000</v>
      </c>
      <c r="F300" s="327">
        <v>0</v>
      </c>
      <c r="G300" s="327">
        <v>1100000000</v>
      </c>
      <c r="H300" s="327">
        <v>0</v>
      </c>
      <c r="I300" s="355">
        <v>6.7</v>
      </c>
      <c r="J300" s="356" t="s">
        <v>247</v>
      </c>
      <c r="K300" s="393"/>
      <c r="M300" s="384"/>
      <c r="N300" s="384"/>
      <c r="O300" s="384"/>
      <c r="P300" s="398"/>
    </row>
    <row r="301" spans="1:16" s="397" customFormat="1" ht="14.25" customHeight="1">
      <c r="A301" s="323"/>
      <c r="B301" s="326">
        <v>52</v>
      </c>
      <c r="C301" s="325" t="s">
        <v>189</v>
      </c>
      <c r="D301" s="326" t="s">
        <v>559</v>
      </c>
      <c r="E301" s="327">
        <v>1000000000</v>
      </c>
      <c r="F301" s="327">
        <v>0</v>
      </c>
      <c r="G301" s="327">
        <v>1000000000</v>
      </c>
      <c r="H301" s="327">
        <v>0</v>
      </c>
      <c r="I301" s="355">
        <v>6.25</v>
      </c>
      <c r="J301" s="356" t="s">
        <v>247</v>
      </c>
      <c r="K301" s="393"/>
      <c r="M301" s="384"/>
      <c r="N301" s="384"/>
      <c r="O301" s="384"/>
      <c r="P301" s="398"/>
    </row>
    <row r="302" spans="1:16" s="397" customFormat="1" ht="14.25" customHeight="1">
      <c r="A302" s="328"/>
      <c r="B302" s="326" t="s">
        <v>252</v>
      </c>
      <c r="C302" s="325" t="s">
        <v>189</v>
      </c>
      <c r="D302" s="324" t="s">
        <v>560</v>
      </c>
      <c r="E302" s="327">
        <v>1207000000</v>
      </c>
      <c r="F302" s="327">
        <v>0</v>
      </c>
      <c r="G302" s="327">
        <v>1207000000</v>
      </c>
      <c r="H302" s="327">
        <v>0</v>
      </c>
      <c r="I302" s="355">
        <v>6.25</v>
      </c>
      <c r="J302" s="356" t="s">
        <v>249</v>
      </c>
      <c r="K302" s="393"/>
      <c r="M302" s="384"/>
      <c r="N302" s="384"/>
      <c r="O302" s="384"/>
      <c r="P302" s="398"/>
    </row>
    <row r="303" spans="1:16" s="397" customFormat="1" ht="14.25" customHeight="1">
      <c r="A303" s="328"/>
      <c r="B303" s="326" t="s">
        <v>254</v>
      </c>
      <c r="C303" s="325" t="s">
        <v>189</v>
      </c>
      <c r="D303" s="324" t="s">
        <v>458</v>
      </c>
      <c r="E303" s="327">
        <v>1000000000</v>
      </c>
      <c r="F303" s="327">
        <v>0</v>
      </c>
      <c r="G303" s="327">
        <v>1000000000</v>
      </c>
      <c r="H303" s="327">
        <v>0</v>
      </c>
      <c r="I303" s="355">
        <v>6.25</v>
      </c>
      <c r="J303" s="356" t="s">
        <v>249</v>
      </c>
      <c r="K303" s="393"/>
      <c r="M303" s="384"/>
      <c r="N303" s="384"/>
      <c r="O303" s="384"/>
      <c r="P303" s="398"/>
    </row>
    <row r="304" spans="1:16" s="397" customFormat="1" ht="14.25" customHeight="1">
      <c r="A304" s="328"/>
      <c r="B304" s="326" t="s">
        <v>252</v>
      </c>
      <c r="C304" s="325" t="s">
        <v>180</v>
      </c>
      <c r="D304" s="324" t="s">
        <v>561</v>
      </c>
      <c r="E304" s="327">
        <v>553000000</v>
      </c>
      <c r="F304" s="327">
        <v>0</v>
      </c>
      <c r="G304" s="327">
        <v>553000000</v>
      </c>
      <c r="H304" s="327">
        <v>0</v>
      </c>
      <c r="I304" s="355">
        <v>6.6</v>
      </c>
      <c r="J304" s="356" t="s">
        <v>214</v>
      </c>
      <c r="K304" s="393"/>
      <c r="M304" s="384"/>
      <c r="N304" s="384"/>
      <c r="O304" s="384"/>
      <c r="P304" s="398"/>
    </row>
    <row r="305" spans="1:16" s="397" customFormat="1" ht="14.25" customHeight="1">
      <c r="A305" s="328"/>
      <c r="B305" s="326" t="s">
        <v>254</v>
      </c>
      <c r="C305" s="325" t="s">
        <v>189</v>
      </c>
      <c r="D305" s="324" t="s">
        <v>562</v>
      </c>
      <c r="E305" s="327">
        <v>1000000000</v>
      </c>
      <c r="F305" s="327">
        <v>0</v>
      </c>
      <c r="G305" s="327">
        <v>1000000000</v>
      </c>
      <c r="H305" s="327">
        <v>0</v>
      </c>
      <c r="I305" s="355">
        <v>7.25</v>
      </c>
      <c r="J305" s="356" t="s">
        <v>251</v>
      </c>
      <c r="K305" s="393"/>
      <c r="M305" s="384"/>
      <c r="N305" s="384"/>
      <c r="O305" s="384"/>
      <c r="P305" s="398"/>
    </row>
    <row r="306" spans="1:16" s="397" customFormat="1" ht="14.25" customHeight="1">
      <c r="A306" s="328"/>
      <c r="B306" s="326" t="s">
        <v>254</v>
      </c>
      <c r="C306" s="325" t="s">
        <v>189</v>
      </c>
      <c r="D306" s="324" t="s">
        <v>490</v>
      </c>
      <c r="E306" s="327">
        <v>977000000</v>
      </c>
      <c r="F306" s="327">
        <v>0</v>
      </c>
      <c r="G306" s="327">
        <v>977000000</v>
      </c>
      <c r="H306" s="327">
        <v>0</v>
      </c>
      <c r="I306" s="355">
        <v>7.25</v>
      </c>
      <c r="J306" s="356" t="s">
        <v>251</v>
      </c>
      <c r="K306" s="393"/>
      <c r="M306" s="384"/>
      <c r="N306" s="384"/>
      <c r="O306" s="384"/>
      <c r="P306" s="398"/>
    </row>
    <row r="307" spans="1:16" s="397" customFormat="1" ht="14.25" customHeight="1">
      <c r="A307" s="328"/>
      <c r="B307" s="326" t="s">
        <v>257</v>
      </c>
      <c r="C307" s="325" t="s">
        <v>189</v>
      </c>
      <c r="D307" s="324" t="s">
        <v>463</v>
      </c>
      <c r="E307" s="327">
        <v>2600000000</v>
      </c>
      <c r="F307" s="327">
        <v>0</v>
      </c>
      <c r="G307" s="327">
        <v>2600000000</v>
      </c>
      <c r="H307" s="327">
        <v>0</v>
      </c>
      <c r="I307" s="355">
        <v>7.25</v>
      </c>
      <c r="J307" s="356" t="s">
        <v>251</v>
      </c>
      <c r="K307" s="393"/>
      <c r="M307" s="384"/>
      <c r="N307" s="384"/>
      <c r="O307" s="384"/>
      <c r="P307" s="398"/>
    </row>
    <row r="308" spans="1:16" s="397" customFormat="1" ht="14.25" customHeight="1">
      <c r="A308" s="328"/>
      <c r="B308" s="326" t="s">
        <v>257</v>
      </c>
      <c r="C308" s="325" t="s">
        <v>189</v>
      </c>
      <c r="D308" s="324" t="s">
        <v>470</v>
      </c>
      <c r="E308" s="327">
        <v>1435000000</v>
      </c>
      <c r="F308" s="327">
        <v>0</v>
      </c>
      <c r="G308" s="327">
        <v>1435000000</v>
      </c>
      <c r="H308" s="327">
        <v>0</v>
      </c>
      <c r="I308" s="355">
        <v>8.1</v>
      </c>
      <c r="J308" s="356" t="s">
        <v>465</v>
      </c>
      <c r="K308" s="393"/>
      <c r="M308" s="384"/>
      <c r="N308" s="384"/>
      <c r="O308" s="384"/>
      <c r="P308" s="398"/>
    </row>
    <row r="309" spans="1:16" s="397" customFormat="1" ht="14.25" customHeight="1">
      <c r="A309" s="328"/>
      <c r="B309" s="326" t="s">
        <v>258</v>
      </c>
      <c r="C309" s="325" t="s">
        <v>189</v>
      </c>
      <c r="D309" s="324" t="s">
        <v>491</v>
      </c>
      <c r="E309" s="327">
        <v>3380000000</v>
      </c>
      <c r="F309" s="327">
        <v>0</v>
      </c>
      <c r="G309" s="327">
        <v>3380000000</v>
      </c>
      <c r="H309" s="327">
        <v>0</v>
      </c>
      <c r="I309" s="355">
        <v>8.1</v>
      </c>
      <c r="J309" s="356" t="s">
        <v>465</v>
      </c>
      <c r="K309" s="393"/>
      <c r="M309" s="384"/>
      <c r="N309" s="384"/>
      <c r="O309" s="384"/>
      <c r="P309" s="398"/>
    </row>
    <row r="310" spans="1:16" s="397" customFormat="1" ht="14.25" customHeight="1">
      <c r="A310" s="328"/>
      <c r="B310" s="326" t="s">
        <v>258</v>
      </c>
      <c r="C310" s="325" t="s">
        <v>189</v>
      </c>
      <c r="D310" s="324" t="s">
        <v>473</v>
      </c>
      <c r="E310" s="327">
        <v>1605000000</v>
      </c>
      <c r="F310" s="327">
        <v>0</v>
      </c>
      <c r="G310" s="327">
        <v>1605000000</v>
      </c>
      <c r="H310" s="327">
        <v>0</v>
      </c>
      <c r="I310" s="355">
        <v>7.6</v>
      </c>
      <c r="J310" s="356" t="s">
        <v>563</v>
      </c>
      <c r="K310" s="393"/>
      <c r="M310" s="384"/>
      <c r="N310" s="384"/>
      <c r="O310" s="384"/>
      <c r="P310" s="398"/>
    </row>
    <row r="311" spans="1:16" s="397" customFormat="1" ht="14.25" customHeight="1">
      <c r="A311" s="328"/>
      <c r="B311" s="326" t="s">
        <v>259</v>
      </c>
      <c r="C311" s="325" t="s">
        <v>189</v>
      </c>
      <c r="D311" s="324" t="s">
        <v>475</v>
      </c>
      <c r="E311" s="327">
        <v>2800000000</v>
      </c>
      <c r="F311" s="327">
        <v>0</v>
      </c>
      <c r="G311" s="327">
        <v>2800000000</v>
      </c>
      <c r="H311" s="327">
        <v>0</v>
      </c>
      <c r="I311" s="355">
        <v>7.4</v>
      </c>
      <c r="J311" s="356" t="s">
        <v>65</v>
      </c>
      <c r="K311" s="393"/>
      <c r="M311" s="384"/>
      <c r="N311" s="384"/>
      <c r="O311" s="384"/>
      <c r="P311" s="398"/>
    </row>
    <row r="312" spans="1:16" s="397" customFormat="1" ht="14.25" customHeight="1">
      <c r="A312" s="328"/>
      <c r="B312" s="326" t="s">
        <v>259</v>
      </c>
      <c r="C312" s="325" t="s">
        <v>189</v>
      </c>
      <c r="D312" s="324" t="s">
        <v>564</v>
      </c>
      <c r="E312" s="327">
        <v>1450000000</v>
      </c>
      <c r="F312" s="327">
        <v>0</v>
      </c>
      <c r="G312" s="327">
        <v>1450000000</v>
      </c>
      <c r="H312" s="327">
        <v>0</v>
      </c>
      <c r="I312" s="355">
        <v>7.4</v>
      </c>
      <c r="J312" s="356" t="s">
        <v>65</v>
      </c>
      <c r="K312" s="393"/>
      <c r="M312" s="384"/>
      <c r="N312" s="384"/>
      <c r="O312" s="384"/>
      <c r="P312" s="398"/>
    </row>
    <row r="313" spans="1:16" s="397" customFormat="1" ht="14.25" customHeight="1">
      <c r="A313" s="328"/>
      <c r="B313" s="326" t="s">
        <v>261</v>
      </c>
      <c r="C313" s="325" t="s">
        <v>189</v>
      </c>
      <c r="D313" s="324" t="s">
        <v>565</v>
      </c>
      <c r="E313" s="327">
        <v>3480000000</v>
      </c>
      <c r="F313" s="327">
        <v>0</v>
      </c>
      <c r="G313" s="327">
        <v>3480000000</v>
      </c>
      <c r="H313" s="327">
        <v>0</v>
      </c>
      <c r="I313" s="355">
        <v>7.4</v>
      </c>
      <c r="J313" s="356" t="s">
        <v>260</v>
      </c>
      <c r="K313" s="393"/>
      <c r="M313" s="384"/>
      <c r="N313" s="384"/>
      <c r="O313" s="384"/>
      <c r="P313" s="398"/>
    </row>
    <row r="314" spans="1:16" s="397" customFormat="1" ht="14.25" customHeight="1">
      <c r="A314" s="323"/>
      <c r="B314" s="326">
        <v>57</v>
      </c>
      <c r="C314" s="325" t="s">
        <v>189</v>
      </c>
      <c r="D314" s="324" t="s">
        <v>566</v>
      </c>
      <c r="E314" s="327">
        <v>996000000</v>
      </c>
      <c r="F314" s="327">
        <v>0</v>
      </c>
      <c r="G314" s="327">
        <v>996000000</v>
      </c>
      <c r="H314" s="327">
        <v>0</v>
      </c>
      <c r="I314" s="355">
        <v>7.4</v>
      </c>
      <c r="J314" s="356" t="s">
        <v>69</v>
      </c>
      <c r="K314" s="393"/>
      <c r="M314" s="384"/>
      <c r="N314" s="384"/>
      <c r="O314" s="384"/>
      <c r="P314" s="398"/>
    </row>
    <row r="315" spans="1:16" s="397" customFormat="1" ht="14.25" customHeight="1">
      <c r="A315" s="328"/>
      <c r="B315" s="326" t="s">
        <v>262</v>
      </c>
      <c r="C315" s="325" t="s">
        <v>189</v>
      </c>
      <c r="D315" s="324" t="s">
        <v>503</v>
      </c>
      <c r="E315" s="327">
        <v>1800000000</v>
      </c>
      <c r="F315" s="327">
        <v>0</v>
      </c>
      <c r="G315" s="327">
        <v>1800000000</v>
      </c>
      <c r="H315" s="327">
        <v>0</v>
      </c>
      <c r="I315" s="355">
        <v>7.2</v>
      </c>
      <c r="J315" s="356" t="s">
        <v>66</v>
      </c>
      <c r="K315" s="393"/>
      <c r="M315" s="384"/>
      <c r="N315" s="384"/>
      <c r="O315" s="384"/>
      <c r="P315" s="398"/>
    </row>
    <row r="316" spans="1:16" s="397" customFormat="1" ht="14.25" customHeight="1">
      <c r="A316" s="328"/>
      <c r="B316" s="326" t="s">
        <v>262</v>
      </c>
      <c r="C316" s="325" t="s">
        <v>189</v>
      </c>
      <c r="D316" s="324" t="s">
        <v>0</v>
      </c>
      <c r="E316" s="327">
        <v>1683000000</v>
      </c>
      <c r="F316" s="327">
        <v>0</v>
      </c>
      <c r="G316" s="327">
        <v>1683000000</v>
      </c>
      <c r="H316" s="327">
        <v>0</v>
      </c>
      <c r="I316" s="355">
        <v>7.2</v>
      </c>
      <c r="J316" s="356" t="s">
        <v>264</v>
      </c>
      <c r="K316" s="393"/>
      <c r="M316" s="384"/>
      <c r="N316" s="384"/>
      <c r="O316" s="384"/>
      <c r="P316" s="398"/>
    </row>
    <row r="317" spans="1:16" s="397" customFormat="1" ht="14.25" customHeight="1">
      <c r="A317" s="328"/>
      <c r="B317" s="326" t="s">
        <v>265</v>
      </c>
      <c r="C317" s="325" t="s">
        <v>189</v>
      </c>
      <c r="D317" s="324" t="s">
        <v>1</v>
      </c>
      <c r="E317" s="327">
        <v>100000000</v>
      </c>
      <c r="F317" s="327">
        <v>0</v>
      </c>
      <c r="G317" s="327">
        <v>100000000</v>
      </c>
      <c r="H317" s="327">
        <v>0</v>
      </c>
      <c r="I317" s="355">
        <v>7.2</v>
      </c>
      <c r="J317" s="356" t="s">
        <v>264</v>
      </c>
      <c r="K317" s="393"/>
      <c r="M317" s="384"/>
      <c r="N317" s="384"/>
      <c r="O317" s="384"/>
      <c r="P317" s="398"/>
    </row>
    <row r="318" spans="1:16" s="397" customFormat="1" ht="14.25" customHeight="1">
      <c r="A318" s="328"/>
      <c r="B318" s="326" t="s">
        <v>265</v>
      </c>
      <c r="C318" s="325" t="s">
        <v>266</v>
      </c>
      <c r="D318" s="324" t="s">
        <v>508</v>
      </c>
      <c r="E318" s="327">
        <v>1000000000</v>
      </c>
      <c r="F318" s="327">
        <v>0</v>
      </c>
      <c r="G318" s="327">
        <v>1000000000</v>
      </c>
      <c r="H318" s="327">
        <v>0</v>
      </c>
      <c r="I318" s="355">
        <v>6.9</v>
      </c>
      <c r="J318" s="356" t="s">
        <v>237</v>
      </c>
      <c r="K318" s="393"/>
      <c r="M318" s="384"/>
      <c r="N318" s="384"/>
      <c r="O318" s="384"/>
      <c r="P318" s="398"/>
    </row>
    <row r="319" spans="1:16" s="397" customFormat="1" ht="14.25" customHeight="1">
      <c r="A319" s="328"/>
      <c r="B319" s="326" t="s">
        <v>265</v>
      </c>
      <c r="C319" s="325" t="s">
        <v>189</v>
      </c>
      <c r="D319" s="324" t="s">
        <v>509</v>
      </c>
      <c r="E319" s="327">
        <v>2077000000</v>
      </c>
      <c r="F319" s="327">
        <v>0</v>
      </c>
      <c r="G319" s="327">
        <v>2077000000</v>
      </c>
      <c r="H319" s="327">
        <v>0</v>
      </c>
      <c r="I319" s="355">
        <v>7.2</v>
      </c>
      <c r="J319" s="356" t="s">
        <v>264</v>
      </c>
      <c r="K319" s="393"/>
      <c r="M319" s="384"/>
      <c r="N319" s="384"/>
      <c r="O319" s="384"/>
      <c r="P319" s="398"/>
    </row>
    <row r="320" spans="1:16" s="397" customFormat="1" ht="14.25" customHeight="1">
      <c r="A320" s="328"/>
      <c r="B320" s="326" t="s">
        <v>262</v>
      </c>
      <c r="C320" s="332" t="s">
        <v>180</v>
      </c>
      <c r="D320" s="324" t="s">
        <v>2</v>
      </c>
      <c r="E320" s="327">
        <v>940000000</v>
      </c>
      <c r="F320" s="327">
        <v>0</v>
      </c>
      <c r="G320" s="327">
        <v>940000000</v>
      </c>
      <c r="H320" s="327">
        <v>0</v>
      </c>
      <c r="I320" s="355">
        <v>6.9</v>
      </c>
      <c r="J320" s="356" t="s">
        <v>237</v>
      </c>
      <c r="K320" s="393"/>
      <c r="M320" s="384"/>
      <c r="N320" s="384"/>
      <c r="O320" s="384"/>
      <c r="P320" s="398"/>
    </row>
    <row r="321" spans="1:16" ht="14.25" customHeight="1">
      <c r="A321" s="328"/>
      <c r="B321" s="326" t="s">
        <v>265</v>
      </c>
      <c r="C321" s="325" t="s">
        <v>189</v>
      </c>
      <c r="D321" s="324" t="s">
        <v>3</v>
      </c>
      <c r="E321" s="327">
        <v>445000000</v>
      </c>
      <c r="F321" s="327">
        <v>0</v>
      </c>
      <c r="G321" s="327">
        <v>445000000</v>
      </c>
      <c r="H321" s="327">
        <v>0</v>
      </c>
      <c r="I321" s="355">
        <v>6.9</v>
      </c>
      <c r="J321" s="356" t="s">
        <v>267</v>
      </c>
      <c r="K321" s="393"/>
    </row>
    <row r="322" spans="1:16" ht="14.25" customHeight="1">
      <c r="A322" s="328"/>
      <c r="B322" s="326" t="s">
        <v>265</v>
      </c>
      <c r="C322" s="325" t="s">
        <v>185</v>
      </c>
      <c r="D322" s="324" t="s">
        <v>4</v>
      </c>
      <c r="E322" s="327">
        <v>488000000</v>
      </c>
      <c r="F322" s="327">
        <v>0</v>
      </c>
      <c r="G322" s="327">
        <v>488000000</v>
      </c>
      <c r="H322" s="327">
        <v>0</v>
      </c>
      <c r="I322" s="355">
        <v>6.8</v>
      </c>
      <c r="J322" s="356" t="s">
        <v>271</v>
      </c>
      <c r="K322" s="393"/>
    </row>
    <row r="323" spans="1:16" ht="14.25" customHeight="1">
      <c r="A323" s="328"/>
      <c r="B323" s="326" t="s">
        <v>268</v>
      </c>
      <c r="C323" s="325" t="s">
        <v>266</v>
      </c>
      <c r="D323" s="324" t="s">
        <v>5</v>
      </c>
      <c r="E323" s="327">
        <v>1000000000</v>
      </c>
      <c r="F323" s="327">
        <v>0</v>
      </c>
      <c r="G323" s="327">
        <v>1000000000</v>
      </c>
      <c r="H323" s="327">
        <v>0</v>
      </c>
      <c r="I323" s="355">
        <v>5.8</v>
      </c>
      <c r="J323" s="356" t="s">
        <v>219</v>
      </c>
      <c r="K323" s="393"/>
    </row>
    <row r="324" spans="1:16" ht="14.25" customHeight="1">
      <c r="A324" s="328"/>
      <c r="B324" s="326" t="s">
        <v>268</v>
      </c>
      <c r="C324" s="325" t="s">
        <v>189</v>
      </c>
      <c r="D324" s="324" t="s">
        <v>512</v>
      </c>
      <c r="E324" s="327">
        <v>655000000</v>
      </c>
      <c r="F324" s="327">
        <v>0</v>
      </c>
      <c r="G324" s="327">
        <v>655000000</v>
      </c>
      <c r="H324" s="327">
        <v>0</v>
      </c>
      <c r="I324" s="355">
        <v>6.4</v>
      </c>
      <c r="J324" s="356" t="s">
        <v>267</v>
      </c>
      <c r="K324" s="393"/>
    </row>
    <row r="325" spans="1:16" ht="14.25" customHeight="1">
      <c r="A325" s="328"/>
      <c r="B325" s="326" t="s">
        <v>268</v>
      </c>
      <c r="C325" s="325" t="s">
        <v>185</v>
      </c>
      <c r="D325" s="324" t="s">
        <v>6</v>
      </c>
      <c r="E325" s="327">
        <v>1302000000</v>
      </c>
      <c r="F325" s="327">
        <v>0</v>
      </c>
      <c r="G325" s="327">
        <v>1302000000</v>
      </c>
      <c r="H325" s="327">
        <v>0</v>
      </c>
      <c r="I325" s="355">
        <v>6.05</v>
      </c>
      <c r="J325" s="356" t="s">
        <v>276</v>
      </c>
      <c r="K325" s="393"/>
    </row>
    <row r="326" spans="1:16" ht="14.25" customHeight="1">
      <c r="A326" s="328"/>
      <c r="B326" s="326" t="s">
        <v>268</v>
      </c>
      <c r="C326" s="325" t="s">
        <v>189</v>
      </c>
      <c r="D326" s="324" t="s">
        <v>7</v>
      </c>
      <c r="E326" s="327">
        <v>647000000</v>
      </c>
      <c r="F326" s="327">
        <v>0</v>
      </c>
      <c r="G326" s="327">
        <v>647000000</v>
      </c>
      <c r="H326" s="327">
        <v>0</v>
      </c>
      <c r="I326" s="355">
        <v>6.15</v>
      </c>
      <c r="J326" s="356" t="s">
        <v>269</v>
      </c>
      <c r="K326" s="393"/>
    </row>
    <row r="327" spans="1:16" ht="14.25" customHeight="1">
      <c r="A327" s="323"/>
      <c r="B327" s="324" t="s">
        <v>8</v>
      </c>
      <c r="C327" s="325" t="s">
        <v>189</v>
      </c>
      <c r="D327" s="324" t="s">
        <v>9</v>
      </c>
      <c r="E327" s="327">
        <v>688000000</v>
      </c>
      <c r="F327" s="327">
        <v>0</v>
      </c>
      <c r="G327" s="327">
        <v>688000000</v>
      </c>
      <c r="H327" s="327">
        <v>0</v>
      </c>
      <c r="I327" s="355">
        <v>5.4</v>
      </c>
      <c r="J327" s="356" t="s">
        <v>1769</v>
      </c>
      <c r="K327" s="393"/>
    </row>
    <row r="328" spans="1:16" ht="14.25" customHeight="1">
      <c r="A328" s="328"/>
      <c r="B328" s="326" t="s">
        <v>270</v>
      </c>
      <c r="C328" s="325" t="s">
        <v>189</v>
      </c>
      <c r="D328" s="324" t="s">
        <v>10</v>
      </c>
      <c r="E328" s="327">
        <v>320000000</v>
      </c>
      <c r="F328" s="327">
        <v>0</v>
      </c>
      <c r="G328" s="327">
        <v>320000000</v>
      </c>
      <c r="H328" s="327">
        <v>0</v>
      </c>
      <c r="I328" s="355">
        <v>4.7</v>
      </c>
      <c r="J328" s="356" t="s">
        <v>1769</v>
      </c>
      <c r="K328" s="393"/>
    </row>
    <row r="329" spans="1:16" ht="14.25" customHeight="1">
      <c r="A329" s="328"/>
      <c r="B329" s="326" t="s">
        <v>270</v>
      </c>
      <c r="C329" s="325" t="s">
        <v>189</v>
      </c>
      <c r="D329" s="324" t="s">
        <v>11</v>
      </c>
      <c r="E329" s="327">
        <v>79000000</v>
      </c>
      <c r="F329" s="327">
        <v>0</v>
      </c>
      <c r="G329" s="327">
        <v>79000000</v>
      </c>
      <c r="H329" s="327">
        <v>0</v>
      </c>
      <c r="I329" s="355">
        <v>4.7</v>
      </c>
      <c r="J329" s="356" t="s">
        <v>1769</v>
      </c>
      <c r="K329" s="393"/>
    </row>
    <row r="330" spans="1:16" ht="14.25" customHeight="1">
      <c r="A330" s="328"/>
      <c r="B330" s="326" t="s">
        <v>270</v>
      </c>
      <c r="C330" s="325" t="s">
        <v>185</v>
      </c>
      <c r="D330" s="324" t="s">
        <v>12</v>
      </c>
      <c r="E330" s="327">
        <v>1086000000</v>
      </c>
      <c r="F330" s="327">
        <v>0</v>
      </c>
      <c r="G330" s="327">
        <v>1086000000</v>
      </c>
      <c r="H330" s="327">
        <v>0</v>
      </c>
      <c r="I330" s="355">
        <v>5.2</v>
      </c>
      <c r="J330" s="356" t="s">
        <v>277</v>
      </c>
      <c r="K330" s="393"/>
      <c r="M330" s="406"/>
      <c r="N330" s="440"/>
      <c r="O330" s="440"/>
      <c r="P330" s="441"/>
    </row>
    <row r="331" spans="1:16" ht="14.25" customHeight="1">
      <c r="A331" s="328"/>
      <c r="B331" s="326" t="s">
        <v>272</v>
      </c>
      <c r="C331" s="325" t="s">
        <v>189</v>
      </c>
      <c r="D331" s="324" t="s">
        <v>13</v>
      </c>
      <c r="E331" s="327">
        <v>545000000</v>
      </c>
      <c r="F331" s="327">
        <v>0</v>
      </c>
      <c r="G331" s="327">
        <v>545000000</v>
      </c>
      <c r="H331" s="327">
        <v>0</v>
      </c>
      <c r="I331" s="355">
        <v>5.0999999999999996</v>
      </c>
      <c r="J331" s="356" t="s">
        <v>1769</v>
      </c>
      <c r="K331" s="393"/>
      <c r="N331" s="440"/>
      <c r="O331" s="440"/>
      <c r="P331" s="441"/>
    </row>
    <row r="332" spans="1:16" ht="14.25" customHeight="1">
      <c r="A332" s="323"/>
      <c r="B332" s="324" t="s">
        <v>14</v>
      </c>
      <c r="C332" s="325" t="s">
        <v>185</v>
      </c>
      <c r="D332" s="324" t="s">
        <v>15</v>
      </c>
      <c r="E332" s="327">
        <v>545000000</v>
      </c>
      <c r="F332" s="327">
        <v>0</v>
      </c>
      <c r="G332" s="327">
        <v>545000000</v>
      </c>
      <c r="H332" s="327">
        <v>0</v>
      </c>
      <c r="I332" s="355">
        <v>5.0999999999999996</v>
      </c>
      <c r="J332" s="356" t="s">
        <v>280</v>
      </c>
      <c r="K332" s="393"/>
      <c r="N332" s="440"/>
      <c r="O332" s="440"/>
      <c r="P332" s="441"/>
    </row>
    <row r="333" spans="1:16" ht="14.25" customHeight="1">
      <c r="A333" s="328"/>
      <c r="B333" s="326" t="s">
        <v>275</v>
      </c>
      <c r="C333" s="325" t="s">
        <v>189</v>
      </c>
      <c r="D333" s="324" t="s">
        <v>16</v>
      </c>
      <c r="E333" s="327">
        <v>600000000</v>
      </c>
      <c r="F333" s="327">
        <v>0</v>
      </c>
      <c r="G333" s="327">
        <v>600000000</v>
      </c>
      <c r="H333" s="327">
        <v>0</v>
      </c>
      <c r="I333" s="355">
        <v>4.95</v>
      </c>
      <c r="J333" s="356" t="s">
        <v>1769</v>
      </c>
      <c r="K333" s="393"/>
      <c r="N333" s="440"/>
      <c r="O333" s="440"/>
      <c r="P333" s="441"/>
    </row>
    <row r="334" spans="1:16" ht="14.25" customHeight="1">
      <c r="A334" s="328"/>
      <c r="B334" s="326" t="s">
        <v>275</v>
      </c>
      <c r="C334" s="325" t="s">
        <v>185</v>
      </c>
      <c r="D334" s="324" t="s">
        <v>523</v>
      </c>
      <c r="E334" s="327">
        <v>796000000</v>
      </c>
      <c r="F334" s="327">
        <v>0</v>
      </c>
      <c r="G334" s="327">
        <v>796000000</v>
      </c>
      <c r="H334" s="327">
        <v>0</v>
      </c>
      <c r="I334" s="355">
        <v>5.4</v>
      </c>
      <c r="J334" s="356" t="s">
        <v>1753</v>
      </c>
      <c r="K334" s="393"/>
      <c r="N334" s="440"/>
      <c r="O334" s="440"/>
      <c r="P334" s="441"/>
    </row>
    <row r="335" spans="1:16" ht="14.25" customHeight="1">
      <c r="A335" s="328"/>
      <c r="B335" s="324" t="s">
        <v>17</v>
      </c>
      <c r="C335" s="325" t="s">
        <v>189</v>
      </c>
      <c r="D335" s="324" t="s">
        <v>18</v>
      </c>
      <c r="E335" s="327">
        <v>300000000</v>
      </c>
      <c r="F335" s="327">
        <v>0</v>
      </c>
      <c r="G335" s="327">
        <v>300000000</v>
      </c>
      <c r="H335" s="327">
        <v>0</v>
      </c>
      <c r="I335" s="355">
        <v>6.3</v>
      </c>
      <c r="J335" s="356" t="s">
        <v>277</v>
      </c>
      <c r="K335" s="393"/>
      <c r="N335" s="440"/>
      <c r="O335" s="440"/>
      <c r="P335" s="441"/>
    </row>
    <row r="336" spans="1:16" ht="14.25" customHeight="1">
      <c r="A336" s="328"/>
      <c r="B336" s="326" t="s">
        <v>19</v>
      </c>
      <c r="C336" s="325" t="s">
        <v>185</v>
      </c>
      <c r="D336" s="324" t="s">
        <v>20</v>
      </c>
      <c r="E336" s="327">
        <v>815000000</v>
      </c>
      <c r="F336" s="327">
        <v>0</v>
      </c>
      <c r="G336" s="327">
        <v>815000000</v>
      </c>
      <c r="H336" s="327">
        <v>0</v>
      </c>
      <c r="I336" s="355">
        <v>6.6</v>
      </c>
      <c r="J336" s="356" t="s">
        <v>1748</v>
      </c>
      <c r="K336" s="393"/>
      <c r="N336" s="440"/>
      <c r="O336" s="440"/>
      <c r="P336" s="441"/>
    </row>
    <row r="337" spans="1:16" ht="14.25" customHeight="1">
      <c r="A337" s="328"/>
      <c r="B337" s="326" t="s">
        <v>21</v>
      </c>
      <c r="C337" s="325" t="s">
        <v>189</v>
      </c>
      <c r="D337" s="324" t="s">
        <v>22</v>
      </c>
      <c r="E337" s="327">
        <v>258000000</v>
      </c>
      <c r="F337" s="327">
        <v>0</v>
      </c>
      <c r="G337" s="327">
        <v>258000000</v>
      </c>
      <c r="H337" s="327">
        <v>0</v>
      </c>
      <c r="I337" s="355">
        <v>6.7</v>
      </c>
      <c r="J337" s="356" t="s">
        <v>280</v>
      </c>
      <c r="K337" s="393"/>
      <c r="N337" s="440"/>
      <c r="O337" s="440"/>
      <c r="P337" s="441"/>
    </row>
    <row r="338" spans="1:16" ht="14.25" customHeight="1">
      <c r="A338" s="328"/>
      <c r="B338" s="324" t="s">
        <v>279</v>
      </c>
      <c r="C338" s="325" t="s">
        <v>189</v>
      </c>
      <c r="D338" s="324" t="s">
        <v>23</v>
      </c>
      <c r="E338" s="327">
        <v>400000000</v>
      </c>
      <c r="F338" s="327">
        <v>0</v>
      </c>
      <c r="G338" s="327">
        <v>400000000</v>
      </c>
      <c r="H338" s="327">
        <v>0</v>
      </c>
      <c r="I338" s="355">
        <v>6.65</v>
      </c>
      <c r="J338" s="356" t="s">
        <v>280</v>
      </c>
      <c r="K338" s="393"/>
      <c r="N338" s="440"/>
      <c r="O338" s="440"/>
      <c r="P338" s="441"/>
    </row>
    <row r="339" spans="1:16" ht="14.25" customHeight="1">
      <c r="A339" s="328"/>
      <c r="B339" s="324" t="s">
        <v>279</v>
      </c>
      <c r="C339" s="325" t="s">
        <v>185</v>
      </c>
      <c r="D339" s="324" t="s">
        <v>534</v>
      </c>
      <c r="E339" s="327">
        <v>212000000</v>
      </c>
      <c r="F339" s="327">
        <v>0</v>
      </c>
      <c r="G339" s="327">
        <v>212000000</v>
      </c>
      <c r="H339" s="327">
        <v>0</v>
      </c>
      <c r="I339" s="355">
        <v>5.5</v>
      </c>
      <c r="J339" s="356" t="s">
        <v>1747</v>
      </c>
      <c r="K339" s="393"/>
      <c r="N339" s="344"/>
      <c r="O339" s="344"/>
      <c r="P339" s="441"/>
    </row>
    <row r="340" spans="1:16" ht="14.25" customHeight="1">
      <c r="A340" s="328"/>
      <c r="B340" s="324" t="s">
        <v>292</v>
      </c>
      <c r="C340" s="325" t="s">
        <v>189</v>
      </c>
      <c r="D340" s="324" t="s">
        <v>535</v>
      </c>
      <c r="E340" s="327">
        <v>52000000</v>
      </c>
      <c r="F340" s="327">
        <v>0</v>
      </c>
      <c r="G340" s="327">
        <v>52000000</v>
      </c>
      <c r="H340" s="327">
        <v>0</v>
      </c>
      <c r="I340" s="355">
        <v>5.65</v>
      </c>
      <c r="J340" s="356" t="s">
        <v>1769</v>
      </c>
      <c r="K340" s="393"/>
      <c r="N340" s="440"/>
      <c r="O340" s="440"/>
      <c r="P340" s="441"/>
    </row>
    <row r="341" spans="1:16" ht="14.25" customHeight="1">
      <c r="A341" s="328"/>
      <c r="B341" s="324" t="s">
        <v>279</v>
      </c>
      <c r="C341" s="325" t="s">
        <v>189</v>
      </c>
      <c r="D341" s="324" t="s">
        <v>535</v>
      </c>
      <c r="E341" s="327">
        <v>336000000</v>
      </c>
      <c r="F341" s="327">
        <v>0</v>
      </c>
      <c r="G341" s="327">
        <v>336000000</v>
      </c>
      <c r="H341" s="327">
        <v>0</v>
      </c>
      <c r="I341" s="355">
        <v>5.6</v>
      </c>
      <c r="J341" s="356" t="s">
        <v>1769</v>
      </c>
      <c r="K341" s="393"/>
      <c r="N341" s="440"/>
      <c r="O341" s="440"/>
      <c r="P341" s="441"/>
    </row>
    <row r="342" spans="1:16" ht="14.25" customHeight="1">
      <c r="A342" s="328"/>
      <c r="B342" s="324" t="s">
        <v>281</v>
      </c>
      <c r="C342" s="325" t="s">
        <v>189</v>
      </c>
      <c r="D342" s="324" t="s">
        <v>535</v>
      </c>
      <c r="E342" s="327">
        <v>300000000</v>
      </c>
      <c r="F342" s="327">
        <v>0</v>
      </c>
      <c r="G342" s="327">
        <v>300000000</v>
      </c>
      <c r="H342" s="327">
        <v>0</v>
      </c>
      <c r="I342" s="355">
        <v>5.65</v>
      </c>
      <c r="J342" s="356" t="s">
        <v>1769</v>
      </c>
      <c r="K342" s="393"/>
      <c r="N342" s="440"/>
      <c r="O342" s="440"/>
      <c r="P342" s="441"/>
    </row>
    <row r="343" spans="1:16" ht="14.25" customHeight="1">
      <c r="A343" s="328"/>
      <c r="B343" s="324" t="s">
        <v>281</v>
      </c>
      <c r="C343" s="325" t="s">
        <v>185</v>
      </c>
      <c r="D343" s="324" t="s">
        <v>24</v>
      </c>
      <c r="E343" s="327">
        <v>440000000</v>
      </c>
      <c r="F343" s="327">
        <v>28258716</v>
      </c>
      <c r="G343" s="327">
        <v>440000000</v>
      </c>
      <c r="H343" s="327">
        <v>0</v>
      </c>
      <c r="I343" s="355">
        <v>4.4000000000000004</v>
      </c>
      <c r="J343" s="356" t="s">
        <v>1746</v>
      </c>
      <c r="K343" s="393"/>
      <c r="N343" s="329"/>
      <c r="O343" s="329"/>
      <c r="P343" s="441"/>
    </row>
    <row r="344" spans="1:16" ht="14.25" customHeight="1">
      <c r="A344" s="328"/>
      <c r="B344" s="324" t="s">
        <v>281</v>
      </c>
      <c r="C344" s="325" t="s">
        <v>189</v>
      </c>
      <c r="D344" s="324" t="s">
        <v>25</v>
      </c>
      <c r="E344" s="327">
        <v>260000000</v>
      </c>
      <c r="F344" s="327">
        <v>0</v>
      </c>
      <c r="G344" s="327">
        <v>260000000</v>
      </c>
      <c r="H344" s="327">
        <v>0</v>
      </c>
      <c r="I344" s="355">
        <v>4.5</v>
      </c>
      <c r="J344" s="356" t="s">
        <v>1769</v>
      </c>
      <c r="K344" s="393"/>
      <c r="N344" s="440"/>
      <c r="O344" s="440"/>
      <c r="P344" s="441"/>
    </row>
    <row r="345" spans="1:16" ht="14.25" customHeight="1">
      <c r="A345" s="328"/>
      <c r="B345" s="324" t="s">
        <v>1759</v>
      </c>
      <c r="C345" s="325" t="s">
        <v>189</v>
      </c>
      <c r="D345" s="324" t="s">
        <v>25</v>
      </c>
      <c r="E345" s="327">
        <v>80000000</v>
      </c>
      <c r="F345" s="327">
        <v>0</v>
      </c>
      <c r="G345" s="327">
        <v>80000000</v>
      </c>
      <c r="H345" s="327">
        <v>0</v>
      </c>
      <c r="I345" s="355">
        <v>4.45</v>
      </c>
      <c r="J345" s="356" t="s">
        <v>1769</v>
      </c>
      <c r="K345" s="393"/>
      <c r="N345" s="440"/>
      <c r="O345" s="440"/>
      <c r="P345" s="441"/>
    </row>
    <row r="346" spans="1:16" ht="14.25" customHeight="1" thickBot="1">
      <c r="A346" s="345"/>
      <c r="B346" s="324">
        <v>4</v>
      </c>
      <c r="C346" s="325" t="s">
        <v>185</v>
      </c>
      <c r="D346" s="324" t="s">
        <v>540</v>
      </c>
      <c r="E346" s="327">
        <v>120000000</v>
      </c>
      <c r="F346" s="327">
        <v>6908197</v>
      </c>
      <c r="G346" s="327">
        <v>112837354</v>
      </c>
      <c r="H346" s="327">
        <v>7162646</v>
      </c>
      <c r="I346" s="355">
        <v>3.65</v>
      </c>
      <c r="J346" s="356" t="s">
        <v>1745</v>
      </c>
      <c r="K346" s="393"/>
      <c r="M346" s="330"/>
      <c r="N346" s="329"/>
      <c r="O346" s="329"/>
      <c r="P346" s="441"/>
    </row>
    <row r="347" spans="1:16" ht="9.75" customHeight="1" thickBot="1">
      <c r="A347" s="346"/>
      <c r="B347" s="347"/>
      <c r="C347" s="346"/>
      <c r="D347" s="347"/>
      <c r="E347" s="348"/>
      <c r="F347" s="348"/>
      <c r="G347" s="348"/>
      <c r="H347" s="348"/>
      <c r="I347" s="433"/>
      <c r="J347" s="434"/>
      <c r="K347" s="393"/>
      <c r="N347" s="440"/>
      <c r="O347" s="440"/>
      <c r="P347" s="441"/>
    </row>
    <row r="348" spans="1:16">
      <c r="A348" s="466" t="s">
        <v>26</v>
      </c>
      <c r="B348" s="468" t="s">
        <v>311</v>
      </c>
      <c r="C348" s="470" t="s">
        <v>27</v>
      </c>
      <c r="D348" s="468" t="s">
        <v>312</v>
      </c>
      <c r="E348" s="472" t="s">
        <v>28</v>
      </c>
      <c r="F348" s="474" t="s">
        <v>29</v>
      </c>
      <c r="G348" s="476"/>
      <c r="H348" s="460" t="s">
        <v>174</v>
      </c>
      <c r="I348" s="462" t="s">
        <v>30</v>
      </c>
      <c r="J348" s="464" t="s">
        <v>313</v>
      </c>
      <c r="K348" s="399"/>
      <c r="N348" s="440"/>
      <c r="O348" s="440"/>
      <c r="P348" s="441"/>
    </row>
    <row r="349" spans="1:16">
      <c r="A349" s="467"/>
      <c r="B349" s="469"/>
      <c r="C349" s="471"/>
      <c r="D349" s="469"/>
      <c r="E349" s="473"/>
      <c r="F349" s="343" t="s">
        <v>176</v>
      </c>
      <c r="G349" s="343" t="s">
        <v>305</v>
      </c>
      <c r="H349" s="461"/>
      <c r="I349" s="463"/>
      <c r="J349" s="465"/>
      <c r="K349" s="401"/>
      <c r="N349" s="440"/>
      <c r="O349" s="440"/>
      <c r="P349" s="441"/>
    </row>
    <row r="350" spans="1:16">
      <c r="A350" s="319"/>
      <c r="B350" s="320"/>
      <c r="C350" s="320"/>
      <c r="D350" s="321" t="s">
        <v>177</v>
      </c>
      <c r="E350" s="322" t="s">
        <v>178</v>
      </c>
      <c r="F350" s="322" t="s">
        <v>172</v>
      </c>
      <c r="G350" s="322" t="s">
        <v>178</v>
      </c>
      <c r="H350" s="322" t="s">
        <v>178</v>
      </c>
      <c r="I350" s="402" t="s">
        <v>31</v>
      </c>
      <c r="J350" s="403" t="s">
        <v>175</v>
      </c>
      <c r="K350" s="393"/>
      <c r="N350" s="440"/>
      <c r="O350" s="440"/>
      <c r="P350" s="441"/>
    </row>
    <row r="351" spans="1:16" ht="14.25" customHeight="1">
      <c r="A351" s="323" t="s">
        <v>290</v>
      </c>
      <c r="B351" s="324" t="s">
        <v>544</v>
      </c>
      <c r="C351" s="325" t="s">
        <v>189</v>
      </c>
      <c r="D351" s="324" t="s">
        <v>1721</v>
      </c>
      <c r="E351" s="327">
        <v>50000000</v>
      </c>
      <c r="F351" s="327">
        <v>0</v>
      </c>
      <c r="G351" s="327">
        <v>50000000</v>
      </c>
      <c r="H351" s="327">
        <v>0</v>
      </c>
      <c r="I351" s="355">
        <v>3.7</v>
      </c>
      <c r="J351" s="356" t="s">
        <v>1747</v>
      </c>
      <c r="K351" s="393"/>
      <c r="M351" s="330"/>
      <c r="N351" s="329"/>
      <c r="O351" s="329"/>
      <c r="P351" s="441"/>
    </row>
    <row r="352" spans="1:16" ht="14.25" customHeight="1">
      <c r="A352" s="328" t="s">
        <v>182</v>
      </c>
      <c r="B352" s="324">
        <v>5</v>
      </c>
      <c r="C352" s="325" t="s">
        <v>185</v>
      </c>
      <c r="D352" s="324" t="s">
        <v>32</v>
      </c>
      <c r="E352" s="327">
        <v>50000000</v>
      </c>
      <c r="F352" s="327">
        <v>3093838</v>
      </c>
      <c r="G352" s="327">
        <v>45078205</v>
      </c>
      <c r="H352" s="327">
        <v>4921795</v>
      </c>
      <c r="I352" s="355">
        <v>4.75</v>
      </c>
      <c r="J352" s="356" t="s">
        <v>1744</v>
      </c>
      <c r="K352" s="393"/>
      <c r="M352" s="330"/>
      <c r="N352" s="329"/>
      <c r="O352" s="329"/>
      <c r="P352" s="441"/>
    </row>
    <row r="353" spans="1:16" ht="14.25" customHeight="1">
      <c r="A353" s="323"/>
      <c r="B353" s="324" t="s">
        <v>33</v>
      </c>
      <c r="C353" s="325" t="s">
        <v>266</v>
      </c>
      <c r="D353" s="324" t="s">
        <v>34</v>
      </c>
      <c r="E353" s="327">
        <v>580000000</v>
      </c>
      <c r="F353" s="327">
        <v>0</v>
      </c>
      <c r="G353" s="327">
        <v>580000000</v>
      </c>
      <c r="H353" s="327">
        <v>0</v>
      </c>
      <c r="I353" s="355">
        <v>4.5</v>
      </c>
      <c r="J353" s="356" t="s">
        <v>244</v>
      </c>
      <c r="K353" s="393"/>
      <c r="N353" s="440"/>
      <c r="O353" s="440"/>
      <c r="P353" s="441"/>
    </row>
    <row r="354" spans="1:16" ht="14.25" customHeight="1">
      <c r="A354" s="323"/>
      <c r="B354" s="324" t="s">
        <v>35</v>
      </c>
      <c r="C354" s="325" t="s">
        <v>266</v>
      </c>
      <c r="D354" s="326" t="s">
        <v>36</v>
      </c>
      <c r="E354" s="327">
        <v>35000000</v>
      </c>
      <c r="F354" s="327">
        <v>0</v>
      </c>
      <c r="G354" s="327">
        <v>35000000</v>
      </c>
      <c r="H354" s="327">
        <v>0</v>
      </c>
      <c r="I354" s="355">
        <v>4.5</v>
      </c>
      <c r="J354" s="356" t="s">
        <v>244</v>
      </c>
      <c r="K354" s="393"/>
      <c r="N354" s="440"/>
      <c r="O354" s="440"/>
      <c r="P354" s="441"/>
    </row>
    <row r="355" spans="1:16" ht="14.25" customHeight="1">
      <c r="A355" s="328"/>
      <c r="B355" s="324">
        <v>6</v>
      </c>
      <c r="C355" s="325" t="s">
        <v>189</v>
      </c>
      <c r="D355" s="324" t="s">
        <v>105</v>
      </c>
      <c r="E355" s="327">
        <v>30000000</v>
      </c>
      <c r="F355" s="327">
        <v>0</v>
      </c>
      <c r="G355" s="327">
        <v>30000000</v>
      </c>
      <c r="H355" s="327">
        <v>0</v>
      </c>
      <c r="I355" s="355">
        <v>4.7</v>
      </c>
      <c r="J355" s="356" t="s">
        <v>1769</v>
      </c>
      <c r="K355" s="393"/>
      <c r="N355" s="440"/>
      <c r="O355" s="440"/>
      <c r="P355" s="441"/>
    </row>
    <row r="356" spans="1:16" ht="14.25" customHeight="1">
      <c r="A356" s="328"/>
      <c r="B356" s="324" t="s">
        <v>546</v>
      </c>
      <c r="C356" s="325" t="s">
        <v>266</v>
      </c>
      <c r="D356" s="324" t="s">
        <v>547</v>
      </c>
      <c r="E356" s="327">
        <v>580000000</v>
      </c>
      <c r="F356" s="327">
        <v>0</v>
      </c>
      <c r="G356" s="327">
        <v>580000000</v>
      </c>
      <c r="H356" s="327">
        <v>0</v>
      </c>
      <c r="I356" s="355">
        <v>3</v>
      </c>
      <c r="J356" s="356" t="s">
        <v>247</v>
      </c>
      <c r="K356" s="393"/>
      <c r="N356" s="440"/>
      <c r="O356" s="440"/>
      <c r="P356" s="441"/>
    </row>
    <row r="357" spans="1:16" ht="14.25" customHeight="1">
      <c r="A357" s="328"/>
      <c r="B357" s="324" t="s">
        <v>35</v>
      </c>
      <c r="C357" s="325" t="s">
        <v>185</v>
      </c>
      <c r="D357" s="324" t="s">
        <v>38</v>
      </c>
      <c r="E357" s="327">
        <v>35000000</v>
      </c>
      <c r="F357" s="327">
        <v>1836975</v>
      </c>
      <c r="G357" s="327">
        <v>30148345</v>
      </c>
      <c r="H357" s="327">
        <v>4851655</v>
      </c>
      <c r="I357" s="355">
        <v>3.15</v>
      </c>
      <c r="J357" s="356" t="s">
        <v>1743</v>
      </c>
      <c r="K357" s="393"/>
      <c r="N357" s="329"/>
      <c r="O357" s="329"/>
      <c r="P357" s="441"/>
    </row>
    <row r="358" spans="1:16" ht="14.25" customHeight="1">
      <c r="A358" s="328"/>
      <c r="B358" s="324">
        <v>7</v>
      </c>
      <c r="C358" s="325" t="s">
        <v>189</v>
      </c>
      <c r="D358" s="324" t="s">
        <v>39</v>
      </c>
      <c r="E358" s="327">
        <v>194000000</v>
      </c>
      <c r="F358" s="327">
        <v>11333422</v>
      </c>
      <c r="G358" s="327">
        <v>182301007</v>
      </c>
      <c r="H358" s="327">
        <v>11698993</v>
      </c>
      <c r="I358" s="355">
        <v>3.2</v>
      </c>
      <c r="J358" s="356" t="s">
        <v>1745</v>
      </c>
      <c r="K358" s="393"/>
      <c r="N358" s="344"/>
      <c r="O358" s="344"/>
      <c r="P358" s="441"/>
    </row>
    <row r="359" spans="1:16" ht="14.25" customHeight="1">
      <c r="A359" s="328"/>
      <c r="B359" s="324">
        <v>7</v>
      </c>
      <c r="C359" s="325" t="s">
        <v>185</v>
      </c>
      <c r="D359" s="324" t="s">
        <v>40</v>
      </c>
      <c r="E359" s="327">
        <v>129000000</v>
      </c>
      <c r="F359" s="327">
        <v>6450811</v>
      </c>
      <c r="G359" s="327">
        <v>104901759</v>
      </c>
      <c r="H359" s="327">
        <v>24098241</v>
      </c>
      <c r="I359" s="355">
        <v>2.9</v>
      </c>
      <c r="J359" s="404" t="s">
        <v>1742</v>
      </c>
      <c r="K359" s="405"/>
      <c r="N359" s="344"/>
      <c r="O359" s="344"/>
      <c r="P359" s="441"/>
    </row>
    <row r="360" spans="1:16" ht="14.25" customHeight="1">
      <c r="A360" s="328"/>
      <c r="B360" s="324">
        <v>8</v>
      </c>
      <c r="C360" s="325" t="s">
        <v>189</v>
      </c>
      <c r="D360" s="324" t="s">
        <v>111</v>
      </c>
      <c r="E360" s="327">
        <v>227000000</v>
      </c>
      <c r="F360" s="327">
        <v>12510761</v>
      </c>
      <c r="G360" s="327">
        <v>200890878</v>
      </c>
      <c r="H360" s="327">
        <v>26109122</v>
      </c>
      <c r="I360" s="355">
        <v>2.85</v>
      </c>
      <c r="J360" s="404" t="s">
        <v>1744</v>
      </c>
      <c r="K360" s="405"/>
      <c r="N360" s="344"/>
      <c r="O360" s="344"/>
      <c r="P360" s="441"/>
    </row>
    <row r="361" spans="1:16" ht="14.25" customHeight="1">
      <c r="A361" s="328"/>
      <c r="B361" s="324">
        <v>8</v>
      </c>
      <c r="C361" s="325" t="s">
        <v>185</v>
      </c>
      <c r="D361" s="324" t="s">
        <v>41</v>
      </c>
      <c r="E361" s="327">
        <v>278000000</v>
      </c>
      <c r="F361" s="327">
        <v>13185072</v>
      </c>
      <c r="G361" s="327">
        <v>214440177</v>
      </c>
      <c r="H361" s="327">
        <v>63559823</v>
      </c>
      <c r="I361" s="355">
        <v>2.5</v>
      </c>
      <c r="J361" s="404" t="s">
        <v>1741</v>
      </c>
      <c r="K361" s="405"/>
      <c r="N361" s="344"/>
      <c r="O361" s="344"/>
      <c r="P361" s="441"/>
    </row>
    <row r="362" spans="1:16" ht="14.25" customHeight="1">
      <c r="A362" s="328"/>
      <c r="B362" s="324">
        <v>9</v>
      </c>
      <c r="C362" s="325" t="s">
        <v>189</v>
      </c>
      <c r="D362" s="324" t="s">
        <v>42</v>
      </c>
      <c r="E362" s="327">
        <v>375000000</v>
      </c>
      <c r="F362" s="327">
        <v>19153259</v>
      </c>
      <c r="G362" s="327">
        <v>315020182</v>
      </c>
      <c r="H362" s="327">
        <v>59979818</v>
      </c>
      <c r="I362" s="355">
        <v>2.15</v>
      </c>
      <c r="J362" s="404" t="s">
        <v>1743</v>
      </c>
      <c r="K362" s="405"/>
      <c r="N362" s="344"/>
      <c r="O362" s="344"/>
      <c r="P362" s="441"/>
    </row>
    <row r="363" spans="1:16" ht="14.25" customHeight="1">
      <c r="A363" s="328"/>
      <c r="B363" s="324">
        <v>9</v>
      </c>
      <c r="C363" s="325" t="s">
        <v>185</v>
      </c>
      <c r="D363" s="324" t="s">
        <v>44</v>
      </c>
      <c r="E363" s="327">
        <v>563000000</v>
      </c>
      <c r="F363" s="327">
        <v>25641368</v>
      </c>
      <c r="G363" s="327">
        <v>411490537</v>
      </c>
      <c r="H363" s="327">
        <v>151509463</v>
      </c>
      <c r="I363" s="355">
        <v>2.2000000000000002</v>
      </c>
      <c r="J363" s="404" t="s">
        <v>1740</v>
      </c>
      <c r="K363" s="405"/>
      <c r="N363" s="344"/>
      <c r="O363" s="344"/>
      <c r="P363" s="441"/>
    </row>
    <row r="364" spans="1:16" ht="14.25" customHeight="1">
      <c r="A364" s="328"/>
      <c r="B364" s="324">
        <v>10</v>
      </c>
      <c r="C364" s="325" t="s">
        <v>189</v>
      </c>
      <c r="D364" s="324" t="s">
        <v>45</v>
      </c>
      <c r="E364" s="327">
        <v>212000000</v>
      </c>
      <c r="F364" s="327">
        <v>10567075</v>
      </c>
      <c r="G364" s="327">
        <v>167453374</v>
      </c>
      <c r="H364" s="327">
        <v>44546626</v>
      </c>
      <c r="I364" s="355">
        <v>2.1</v>
      </c>
      <c r="J364" s="404" t="s">
        <v>1742</v>
      </c>
      <c r="K364" s="405"/>
      <c r="N364" s="344"/>
      <c r="O364" s="344"/>
      <c r="P364" s="441"/>
    </row>
    <row r="365" spans="1:16" ht="14.25" customHeight="1">
      <c r="A365" s="328"/>
      <c r="B365" s="324">
        <v>10</v>
      </c>
      <c r="C365" s="325" t="s">
        <v>185</v>
      </c>
      <c r="D365" s="324" t="s">
        <v>46</v>
      </c>
      <c r="E365" s="327">
        <v>496000000</v>
      </c>
      <c r="F365" s="327">
        <v>22236213</v>
      </c>
      <c r="G365" s="327">
        <v>352370829</v>
      </c>
      <c r="H365" s="327">
        <v>143629171</v>
      </c>
      <c r="I365" s="355">
        <v>2.1</v>
      </c>
      <c r="J365" s="404" t="s">
        <v>1740</v>
      </c>
      <c r="K365" s="405"/>
      <c r="N365" s="344"/>
      <c r="O365" s="344"/>
      <c r="P365" s="441"/>
    </row>
    <row r="366" spans="1:16" ht="14.25" customHeight="1">
      <c r="A366" s="323"/>
      <c r="B366" s="324">
        <v>11</v>
      </c>
      <c r="C366" s="325" t="s">
        <v>189</v>
      </c>
      <c r="D366" s="324" t="s">
        <v>47</v>
      </c>
      <c r="E366" s="327">
        <v>448000000</v>
      </c>
      <c r="F366" s="327">
        <v>21758519</v>
      </c>
      <c r="G366" s="327">
        <v>332468724</v>
      </c>
      <c r="H366" s="327">
        <v>115531276</v>
      </c>
      <c r="I366" s="355">
        <v>2</v>
      </c>
      <c r="J366" s="404" t="s">
        <v>1741</v>
      </c>
      <c r="K366" s="405"/>
      <c r="N366" s="349"/>
      <c r="O366" s="349"/>
      <c r="P366" s="441"/>
    </row>
    <row r="367" spans="1:16" ht="14.25" customHeight="1">
      <c r="A367" s="323"/>
      <c r="B367" s="324">
        <v>11</v>
      </c>
      <c r="C367" s="325" t="s">
        <v>185</v>
      </c>
      <c r="D367" s="324" t="s">
        <v>49</v>
      </c>
      <c r="E367" s="327">
        <v>593000000</v>
      </c>
      <c r="F367" s="327">
        <v>25933774</v>
      </c>
      <c r="G367" s="327">
        <v>396266334</v>
      </c>
      <c r="H367" s="327">
        <v>196733666</v>
      </c>
      <c r="I367" s="355">
        <v>2</v>
      </c>
      <c r="J367" s="404" t="s">
        <v>1739</v>
      </c>
      <c r="K367" s="405"/>
      <c r="N367" s="344"/>
      <c r="O367" s="344"/>
      <c r="P367" s="441"/>
    </row>
    <row r="368" spans="1:16" ht="14.25" customHeight="1">
      <c r="A368" s="323"/>
      <c r="B368" s="324">
        <v>12</v>
      </c>
      <c r="C368" s="325" t="s">
        <v>189</v>
      </c>
      <c r="D368" s="324" t="s">
        <v>297</v>
      </c>
      <c r="E368" s="327">
        <v>1584000000</v>
      </c>
      <c r="F368" s="327">
        <v>74324639</v>
      </c>
      <c r="G368" s="327">
        <v>1111466420</v>
      </c>
      <c r="H368" s="327">
        <v>472533580</v>
      </c>
      <c r="I368" s="355">
        <v>1.65</v>
      </c>
      <c r="J368" s="404" t="s">
        <v>1740</v>
      </c>
      <c r="K368" s="405"/>
      <c r="N368" s="344"/>
      <c r="O368" s="344"/>
      <c r="P368" s="441"/>
    </row>
    <row r="369" spans="1:16" ht="14.25" customHeight="1">
      <c r="A369" s="323"/>
      <c r="B369" s="324">
        <v>13</v>
      </c>
      <c r="C369" s="325" t="s">
        <v>189</v>
      </c>
      <c r="D369" s="324" t="s">
        <v>51</v>
      </c>
      <c r="E369" s="327">
        <v>579000000</v>
      </c>
      <c r="F369" s="327">
        <v>27189148</v>
      </c>
      <c r="G369" s="327">
        <v>371069298</v>
      </c>
      <c r="H369" s="327">
        <v>207930702</v>
      </c>
      <c r="I369" s="355">
        <v>2.2000000000000002</v>
      </c>
      <c r="J369" s="404" t="s">
        <v>1739</v>
      </c>
      <c r="K369" s="405"/>
      <c r="N369" s="344"/>
      <c r="O369" s="344"/>
      <c r="P369" s="441"/>
    </row>
    <row r="370" spans="1:16" ht="14.25" customHeight="1">
      <c r="A370" s="323"/>
      <c r="B370" s="324">
        <v>14</v>
      </c>
      <c r="C370" s="325" t="s">
        <v>189</v>
      </c>
      <c r="D370" s="324" t="s">
        <v>53</v>
      </c>
      <c r="E370" s="327">
        <v>1009000000</v>
      </c>
      <c r="F370" s="327">
        <v>45440481</v>
      </c>
      <c r="G370" s="327">
        <v>623478753</v>
      </c>
      <c r="H370" s="327">
        <v>385521247</v>
      </c>
      <c r="I370" s="355">
        <v>1.3</v>
      </c>
      <c r="J370" s="404" t="s">
        <v>1738</v>
      </c>
      <c r="K370" s="405"/>
      <c r="N370" s="350"/>
      <c r="O370" s="350"/>
      <c r="P370" s="441"/>
    </row>
    <row r="371" spans="1:16" ht="14.25" customHeight="1">
      <c r="A371" s="323"/>
      <c r="B371" s="324">
        <v>15</v>
      </c>
      <c r="C371" s="325" t="s">
        <v>189</v>
      </c>
      <c r="D371" s="324" t="s">
        <v>55</v>
      </c>
      <c r="E371" s="327">
        <v>870000000</v>
      </c>
      <c r="F371" s="327">
        <v>38976730</v>
      </c>
      <c r="G371" s="327">
        <v>483963205</v>
      </c>
      <c r="H371" s="327">
        <v>386036795</v>
      </c>
      <c r="I371" s="355">
        <v>1.9</v>
      </c>
      <c r="J371" s="404" t="s">
        <v>1737</v>
      </c>
      <c r="K371" s="405"/>
      <c r="N371" s="344"/>
      <c r="O371" s="344"/>
      <c r="P371" s="441"/>
    </row>
    <row r="372" spans="1:16" ht="14.25" customHeight="1">
      <c r="A372" s="323"/>
      <c r="B372" s="324">
        <v>16</v>
      </c>
      <c r="C372" s="325" t="s">
        <v>189</v>
      </c>
      <c r="D372" s="324" t="s">
        <v>57</v>
      </c>
      <c r="E372" s="327">
        <v>693000000</v>
      </c>
      <c r="F372" s="327">
        <v>30473078</v>
      </c>
      <c r="G372" s="327">
        <v>350549845</v>
      </c>
      <c r="H372" s="327">
        <v>342450155</v>
      </c>
      <c r="I372" s="355">
        <v>2.1</v>
      </c>
      <c r="J372" s="404" t="s">
        <v>1736</v>
      </c>
      <c r="K372" s="405"/>
      <c r="N372" s="344"/>
      <c r="O372" s="344"/>
      <c r="P372" s="441"/>
    </row>
    <row r="373" spans="1:16" ht="14.25" customHeight="1">
      <c r="A373" s="328"/>
      <c r="B373" s="326">
        <v>17</v>
      </c>
      <c r="C373" s="325" t="s">
        <v>189</v>
      </c>
      <c r="D373" s="324" t="s">
        <v>59</v>
      </c>
      <c r="E373" s="327">
        <v>362000000</v>
      </c>
      <c r="F373" s="327">
        <v>0</v>
      </c>
      <c r="G373" s="327">
        <v>362000000</v>
      </c>
      <c r="H373" s="327">
        <v>0</v>
      </c>
      <c r="I373" s="355">
        <v>2.0499999999999998</v>
      </c>
      <c r="J373" s="356" t="s">
        <v>60</v>
      </c>
      <c r="K373" s="393"/>
      <c r="N373" s="440"/>
      <c r="O373" s="440"/>
      <c r="P373" s="441"/>
    </row>
    <row r="374" spans="1:16" ht="14.25" customHeight="1">
      <c r="A374" s="328"/>
      <c r="B374" s="326">
        <v>17</v>
      </c>
      <c r="C374" s="325" t="s">
        <v>189</v>
      </c>
      <c r="D374" s="324" t="s">
        <v>59</v>
      </c>
      <c r="E374" s="327">
        <v>977000000</v>
      </c>
      <c r="F374" s="327">
        <v>0</v>
      </c>
      <c r="G374" s="327">
        <v>977000000</v>
      </c>
      <c r="H374" s="327">
        <v>0</v>
      </c>
      <c r="I374" s="355">
        <v>2.0499999999999998</v>
      </c>
      <c r="J374" s="356" t="s">
        <v>61</v>
      </c>
      <c r="K374" s="393"/>
      <c r="N374" s="440"/>
      <c r="O374" s="440"/>
      <c r="P374" s="441"/>
    </row>
    <row r="375" spans="1:16" ht="14.25" customHeight="1">
      <c r="A375" s="328"/>
      <c r="B375" s="326">
        <v>17</v>
      </c>
      <c r="C375" s="325" t="s">
        <v>189</v>
      </c>
      <c r="D375" s="324" t="s">
        <v>62</v>
      </c>
      <c r="E375" s="327">
        <v>1135000000</v>
      </c>
      <c r="F375" s="327">
        <v>48920479</v>
      </c>
      <c r="G375" s="327">
        <v>527425544</v>
      </c>
      <c r="H375" s="327">
        <v>607574456</v>
      </c>
      <c r="I375" s="355">
        <v>2</v>
      </c>
      <c r="J375" s="356" t="s">
        <v>1735</v>
      </c>
      <c r="K375" s="393"/>
      <c r="L375" s="444"/>
      <c r="N375" s="344"/>
      <c r="O375" s="344"/>
      <c r="P375" s="441"/>
    </row>
    <row r="376" spans="1:16" ht="14.25" customHeight="1">
      <c r="A376" s="328"/>
      <c r="B376" s="326">
        <v>18</v>
      </c>
      <c r="C376" s="325" t="s">
        <v>189</v>
      </c>
      <c r="D376" s="326" t="s">
        <v>64</v>
      </c>
      <c r="E376" s="327">
        <v>392300000</v>
      </c>
      <c r="F376" s="327">
        <v>0</v>
      </c>
      <c r="G376" s="327">
        <v>392300000</v>
      </c>
      <c r="H376" s="327">
        <v>0</v>
      </c>
      <c r="I376" s="355">
        <v>2.5499999999999998</v>
      </c>
      <c r="J376" s="356" t="s">
        <v>65</v>
      </c>
      <c r="K376" s="393"/>
      <c r="N376" s="440"/>
      <c r="O376" s="440"/>
      <c r="P376" s="441"/>
    </row>
    <row r="377" spans="1:16" ht="14.25" customHeight="1">
      <c r="A377" s="328"/>
      <c r="B377" s="326">
        <v>18</v>
      </c>
      <c r="C377" s="325" t="s">
        <v>189</v>
      </c>
      <c r="D377" s="326" t="s">
        <v>64</v>
      </c>
      <c r="E377" s="327">
        <v>1195300000</v>
      </c>
      <c r="F377" s="327">
        <v>0</v>
      </c>
      <c r="G377" s="327">
        <v>1195300000</v>
      </c>
      <c r="H377" s="327">
        <v>0</v>
      </c>
      <c r="I377" s="355">
        <v>2.5499999999999998</v>
      </c>
      <c r="J377" s="356" t="s">
        <v>66</v>
      </c>
      <c r="K377" s="393"/>
      <c r="N377" s="440"/>
      <c r="O377" s="440"/>
      <c r="P377" s="441"/>
    </row>
    <row r="378" spans="1:16" ht="14.25" customHeight="1">
      <c r="A378" s="328"/>
      <c r="B378" s="326">
        <v>18</v>
      </c>
      <c r="C378" s="325" t="s">
        <v>189</v>
      </c>
      <c r="D378" s="326" t="s">
        <v>347</v>
      </c>
      <c r="E378" s="327">
        <v>1109000000</v>
      </c>
      <c r="F378" s="327">
        <v>46770217</v>
      </c>
      <c r="G378" s="327">
        <v>464457655</v>
      </c>
      <c r="H378" s="327">
        <v>644542345</v>
      </c>
      <c r="I378" s="355">
        <v>2.1</v>
      </c>
      <c r="J378" s="356" t="s">
        <v>1734</v>
      </c>
      <c r="K378" s="393"/>
      <c r="P378" s="441"/>
    </row>
    <row r="379" spans="1:16" ht="14.25" customHeight="1">
      <c r="A379" s="328"/>
      <c r="B379" s="326">
        <v>19</v>
      </c>
      <c r="C379" s="325" t="s">
        <v>495</v>
      </c>
      <c r="D379" s="326" t="s">
        <v>67</v>
      </c>
      <c r="E379" s="327">
        <v>417100000</v>
      </c>
      <c r="F379" s="327">
        <v>0</v>
      </c>
      <c r="G379" s="327">
        <v>417100000</v>
      </c>
      <c r="H379" s="327">
        <v>0</v>
      </c>
      <c r="I379" s="355">
        <v>2.4</v>
      </c>
      <c r="J379" s="356" t="s">
        <v>65</v>
      </c>
      <c r="K379" s="393"/>
      <c r="N379" s="440"/>
      <c r="O379" s="440"/>
      <c r="P379" s="441"/>
    </row>
    <row r="380" spans="1:16" ht="14.25" customHeight="1">
      <c r="A380" s="328"/>
      <c r="B380" s="326">
        <v>19</v>
      </c>
      <c r="C380" s="325" t="s">
        <v>495</v>
      </c>
      <c r="D380" s="326" t="s">
        <v>67</v>
      </c>
      <c r="E380" s="327">
        <v>213300000</v>
      </c>
      <c r="F380" s="327">
        <v>0</v>
      </c>
      <c r="G380" s="327">
        <v>213300000</v>
      </c>
      <c r="H380" s="327">
        <v>0</v>
      </c>
      <c r="I380" s="355">
        <v>2.4</v>
      </c>
      <c r="J380" s="356" t="s">
        <v>69</v>
      </c>
      <c r="K380" s="393"/>
      <c r="N380" s="440"/>
      <c r="O380" s="440"/>
      <c r="P380" s="441"/>
    </row>
    <row r="381" spans="1:16" ht="14.25" customHeight="1">
      <c r="A381" s="328"/>
      <c r="B381" s="326">
        <v>19</v>
      </c>
      <c r="C381" s="325" t="s">
        <v>495</v>
      </c>
      <c r="D381" s="326" t="s">
        <v>632</v>
      </c>
      <c r="E381" s="327">
        <v>1129000000</v>
      </c>
      <c r="F381" s="327">
        <v>46696405</v>
      </c>
      <c r="G381" s="327">
        <v>426745231</v>
      </c>
      <c r="H381" s="327">
        <v>702254769</v>
      </c>
      <c r="I381" s="355">
        <v>2.0499999999999998</v>
      </c>
      <c r="J381" s="356" t="s">
        <v>1733</v>
      </c>
      <c r="K381" s="393"/>
      <c r="N381" s="351"/>
      <c r="O381" s="351"/>
      <c r="P381" s="441"/>
    </row>
    <row r="382" spans="1:16" ht="14.25" customHeight="1">
      <c r="A382" s="328"/>
      <c r="B382" s="326">
        <v>20</v>
      </c>
      <c r="C382" s="352" t="s">
        <v>695</v>
      </c>
      <c r="D382" s="326" t="s">
        <v>624</v>
      </c>
      <c r="E382" s="327">
        <v>1276000000</v>
      </c>
      <c r="F382" s="327">
        <v>52008412</v>
      </c>
      <c r="G382" s="327">
        <v>434493289</v>
      </c>
      <c r="H382" s="327">
        <v>841506711</v>
      </c>
      <c r="I382" s="355">
        <v>1.9</v>
      </c>
      <c r="J382" s="356" t="s">
        <v>1732</v>
      </c>
      <c r="K382" s="393"/>
      <c r="N382" s="353"/>
      <c r="O382" s="353"/>
      <c r="P382" s="441"/>
    </row>
    <row r="383" spans="1:16" ht="14.25" customHeight="1">
      <c r="A383" s="354"/>
      <c r="B383" s="326">
        <v>21</v>
      </c>
      <c r="C383" s="325" t="s">
        <v>345</v>
      </c>
      <c r="D383" s="326" t="s">
        <v>808</v>
      </c>
      <c r="E383" s="327">
        <v>1020000000</v>
      </c>
      <c r="F383" s="327">
        <v>36339615</v>
      </c>
      <c r="G383" s="327">
        <v>270528790</v>
      </c>
      <c r="H383" s="327">
        <v>749471210</v>
      </c>
      <c r="I383" s="355">
        <v>2.1</v>
      </c>
      <c r="J383" s="356" t="s">
        <v>1729</v>
      </c>
      <c r="K383" s="393"/>
      <c r="N383" s="353"/>
      <c r="O383" s="353"/>
      <c r="P383" s="441"/>
    </row>
    <row r="384" spans="1:16" ht="14.25" customHeight="1">
      <c r="A384" s="328"/>
      <c r="B384" s="326">
        <v>22</v>
      </c>
      <c r="C384" s="325" t="s">
        <v>345</v>
      </c>
      <c r="D384" s="326" t="s">
        <v>887</v>
      </c>
      <c r="E384" s="327">
        <v>751000000</v>
      </c>
      <c r="F384" s="327">
        <v>26570129</v>
      </c>
      <c r="G384" s="327">
        <v>175858887</v>
      </c>
      <c r="H384" s="327">
        <v>575141113</v>
      </c>
      <c r="I384" s="355">
        <v>1.9</v>
      </c>
      <c r="J384" s="356" t="s">
        <v>1728</v>
      </c>
      <c r="K384" s="393"/>
      <c r="N384" s="353"/>
      <c r="O384" s="353"/>
      <c r="P384" s="441"/>
    </row>
    <row r="385" spans="1:18" ht="14.25" customHeight="1">
      <c r="A385" s="328"/>
      <c r="B385" s="326">
        <v>28</v>
      </c>
      <c r="C385" s="325" t="s">
        <v>345</v>
      </c>
      <c r="D385" s="326" t="s">
        <v>1760</v>
      </c>
      <c r="E385" s="327">
        <v>6000000000</v>
      </c>
      <c r="F385" s="327">
        <v>223143192</v>
      </c>
      <c r="G385" s="327">
        <v>223143192</v>
      </c>
      <c r="H385" s="327">
        <v>5776856808</v>
      </c>
      <c r="I385" s="355">
        <v>0.6</v>
      </c>
      <c r="J385" s="356" t="s">
        <v>1725</v>
      </c>
      <c r="K385" s="393"/>
      <c r="N385" s="440"/>
      <c r="O385" s="440"/>
      <c r="P385" s="441"/>
    </row>
    <row r="386" spans="1:18" ht="14.25" customHeight="1">
      <c r="A386" s="328"/>
      <c r="B386" s="326">
        <v>29</v>
      </c>
      <c r="C386" s="325" t="s">
        <v>345</v>
      </c>
      <c r="D386" s="326" t="s">
        <v>1719</v>
      </c>
      <c r="E386" s="327">
        <v>4200000000</v>
      </c>
      <c r="F386" s="327">
        <v>0</v>
      </c>
      <c r="G386" s="327">
        <v>0</v>
      </c>
      <c r="H386" s="327">
        <v>4200000000</v>
      </c>
      <c r="I386" s="355">
        <v>0.6</v>
      </c>
      <c r="J386" s="356" t="s">
        <v>1724</v>
      </c>
      <c r="K386" s="393"/>
      <c r="N386" s="440"/>
      <c r="O386" s="440"/>
      <c r="P386" s="441"/>
    </row>
    <row r="387" spans="1:18" ht="14.25" customHeight="1">
      <c r="A387" s="328"/>
      <c r="B387" s="326">
        <v>30</v>
      </c>
      <c r="C387" s="325" t="s">
        <v>345</v>
      </c>
      <c r="D387" s="326" t="s">
        <v>1720</v>
      </c>
      <c r="E387" s="327">
        <v>4000000000</v>
      </c>
      <c r="F387" s="327">
        <v>0</v>
      </c>
      <c r="G387" s="327">
        <v>0</v>
      </c>
      <c r="H387" s="327">
        <v>4000000000</v>
      </c>
      <c r="I387" s="355">
        <v>0.5</v>
      </c>
      <c r="J387" s="356" t="s">
        <v>1723</v>
      </c>
      <c r="K387" s="393"/>
      <c r="N387" s="440"/>
      <c r="O387" s="440"/>
      <c r="P387" s="441"/>
    </row>
    <row r="388" spans="1:18" ht="14.25" customHeight="1">
      <c r="A388" s="328"/>
      <c r="B388" s="326" t="s">
        <v>1749</v>
      </c>
      <c r="C388" s="325" t="s">
        <v>345</v>
      </c>
      <c r="D388" s="326" t="s">
        <v>1750</v>
      </c>
      <c r="E388" s="327">
        <v>5400000000</v>
      </c>
      <c r="F388" s="327">
        <v>0</v>
      </c>
      <c r="G388" s="327">
        <v>0</v>
      </c>
      <c r="H388" s="327">
        <v>5400000000</v>
      </c>
      <c r="I388" s="355">
        <v>0.3</v>
      </c>
      <c r="J388" s="356" t="s">
        <v>1751</v>
      </c>
      <c r="K388" s="393"/>
    </row>
    <row r="389" spans="1:18" ht="14.25" customHeight="1">
      <c r="A389" s="328"/>
      <c r="B389" s="326">
        <v>2</v>
      </c>
      <c r="C389" s="325" t="s">
        <v>345</v>
      </c>
      <c r="D389" s="326" t="s">
        <v>1757</v>
      </c>
      <c r="E389" s="327">
        <v>7000000000</v>
      </c>
      <c r="F389" s="327">
        <v>0</v>
      </c>
      <c r="G389" s="327">
        <v>0</v>
      </c>
      <c r="H389" s="327">
        <v>7000000000</v>
      </c>
      <c r="I389" s="355">
        <v>0.5</v>
      </c>
      <c r="J389" s="356" t="s">
        <v>1758</v>
      </c>
      <c r="K389" s="393"/>
    </row>
    <row r="390" spans="1:18" ht="14.25" customHeight="1">
      <c r="A390" s="328"/>
      <c r="B390" s="326">
        <v>3</v>
      </c>
      <c r="C390" s="325" t="s">
        <v>1761</v>
      </c>
      <c r="D390" s="326" t="s">
        <v>1762</v>
      </c>
      <c r="E390" s="327">
        <v>2000000000</v>
      </c>
      <c r="F390" s="327">
        <v>0</v>
      </c>
      <c r="G390" s="327">
        <v>0</v>
      </c>
      <c r="H390" s="327">
        <v>2000000000</v>
      </c>
      <c r="I390" s="355">
        <v>0.57999999999999996</v>
      </c>
      <c r="J390" s="356" t="s">
        <v>1763</v>
      </c>
      <c r="K390" s="393"/>
    </row>
    <row r="391" spans="1:18" ht="14.25" customHeight="1">
      <c r="A391" s="328"/>
      <c r="B391" s="326">
        <v>3</v>
      </c>
      <c r="C391" s="325" t="s">
        <v>345</v>
      </c>
      <c r="D391" s="326" t="s">
        <v>1770</v>
      </c>
      <c r="E391" s="327">
        <v>11000000000</v>
      </c>
      <c r="F391" s="327">
        <v>0</v>
      </c>
      <c r="G391" s="327">
        <v>0</v>
      </c>
      <c r="H391" s="327">
        <v>11000000000</v>
      </c>
      <c r="I391" s="355">
        <v>0.9</v>
      </c>
      <c r="J391" s="356" t="s">
        <v>1771</v>
      </c>
      <c r="K391" s="393"/>
    </row>
    <row r="392" spans="1:18" ht="14.25" customHeight="1">
      <c r="A392" s="328"/>
      <c r="B392" s="326">
        <v>4</v>
      </c>
      <c r="C392" s="325" t="s">
        <v>345</v>
      </c>
      <c r="D392" s="326" t="s">
        <v>1772</v>
      </c>
      <c r="E392" s="327">
        <v>3000000000</v>
      </c>
      <c r="F392" s="327">
        <v>0</v>
      </c>
      <c r="G392" s="327">
        <v>0</v>
      </c>
      <c r="H392" s="327">
        <v>3000000000</v>
      </c>
      <c r="I392" s="355">
        <v>1.3</v>
      </c>
      <c r="J392" s="356" t="s">
        <v>1771</v>
      </c>
      <c r="K392" s="393"/>
    </row>
    <row r="393" spans="1:18" ht="17.25" customHeight="1">
      <c r="A393" s="357" t="s">
        <v>376</v>
      </c>
      <c r="B393" s="358" t="s">
        <v>173</v>
      </c>
      <c r="C393" s="359" t="s">
        <v>173</v>
      </c>
      <c r="D393" s="360"/>
      <c r="E393" s="361">
        <v>111839000000</v>
      </c>
      <c r="F393" s="361">
        <v>905720525</v>
      </c>
      <c r="G393" s="361">
        <v>62692847814</v>
      </c>
      <c r="H393" s="361">
        <v>49146152186</v>
      </c>
      <c r="I393" s="412"/>
      <c r="J393" s="413" t="s">
        <v>173</v>
      </c>
      <c r="K393" s="393"/>
    </row>
    <row r="394" spans="1:18" ht="14.25" customHeight="1">
      <c r="A394" s="323" t="s">
        <v>298</v>
      </c>
      <c r="B394" s="324" t="s">
        <v>70</v>
      </c>
      <c r="C394" s="325" t="s">
        <v>180</v>
      </c>
      <c r="D394" s="324" t="s">
        <v>71</v>
      </c>
      <c r="E394" s="327">
        <v>299000000</v>
      </c>
      <c r="F394" s="327">
        <v>0</v>
      </c>
      <c r="G394" s="327">
        <v>299000000</v>
      </c>
      <c r="H394" s="327">
        <v>0</v>
      </c>
      <c r="I394" s="402">
        <v>8</v>
      </c>
      <c r="J394" s="403" t="s">
        <v>1768</v>
      </c>
      <c r="K394" s="393"/>
      <c r="L394" s="445"/>
    </row>
    <row r="395" spans="1:18" ht="14.25" customHeight="1">
      <c r="A395" s="328" t="s">
        <v>182</v>
      </c>
      <c r="B395" s="326">
        <v>54</v>
      </c>
      <c r="C395" s="332" t="s">
        <v>180</v>
      </c>
      <c r="D395" s="324" t="s">
        <v>72</v>
      </c>
      <c r="E395" s="327">
        <v>535000000</v>
      </c>
      <c r="F395" s="327">
        <v>0</v>
      </c>
      <c r="G395" s="327">
        <v>535000000</v>
      </c>
      <c r="H395" s="327">
        <v>0</v>
      </c>
      <c r="I395" s="355">
        <v>8.1</v>
      </c>
      <c r="J395" s="356" t="s">
        <v>223</v>
      </c>
      <c r="K395" s="393"/>
    </row>
    <row r="396" spans="1:18" ht="14.25" customHeight="1">
      <c r="A396" s="328"/>
      <c r="B396" s="326">
        <v>55</v>
      </c>
      <c r="C396" s="332" t="s">
        <v>180</v>
      </c>
      <c r="D396" s="324" t="s">
        <v>73</v>
      </c>
      <c r="E396" s="327">
        <v>640000000</v>
      </c>
      <c r="F396" s="327">
        <v>0</v>
      </c>
      <c r="G396" s="327">
        <v>640000000</v>
      </c>
      <c r="H396" s="327">
        <v>0</v>
      </c>
      <c r="I396" s="355">
        <v>7.8</v>
      </c>
      <c r="J396" s="356" t="s">
        <v>227</v>
      </c>
      <c r="K396" s="393"/>
    </row>
    <row r="397" spans="1:18" ht="17.25" customHeight="1">
      <c r="A397" s="357" t="s">
        <v>376</v>
      </c>
      <c r="B397" s="358" t="s">
        <v>173</v>
      </c>
      <c r="C397" s="359" t="s">
        <v>173</v>
      </c>
      <c r="D397" s="360" t="s">
        <v>173</v>
      </c>
      <c r="E397" s="361">
        <v>1474000000</v>
      </c>
      <c r="F397" s="361">
        <v>0</v>
      </c>
      <c r="G397" s="361">
        <v>1474000000</v>
      </c>
      <c r="H397" s="361">
        <v>0</v>
      </c>
      <c r="I397" s="412"/>
      <c r="J397" s="413" t="s">
        <v>173</v>
      </c>
      <c r="K397" s="393"/>
    </row>
    <row r="398" spans="1:18" ht="14.25" customHeight="1">
      <c r="A398" s="319" t="s">
        <v>299</v>
      </c>
      <c r="B398" s="321" t="s">
        <v>74</v>
      </c>
      <c r="C398" s="362" t="s">
        <v>189</v>
      </c>
      <c r="D398" s="321" t="s">
        <v>75</v>
      </c>
      <c r="E398" s="363">
        <v>440000000</v>
      </c>
      <c r="F398" s="327">
        <v>0</v>
      </c>
      <c r="G398" s="327">
        <v>440000000</v>
      </c>
      <c r="H398" s="327">
        <v>0</v>
      </c>
      <c r="I398" s="402">
        <v>4.45</v>
      </c>
      <c r="J398" s="403" t="s">
        <v>1769</v>
      </c>
      <c r="K398" s="393"/>
      <c r="L398" s="446"/>
    </row>
    <row r="399" spans="1:18" ht="14.25" customHeight="1">
      <c r="A399" s="328" t="s">
        <v>182</v>
      </c>
      <c r="B399" s="324">
        <v>4</v>
      </c>
      <c r="C399" s="325" t="s">
        <v>185</v>
      </c>
      <c r="D399" s="324" t="s">
        <v>540</v>
      </c>
      <c r="E399" s="327">
        <v>660000000</v>
      </c>
      <c r="F399" s="327">
        <v>37995082</v>
      </c>
      <c r="G399" s="327">
        <v>620605442</v>
      </c>
      <c r="H399" s="327">
        <v>39394558</v>
      </c>
      <c r="I399" s="355">
        <v>3.65</v>
      </c>
      <c r="J399" s="356" t="s">
        <v>1745</v>
      </c>
      <c r="K399" s="393"/>
      <c r="L399" s="440"/>
      <c r="N399" s="329"/>
      <c r="O399" s="329"/>
      <c r="P399" s="447"/>
      <c r="Q399" s="342"/>
      <c r="R399" s="448"/>
    </row>
    <row r="400" spans="1:18" ht="14.25" customHeight="1">
      <c r="A400" s="328"/>
      <c r="B400" s="324">
        <v>5</v>
      </c>
      <c r="C400" s="325" t="s">
        <v>189</v>
      </c>
      <c r="D400" s="324" t="s">
        <v>540</v>
      </c>
      <c r="E400" s="327">
        <v>650000000</v>
      </c>
      <c r="F400" s="327">
        <v>0</v>
      </c>
      <c r="G400" s="327">
        <v>650000000</v>
      </c>
      <c r="H400" s="327">
        <v>0</v>
      </c>
      <c r="I400" s="355">
        <v>3.7</v>
      </c>
      <c r="J400" s="356" t="s">
        <v>1747</v>
      </c>
      <c r="K400" s="393"/>
      <c r="L400" s="440"/>
      <c r="M400" s="364"/>
      <c r="N400" s="329"/>
      <c r="O400" s="329"/>
      <c r="P400" s="447"/>
      <c r="Q400" s="342"/>
      <c r="R400" s="448"/>
    </row>
    <row r="401" spans="1:18" ht="14.25" customHeight="1">
      <c r="A401" s="328"/>
      <c r="B401" s="324">
        <v>5</v>
      </c>
      <c r="C401" s="325" t="s">
        <v>185</v>
      </c>
      <c r="D401" s="324" t="s">
        <v>32</v>
      </c>
      <c r="E401" s="327">
        <v>650000000</v>
      </c>
      <c r="F401" s="327">
        <v>40219894</v>
      </c>
      <c r="G401" s="327">
        <v>586016673</v>
      </c>
      <c r="H401" s="327">
        <v>63983327</v>
      </c>
      <c r="I401" s="355">
        <v>4.75</v>
      </c>
      <c r="J401" s="404" t="s">
        <v>1744</v>
      </c>
      <c r="K401" s="405"/>
      <c r="L401" s="440"/>
      <c r="M401" s="364"/>
      <c r="N401" s="329"/>
      <c r="O401" s="329"/>
      <c r="P401" s="447"/>
      <c r="Q401" s="342"/>
      <c r="R401" s="448"/>
    </row>
    <row r="402" spans="1:18" ht="14.25" customHeight="1">
      <c r="A402" s="328"/>
      <c r="B402" s="324">
        <v>6</v>
      </c>
      <c r="C402" s="325" t="s">
        <v>266</v>
      </c>
      <c r="D402" s="324" t="s">
        <v>34</v>
      </c>
      <c r="E402" s="327">
        <v>702000000</v>
      </c>
      <c r="F402" s="327">
        <v>0</v>
      </c>
      <c r="G402" s="327">
        <v>702000000</v>
      </c>
      <c r="H402" s="327">
        <v>0</v>
      </c>
      <c r="I402" s="355">
        <v>4.5</v>
      </c>
      <c r="J402" s="356" t="s">
        <v>244</v>
      </c>
      <c r="K402" s="393"/>
      <c r="L402" s="440"/>
      <c r="P402" s="447"/>
      <c r="Q402" s="342"/>
      <c r="R402" s="448"/>
    </row>
    <row r="403" spans="1:18" ht="14.25" customHeight="1">
      <c r="A403" s="323"/>
      <c r="B403" s="324">
        <v>6</v>
      </c>
      <c r="C403" s="325" t="s">
        <v>189</v>
      </c>
      <c r="D403" s="324" t="s">
        <v>105</v>
      </c>
      <c r="E403" s="327">
        <v>1122000000</v>
      </c>
      <c r="F403" s="327">
        <v>0</v>
      </c>
      <c r="G403" s="327">
        <v>1122000000</v>
      </c>
      <c r="H403" s="327">
        <v>0</v>
      </c>
      <c r="I403" s="355">
        <v>4.7</v>
      </c>
      <c r="J403" s="356" t="s">
        <v>1769</v>
      </c>
      <c r="K403" s="393"/>
      <c r="L403" s="440"/>
      <c r="P403" s="447"/>
      <c r="Q403" s="342"/>
      <c r="R403" s="448"/>
    </row>
    <row r="404" spans="1:18" ht="14.25" customHeight="1">
      <c r="A404" s="328"/>
      <c r="B404" s="324">
        <v>6</v>
      </c>
      <c r="C404" s="325" t="s">
        <v>185</v>
      </c>
      <c r="D404" s="324" t="s">
        <v>76</v>
      </c>
      <c r="E404" s="327">
        <v>1482000000</v>
      </c>
      <c r="F404" s="327">
        <v>77782780</v>
      </c>
      <c r="G404" s="327">
        <v>1276567016</v>
      </c>
      <c r="H404" s="327">
        <v>205432984</v>
      </c>
      <c r="I404" s="355">
        <v>3.15</v>
      </c>
      <c r="J404" s="356" t="s">
        <v>1743</v>
      </c>
      <c r="K404" s="393"/>
      <c r="L404" s="440"/>
      <c r="N404" s="344"/>
      <c r="O404" s="344"/>
      <c r="P404" s="447"/>
      <c r="Q404" s="342"/>
      <c r="R404" s="448"/>
    </row>
    <row r="405" spans="1:18" ht="14.25" customHeight="1">
      <c r="A405" s="328"/>
      <c r="B405" s="324">
        <v>7</v>
      </c>
      <c r="C405" s="325" t="s">
        <v>189</v>
      </c>
      <c r="D405" s="324" t="s">
        <v>77</v>
      </c>
      <c r="E405" s="327">
        <v>3595000000</v>
      </c>
      <c r="F405" s="327">
        <v>210018820</v>
      </c>
      <c r="G405" s="327">
        <v>3378206813</v>
      </c>
      <c r="H405" s="327">
        <v>216793187</v>
      </c>
      <c r="I405" s="355">
        <v>3.2</v>
      </c>
      <c r="J405" s="356" t="s">
        <v>1745</v>
      </c>
      <c r="K405" s="393"/>
      <c r="L405" s="440"/>
      <c r="N405" s="344"/>
      <c r="O405" s="344"/>
      <c r="P405" s="447"/>
      <c r="Q405" s="342"/>
      <c r="R405" s="448"/>
    </row>
    <row r="406" spans="1:18" ht="14.25" customHeight="1">
      <c r="A406" s="328"/>
      <c r="B406" s="324">
        <v>7</v>
      </c>
      <c r="C406" s="325" t="s">
        <v>185</v>
      </c>
      <c r="D406" s="324" t="s">
        <v>40</v>
      </c>
      <c r="E406" s="327">
        <v>3195000000</v>
      </c>
      <c r="F406" s="327">
        <v>159770091</v>
      </c>
      <c r="G406" s="327">
        <v>2598148212</v>
      </c>
      <c r="H406" s="327">
        <v>596851788</v>
      </c>
      <c r="I406" s="355">
        <v>2.9</v>
      </c>
      <c r="J406" s="404" t="s">
        <v>1742</v>
      </c>
      <c r="K406" s="405"/>
      <c r="L406" s="440"/>
      <c r="N406" s="344"/>
      <c r="O406" s="344"/>
      <c r="P406" s="447"/>
      <c r="Q406" s="342"/>
      <c r="R406" s="448"/>
    </row>
    <row r="407" spans="1:18" ht="14.25" customHeight="1">
      <c r="A407" s="365"/>
      <c r="B407" s="326">
        <v>8</v>
      </c>
      <c r="C407" s="325" t="s">
        <v>189</v>
      </c>
      <c r="D407" s="326" t="s">
        <v>78</v>
      </c>
      <c r="E407" s="327">
        <v>4848000000</v>
      </c>
      <c r="F407" s="327">
        <v>267190178</v>
      </c>
      <c r="G407" s="327">
        <v>4290391986</v>
      </c>
      <c r="H407" s="327">
        <v>557608014</v>
      </c>
      <c r="I407" s="355">
        <v>2.85</v>
      </c>
      <c r="J407" s="356" t="s">
        <v>1744</v>
      </c>
      <c r="K407" s="393"/>
      <c r="L407" s="440"/>
      <c r="N407" s="344"/>
      <c r="O407" s="344"/>
      <c r="P407" s="447"/>
      <c r="Q407" s="342"/>
      <c r="R407" s="448"/>
    </row>
    <row r="408" spans="1:18" ht="14.25" customHeight="1">
      <c r="A408" s="365"/>
      <c r="B408" s="326">
        <v>8</v>
      </c>
      <c r="C408" s="325" t="s">
        <v>185</v>
      </c>
      <c r="D408" s="324" t="s">
        <v>79</v>
      </c>
      <c r="E408" s="327">
        <v>5118000000</v>
      </c>
      <c r="F408" s="327">
        <v>236749123</v>
      </c>
      <c r="G408" s="327">
        <v>3989237303</v>
      </c>
      <c r="H408" s="327">
        <v>1128762697</v>
      </c>
      <c r="I408" s="355">
        <v>2.1</v>
      </c>
      <c r="J408" s="404" t="s">
        <v>1741</v>
      </c>
      <c r="K408" s="405"/>
      <c r="L408" s="440"/>
      <c r="N408" s="344"/>
      <c r="O408" s="344"/>
      <c r="P408" s="447"/>
      <c r="Q408" s="342"/>
      <c r="R408" s="448"/>
    </row>
    <row r="409" spans="1:18" ht="14.25" customHeight="1">
      <c r="A409" s="365"/>
      <c r="B409" s="324">
        <v>9</v>
      </c>
      <c r="C409" s="325" t="s">
        <v>189</v>
      </c>
      <c r="D409" s="324" t="s">
        <v>42</v>
      </c>
      <c r="E409" s="327">
        <v>3566000000</v>
      </c>
      <c r="F409" s="327">
        <v>182134724</v>
      </c>
      <c r="G409" s="327">
        <v>2995631924</v>
      </c>
      <c r="H409" s="327">
        <v>570368076</v>
      </c>
      <c r="I409" s="355">
        <v>2.15</v>
      </c>
      <c r="J409" s="404" t="s">
        <v>1743</v>
      </c>
      <c r="K409" s="405"/>
      <c r="L409" s="440"/>
      <c r="N409" s="344"/>
      <c r="O409" s="344"/>
      <c r="P409" s="447"/>
      <c r="Q409" s="342"/>
      <c r="R409" s="448"/>
    </row>
    <row r="410" spans="1:18" ht="14.25" customHeight="1">
      <c r="A410" s="365"/>
      <c r="B410" s="326">
        <v>9</v>
      </c>
      <c r="C410" s="325" t="s">
        <v>185</v>
      </c>
      <c r="D410" s="324" t="s">
        <v>44</v>
      </c>
      <c r="E410" s="327">
        <v>5348000000</v>
      </c>
      <c r="F410" s="327">
        <v>243570229</v>
      </c>
      <c r="G410" s="327">
        <v>3908794658</v>
      </c>
      <c r="H410" s="327">
        <v>1439205342</v>
      </c>
      <c r="I410" s="355">
        <v>2.2000000000000002</v>
      </c>
      <c r="J410" s="404" t="s">
        <v>1740</v>
      </c>
      <c r="K410" s="405"/>
      <c r="L410" s="440"/>
      <c r="N410" s="344"/>
      <c r="O410" s="344"/>
      <c r="P410" s="447"/>
      <c r="Q410" s="342"/>
      <c r="R410" s="448"/>
    </row>
    <row r="411" spans="1:18" ht="14.25" customHeight="1">
      <c r="A411" s="365"/>
      <c r="B411" s="324">
        <v>10</v>
      </c>
      <c r="C411" s="325" t="s">
        <v>189</v>
      </c>
      <c r="D411" s="324" t="s">
        <v>45</v>
      </c>
      <c r="E411" s="327">
        <v>2758000000</v>
      </c>
      <c r="F411" s="327">
        <v>137471661</v>
      </c>
      <c r="G411" s="327">
        <v>2178473621</v>
      </c>
      <c r="H411" s="327">
        <v>579526379</v>
      </c>
      <c r="I411" s="355">
        <v>2.1</v>
      </c>
      <c r="J411" s="404" t="s">
        <v>1742</v>
      </c>
      <c r="K411" s="405"/>
      <c r="L411" s="440"/>
      <c r="N411" s="344"/>
      <c r="O411" s="344"/>
      <c r="P411" s="447"/>
      <c r="Q411" s="342"/>
      <c r="R411" s="448"/>
    </row>
    <row r="412" spans="1:18" ht="14.25" customHeight="1">
      <c r="A412" s="365"/>
      <c r="B412" s="324">
        <v>10</v>
      </c>
      <c r="C412" s="325" t="s">
        <v>185</v>
      </c>
      <c r="D412" s="324" t="s">
        <v>46</v>
      </c>
      <c r="E412" s="327">
        <v>3707000000</v>
      </c>
      <c r="F412" s="327">
        <v>166188791</v>
      </c>
      <c r="G412" s="327">
        <v>2633545679</v>
      </c>
      <c r="H412" s="327">
        <v>1073454321</v>
      </c>
      <c r="I412" s="355">
        <v>2.1</v>
      </c>
      <c r="J412" s="404" t="s">
        <v>1740</v>
      </c>
      <c r="K412" s="405"/>
      <c r="L412" s="440"/>
      <c r="N412" s="344"/>
      <c r="O412" s="344"/>
      <c r="P412" s="447"/>
      <c r="Q412" s="342"/>
      <c r="R412" s="448"/>
    </row>
    <row r="413" spans="1:18" ht="14.25" customHeight="1">
      <c r="A413" s="365"/>
      <c r="B413" s="324">
        <v>11</v>
      </c>
      <c r="C413" s="325" t="s">
        <v>266</v>
      </c>
      <c r="D413" s="324" t="s">
        <v>84</v>
      </c>
      <c r="E413" s="327">
        <v>2000000000</v>
      </c>
      <c r="F413" s="327">
        <v>0</v>
      </c>
      <c r="G413" s="327">
        <v>2000000000</v>
      </c>
      <c r="H413" s="327">
        <v>0</v>
      </c>
      <c r="I413" s="355">
        <v>1.8</v>
      </c>
      <c r="J413" s="404" t="s">
        <v>60</v>
      </c>
      <c r="K413" s="405"/>
      <c r="L413" s="440"/>
      <c r="N413" s="440"/>
      <c r="O413" s="440"/>
      <c r="P413" s="447"/>
      <c r="Q413" s="342"/>
      <c r="R413" s="448"/>
    </row>
    <row r="414" spans="1:18" ht="14.25" customHeight="1" thickBot="1">
      <c r="A414" s="365"/>
      <c r="B414" s="324">
        <v>11</v>
      </c>
      <c r="C414" s="325" t="s">
        <v>189</v>
      </c>
      <c r="D414" s="324" t="s">
        <v>47</v>
      </c>
      <c r="E414" s="327">
        <v>1860000000</v>
      </c>
      <c r="F414" s="327">
        <v>90336710</v>
      </c>
      <c r="G414" s="327">
        <v>1380338900</v>
      </c>
      <c r="H414" s="327">
        <v>479661100</v>
      </c>
      <c r="I414" s="355">
        <v>2</v>
      </c>
      <c r="J414" s="404" t="s">
        <v>1741</v>
      </c>
      <c r="K414" s="405"/>
      <c r="L414" s="440"/>
      <c r="N414" s="344"/>
      <c r="O414" s="344"/>
      <c r="P414" s="447"/>
      <c r="Q414" s="342"/>
      <c r="R414" s="448"/>
    </row>
    <row r="415" spans="1:18" ht="9.75" customHeight="1" thickBot="1">
      <c r="A415" s="346"/>
      <c r="B415" s="347"/>
      <c r="C415" s="346"/>
      <c r="D415" s="347"/>
      <c r="E415" s="348"/>
      <c r="F415" s="348"/>
      <c r="G415" s="348"/>
      <c r="H415" s="348"/>
      <c r="I415" s="433"/>
      <c r="J415" s="439"/>
      <c r="K415" s="405"/>
      <c r="L415" s="440"/>
      <c r="P415" s="447"/>
      <c r="R415" s="448"/>
    </row>
    <row r="416" spans="1:18">
      <c r="A416" s="466" t="s">
        <v>26</v>
      </c>
      <c r="B416" s="468" t="s">
        <v>311</v>
      </c>
      <c r="C416" s="470" t="s">
        <v>27</v>
      </c>
      <c r="D416" s="468" t="s">
        <v>312</v>
      </c>
      <c r="E416" s="472" t="s">
        <v>28</v>
      </c>
      <c r="F416" s="474" t="s">
        <v>29</v>
      </c>
      <c r="G416" s="476"/>
      <c r="H416" s="460" t="s">
        <v>174</v>
      </c>
      <c r="I416" s="462" t="s">
        <v>30</v>
      </c>
      <c r="J416" s="464" t="s">
        <v>313</v>
      </c>
      <c r="K416" s="399"/>
      <c r="L416" s="384"/>
      <c r="P416" s="447"/>
      <c r="R416" s="448"/>
    </row>
    <row r="417" spans="1:18">
      <c r="A417" s="467"/>
      <c r="B417" s="469"/>
      <c r="C417" s="471"/>
      <c r="D417" s="469"/>
      <c r="E417" s="473"/>
      <c r="F417" s="343" t="s">
        <v>176</v>
      </c>
      <c r="G417" s="343" t="s">
        <v>305</v>
      </c>
      <c r="H417" s="461"/>
      <c r="I417" s="463"/>
      <c r="J417" s="465"/>
      <c r="K417" s="401"/>
      <c r="L417" s="384"/>
      <c r="P417" s="447"/>
      <c r="R417" s="448"/>
    </row>
    <row r="418" spans="1:18">
      <c r="A418" s="319"/>
      <c r="B418" s="320"/>
      <c r="C418" s="320"/>
      <c r="D418" s="321" t="s">
        <v>177</v>
      </c>
      <c r="E418" s="322" t="s">
        <v>178</v>
      </c>
      <c r="F418" s="322" t="s">
        <v>172</v>
      </c>
      <c r="G418" s="322" t="s">
        <v>178</v>
      </c>
      <c r="H418" s="322" t="s">
        <v>178</v>
      </c>
      <c r="I418" s="402" t="s">
        <v>31</v>
      </c>
      <c r="J418" s="403" t="s">
        <v>175</v>
      </c>
      <c r="K418" s="393"/>
      <c r="L418" s="384"/>
      <c r="P418" s="447"/>
      <c r="R418" s="448"/>
    </row>
    <row r="419" spans="1:18" ht="14.25" customHeight="1">
      <c r="A419" s="323" t="s">
        <v>299</v>
      </c>
      <c r="B419" s="326" t="s">
        <v>342</v>
      </c>
      <c r="C419" s="325" t="s">
        <v>185</v>
      </c>
      <c r="D419" s="324" t="s">
        <v>697</v>
      </c>
      <c r="E419" s="327">
        <v>2253000000</v>
      </c>
      <c r="F419" s="327">
        <v>98530847</v>
      </c>
      <c r="G419" s="327">
        <v>1505544772</v>
      </c>
      <c r="H419" s="327">
        <v>747455228</v>
      </c>
      <c r="I419" s="355">
        <v>2</v>
      </c>
      <c r="J419" s="404" t="s">
        <v>1739</v>
      </c>
      <c r="K419" s="405"/>
      <c r="L419" s="440"/>
      <c r="N419" s="344"/>
      <c r="O419" s="344"/>
      <c r="P419" s="447"/>
      <c r="Q419" s="342"/>
      <c r="R419" s="448"/>
    </row>
    <row r="420" spans="1:18" ht="14.25" customHeight="1">
      <c r="A420" s="328" t="s">
        <v>182</v>
      </c>
      <c r="B420" s="324">
        <v>12</v>
      </c>
      <c r="C420" s="325" t="s">
        <v>266</v>
      </c>
      <c r="D420" s="324" t="s">
        <v>91</v>
      </c>
      <c r="E420" s="327">
        <v>1491000000</v>
      </c>
      <c r="F420" s="327">
        <v>0</v>
      </c>
      <c r="G420" s="327">
        <v>1491000000</v>
      </c>
      <c r="H420" s="327">
        <v>0</v>
      </c>
      <c r="I420" s="355">
        <v>1.7</v>
      </c>
      <c r="J420" s="404" t="s">
        <v>61</v>
      </c>
      <c r="K420" s="405"/>
      <c r="L420" s="440"/>
      <c r="P420" s="447"/>
      <c r="Q420" s="342"/>
      <c r="R420" s="448"/>
    </row>
    <row r="421" spans="1:18" ht="14.25" customHeight="1">
      <c r="A421" s="323"/>
      <c r="B421" s="326">
        <v>12</v>
      </c>
      <c r="C421" s="325" t="s">
        <v>189</v>
      </c>
      <c r="D421" s="324" t="s">
        <v>93</v>
      </c>
      <c r="E421" s="327">
        <v>1785000000</v>
      </c>
      <c r="F421" s="327">
        <v>83755986</v>
      </c>
      <c r="G421" s="327">
        <v>1252504771</v>
      </c>
      <c r="H421" s="327">
        <v>532495229</v>
      </c>
      <c r="I421" s="355">
        <v>1.65</v>
      </c>
      <c r="J421" s="404" t="s">
        <v>1740</v>
      </c>
      <c r="K421" s="405"/>
      <c r="L421" s="440"/>
      <c r="N421" s="344"/>
      <c r="O421" s="344"/>
      <c r="P421" s="447"/>
      <c r="Q421" s="342"/>
      <c r="R421" s="448"/>
    </row>
    <row r="422" spans="1:18" ht="14.25" customHeight="1">
      <c r="A422" s="328"/>
      <c r="B422" s="324">
        <v>12</v>
      </c>
      <c r="C422" s="325" t="s">
        <v>164</v>
      </c>
      <c r="D422" s="324" t="s">
        <v>95</v>
      </c>
      <c r="E422" s="327">
        <v>1950000000</v>
      </c>
      <c r="F422" s="327">
        <v>82587618</v>
      </c>
      <c r="G422" s="327">
        <v>1239704266</v>
      </c>
      <c r="H422" s="327">
        <v>710295734</v>
      </c>
      <c r="I422" s="355">
        <v>1.6</v>
      </c>
      <c r="J422" s="404" t="s">
        <v>1738</v>
      </c>
      <c r="K422" s="405"/>
      <c r="L422" s="440"/>
      <c r="N422" s="344"/>
      <c r="O422" s="344"/>
      <c r="P422" s="447"/>
      <c r="Q422" s="342"/>
      <c r="R422" s="448"/>
    </row>
    <row r="423" spans="1:18" ht="14.25" customHeight="1">
      <c r="A423" s="328"/>
      <c r="B423" s="324">
        <v>13</v>
      </c>
      <c r="C423" s="325" t="s">
        <v>189</v>
      </c>
      <c r="D423" s="324" t="s">
        <v>51</v>
      </c>
      <c r="E423" s="327">
        <v>2831000000</v>
      </c>
      <c r="F423" s="327">
        <v>132940376</v>
      </c>
      <c r="G423" s="327">
        <v>1814330200</v>
      </c>
      <c r="H423" s="327">
        <v>1016669800</v>
      </c>
      <c r="I423" s="355">
        <v>2.2000000000000002</v>
      </c>
      <c r="J423" s="404" t="s">
        <v>1739</v>
      </c>
      <c r="K423" s="405"/>
      <c r="L423" s="440"/>
      <c r="N423" s="344"/>
      <c r="O423" s="344"/>
      <c r="P423" s="447"/>
      <c r="Q423" s="342"/>
      <c r="R423" s="448"/>
    </row>
    <row r="424" spans="1:18" ht="14.25" customHeight="1">
      <c r="A424" s="328"/>
      <c r="B424" s="324">
        <v>13</v>
      </c>
      <c r="C424" s="325" t="s">
        <v>164</v>
      </c>
      <c r="D424" s="324" t="s">
        <v>98</v>
      </c>
      <c r="E424" s="327">
        <v>2948000000</v>
      </c>
      <c r="F424" s="327">
        <v>124366152</v>
      </c>
      <c r="G424" s="327">
        <v>1697311764</v>
      </c>
      <c r="H424" s="327">
        <v>1250688236</v>
      </c>
      <c r="I424" s="355">
        <v>2.2000000000000002</v>
      </c>
      <c r="J424" s="404" t="s">
        <v>1737</v>
      </c>
      <c r="K424" s="405"/>
      <c r="L424" s="440"/>
      <c r="N424" s="344"/>
      <c r="O424" s="344"/>
      <c r="P424" s="447"/>
      <c r="Q424" s="342"/>
      <c r="R424" s="448"/>
    </row>
    <row r="425" spans="1:18" ht="14.25" customHeight="1">
      <c r="A425" s="328"/>
      <c r="B425" s="324">
        <v>14</v>
      </c>
      <c r="C425" s="325" t="s">
        <v>164</v>
      </c>
      <c r="D425" s="324" t="s">
        <v>53</v>
      </c>
      <c r="E425" s="327">
        <v>519000000</v>
      </c>
      <c r="F425" s="327">
        <v>21183815</v>
      </c>
      <c r="G425" s="327">
        <v>292619837</v>
      </c>
      <c r="H425" s="327">
        <v>226380163</v>
      </c>
      <c r="I425" s="355">
        <v>1.2</v>
      </c>
      <c r="J425" s="404" t="s">
        <v>1736</v>
      </c>
      <c r="K425" s="405"/>
      <c r="L425" s="440"/>
      <c r="N425" s="344"/>
      <c r="O425" s="344"/>
      <c r="P425" s="447"/>
      <c r="Q425" s="342"/>
      <c r="R425" s="448"/>
    </row>
    <row r="426" spans="1:18" ht="14.25" customHeight="1">
      <c r="A426" s="328"/>
      <c r="B426" s="326">
        <v>14</v>
      </c>
      <c r="C426" s="325" t="s">
        <v>189</v>
      </c>
      <c r="D426" s="324" t="s">
        <v>53</v>
      </c>
      <c r="E426" s="327">
        <v>2551000000</v>
      </c>
      <c r="F426" s="327">
        <v>114884705</v>
      </c>
      <c r="G426" s="327">
        <v>1576307523</v>
      </c>
      <c r="H426" s="327">
        <v>974692477</v>
      </c>
      <c r="I426" s="355">
        <v>1.3</v>
      </c>
      <c r="J426" s="404" t="s">
        <v>1738</v>
      </c>
      <c r="K426" s="405"/>
      <c r="L426" s="440"/>
      <c r="N426" s="350"/>
      <c r="O426" s="350"/>
      <c r="P426" s="447"/>
      <c r="Q426" s="342"/>
      <c r="R426" s="448"/>
    </row>
    <row r="427" spans="1:18" ht="14.25" customHeight="1">
      <c r="A427" s="328"/>
      <c r="B427" s="324">
        <v>15</v>
      </c>
      <c r="C427" s="325" t="s">
        <v>189</v>
      </c>
      <c r="D427" s="324" t="s">
        <v>55</v>
      </c>
      <c r="E427" s="327">
        <v>992000000</v>
      </c>
      <c r="F427" s="327">
        <v>44442433</v>
      </c>
      <c r="G427" s="327">
        <v>551829309</v>
      </c>
      <c r="H427" s="327">
        <v>440170691</v>
      </c>
      <c r="I427" s="355">
        <v>1.9</v>
      </c>
      <c r="J427" s="404" t="s">
        <v>1737</v>
      </c>
      <c r="K427" s="405"/>
      <c r="L427" s="440"/>
      <c r="N427" s="344"/>
      <c r="O427" s="344"/>
      <c r="P427" s="447"/>
      <c r="Q427" s="342"/>
      <c r="R427" s="448"/>
    </row>
    <row r="428" spans="1:18" ht="14.25" customHeight="1">
      <c r="A428" s="328"/>
      <c r="B428" s="324">
        <v>16</v>
      </c>
      <c r="C428" s="325" t="s">
        <v>189</v>
      </c>
      <c r="D428" s="324" t="s">
        <v>57</v>
      </c>
      <c r="E428" s="327">
        <v>235000000</v>
      </c>
      <c r="F428" s="327">
        <v>10333584</v>
      </c>
      <c r="G428" s="327">
        <v>118873324</v>
      </c>
      <c r="H428" s="327">
        <v>116126676</v>
      </c>
      <c r="I428" s="355">
        <v>2.1</v>
      </c>
      <c r="J428" s="404" t="s">
        <v>1736</v>
      </c>
      <c r="K428" s="405"/>
      <c r="L428" s="440"/>
      <c r="N428" s="349"/>
      <c r="O428" s="349"/>
      <c r="P428" s="447"/>
      <c r="Q428" s="342"/>
      <c r="R428" s="448"/>
    </row>
    <row r="429" spans="1:18" ht="14.25" customHeight="1">
      <c r="A429" s="328"/>
      <c r="B429" s="324">
        <v>17</v>
      </c>
      <c r="C429" s="325" t="s">
        <v>189</v>
      </c>
      <c r="D429" s="324" t="s">
        <v>62</v>
      </c>
      <c r="E429" s="327">
        <v>100000000</v>
      </c>
      <c r="F429" s="327">
        <v>4310174</v>
      </c>
      <c r="G429" s="327">
        <v>46469210</v>
      </c>
      <c r="H429" s="327">
        <v>53530790</v>
      </c>
      <c r="I429" s="355">
        <v>2</v>
      </c>
      <c r="J429" s="404" t="s">
        <v>1735</v>
      </c>
      <c r="K429" s="405"/>
      <c r="L429" s="440"/>
      <c r="N429" s="344"/>
      <c r="O429" s="344"/>
      <c r="P429" s="447"/>
      <c r="Q429" s="342"/>
      <c r="R429" s="448"/>
    </row>
    <row r="430" spans="1:18" ht="14.25" customHeight="1">
      <c r="A430" s="328"/>
      <c r="B430" s="324">
        <v>18</v>
      </c>
      <c r="C430" s="325" t="s">
        <v>189</v>
      </c>
      <c r="D430" s="324" t="s">
        <v>347</v>
      </c>
      <c r="E430" s="327">
        <v>259000000</v>
      </c>
      <c r="F430" s="327">
        <v>10922891</v>
      </c>
      <c r="G430" s="327">
        <v>108471176</v>
      </c>
      <c r="H430" s="327">
        <v>150528824</v>
      </c>
      <c r="I430" s="355">
        <v>2.1</v>
      </c>
      <c r="J430" s="404" t="s">
        <v>1734</v>
      </c>
      <c r="K430" s="405"/>
      <c r="L430" s="440"/>
      <c r="N430" s="342"/>
      <c r="O430" s="342"/>
      <c r="P430" s="447"/>
      <c r="Q430" s="342"/>
      <c r="R430" s="448"/>
    </row>
    <row r="431" spans="1:18" ht="14.25" customHeight="1">
      <c r="A431" s="328"/>
      <c r="B431" s="324">
        <v>19</v>
      </c>
      <c r="C431" s="325" t="s">
        <v>495</v>
      </c>
      <c r="D431" s="326" t="s">
        <v>632</v>
      </c>
      <c r="E431" s="327">
        <v>63000000</v>
      </c>
      <c r="F431" s="327">
        <v>2605734</v>
      </c>
      <c r="G431" s="327">
        <v>23813063</v>
      </c>
      <c r="H431" s="327">
        <v>39186937</v>
      </c>
      <c r="I431" s="355">
        <v>2.0499999999999998</v>
      </c>
      <c r="J431" s="356" t="s">
        <v>1733</v>
      </c>
      <c r="K431" s="393"/>
      <c r="L431" s="440"/>
      <c r="N431" s="351"/>
      <c r="O431" s="351"/>
      <c r="P431" s="447"/>
      <c r="Q431" s="342"/>
      <c r="R431" s="448"/>
    </row>
    <row r="432" spans="1:18" ht="14.25" customHeight="1">
      <c r="A432" s="328"/>
      <c r="B432" s="324">
        <v>20</v>
      </c>
      <c r="C432" s="352" t="s">
        <v>695</v>
      </c>
      <c r="D432" s="326" t="s">
        <v>624</v>
      </c>
      <c r="E432" s="327">
        <v>55000000</v>
      </c>
      <c r="F432" s="327">
        <v>2241742</v>
      </c>
      <c r="G432" s="327">
        <v>18728160</v>
      </c>
      <c r="H432" s="327">
        <v>36271840</v>
      </c>
      <c r="I432" s="355">
        <v>1.9</v>
      </c>
      <c r="J432" s="356" t="s">
        <v>1732</v>
      </c>
      <c r="K432" s="393"/>
      <c r="L432" s="440"/>
      <c r="N432" s="353"/>
      <c r="O432" s="353"/>
      <c r="P432" s="447"/>
      <c r="Q432" s="342"/>
      <c r="R432" s="448"/>
    </row>
    <row r="433" spans="1:18" ht="14.25" customHeight="1">
      <c r="A433" s="354"/>
      <c r="B433" s="324">
        <v>21</v>
      </c>
      <c r="C433" s="352" t="s">
        <v>698</v>
      </c>
      <c r="D433" s="326" t="s">
        <v>808</v>
      </c>
      <c r="E433" s="327">
        <v>19000000</v>
      </c>
      <c r="F433" s="327">
        <v>676915</v>
      </c>
      <c r="G433" s="327">
        <v>5039262</v>
      </c>
      <c r="H433" s="327">
        <v>13960738</v>
      </c>
      <c r="I433" s="355">
        <v>2.1</v>
      </c>
      <c r="J433" s="356" t="s">
        <v>1729</v>
      </c>
      <c r="K433" s="393"/>
      <c r="L433" s="440"/>
      <c r="N433" s="353"/>
      <c r="O433" s="353"/>
      <c r="P433" s="447"/>
      <c r="Q433" s="342"/>
      <c r="R433" s="448"/>
    </row>
    <row r="434" spans="1:18" ht="14.25" customHeight="1">
      <c r="A434" s="328"/>
      <c r="B434" s="324">
        <v>22</v>
      </c>
      <c r="C434" s="352" t="s">
        <v>886</v>
      </c>
      <c r="D434" s="326" t="s">
        <v>887</v>
      </c>
      <c r="E434" s="327">
        <v>4000000</v>
      </c>
      <c r="F434" s="327">
        <v>141519</v>
      </c>
      <c r="G434" s="327">
        <v>936666</v>
      </c>
      <c r="H434" s="327">
        <v>3063334</v>
      </c>
      <c r="I434" s="355">
        <v>1.9</v>
      </c>
      <c r="J434" s="356" t="s">
        <v>1728</v>
      </c>
      <c r="K434" s="393"/>
      <c r="L434" s="440"/>
      <c r="N434" s="353"/>
      <c r="O434" s="353"/>
      <c r="P434" s="447"/>
      <c r="Q434" s="342"/>
      <c r="R434" s="448"/>
    </row>
    <row r="435" spans="1:18" ht="17.25" customHeight="1">
      <c r="A435" s="357" t="s">
        <v>376</v>
      </c>
      <c r="B435" s="358" t="s">
        <v>173</v>
      </c>
      <c r="C435" s="359" t="s">
        <v>173</v>
      </c>
      <c r="D435" s="360" t="s">
        <v>173</v>
      </c>
      <c r="E435" s="361">
        <v>59756000000</v>
      </c>
      <c r="F435" s="361">
        <v>2583352574</v>
      </c>
      <c r="G435" s="361">
        <v>46493441530</v>
      </c>
      <c r="H435" s="361">
        <v>13262558470</v>
      </c>
      <c r="I435" s="412"/>
      <c r="J435" s="413" t="s">
        <v>173</v>
      </c>
      <c r="K435" s="393"/>
      <c r="L435" s="384"/>
      <c r="P435" s="447"/>
      <c r="R435" s="448"/>
    </row>
    <row r="436" spans="1:18" ht="14.25" customHeight="1">
      <c r="A436" s="323" t="s">
        <v>300</v>
      </c>
      <c r="B436" s="324" t="s">
        <v>35</v>
      </c>
      <c r="C436" s="325" t="s">
        <v>189</v>
      </c>
      <c r="D436" s="324" t="s">
        <v>104</v>
      </c>
      <c r="E436" s="327">
        <v>2079000000</v>
      </c>
      <c r="F436" s="327">
        <v>0</v>
      </c>
      <c r="G436" s="327">
        <v>2079000000</v>
      </c>
      <c r="H436" s="327">
        <v>0</v>
      </c>
      <c r="I436" s="355">
        <v>4.75</v>
      </c>
      <c r="J436" s="356" t="s">
        <v>1769</v>
      </c>
      <c r="K436" s="393"/>
      <c r="L436" s="440"/>
      <c r="P436" s="447"/>
      <c r="Q436" s="342"/>
      <c r="R436" s="448"/>
    </row>
    <row r="437" spans="1:18" ht="14.25" customHeight="1">
      <c r="A437" s="328" t="s">
        <v>182</v>
      </c>
      <c r="B437" s="324">
        <v>6</v>
      </c>
      <c r="C437" s="325" t="s">
        <v>189</v>
      </c>
      <c r="D437" s="324" t="s">
        <v>105</v>
      </c>
      <c r="E437" s="327">
        <v>5630000000</v>
      </c>
      <c r="F437" s="327">
        <v>0</v>
      </c>
      <c r="G437" s="327">
        <v>5630000000</v>
      </c>
      <c r="H437" s="327">
        <v>0</v>
      </c>
      <c r="I437" s="355">
        <v>4.7</v>
      </c>
      <c r="J437" s="356" t="s">
        <v>1769</v>
      </c>
      <c r="K437" s="393"/>
      <c r="L437" s="440"/>
      <c r="P437" s="447"/>
      <c r="Q437" s="342"/>
      <c r="R437" s="448"/>
    </row>
    <row r="438" spans="1:18" ht="14.25" customHeight="1">
      <c r="A438" s="328"/>
      <c r="B438" s="324">
        <v>6</v>
      </c>
      <c r="C438" s="325" t="s">
        <v>180</v>
      </c>
      <c r="D438" s="324" t="s">
        <v>106</v>
      </c>
      <c r="E438" s="327">
        <v>2312000000</v>
      </c>
      <c r="F438" s="327">
        <v>0</v>
      </c>
      <c r="G438" s="327">
        <v>2312000000</v>
      </c>
      <c r="H438" s="327">
        <v>0</v>
      </c>
      <c r="I438" s="355">
        <v>4.5</v>
      </c>
      <c r="J438" s="356" t="s">
        <v>244</v>
      </c>
      <c r="K438" s="393"/>
      <c r="L438" s="440"/>
      <c r="P438" s="447"/>
      <c r="Q438" s="342"/>
      <c r="R438" s="448"/>
    </row>
    <row r="439" spans="1:18" ht="14.25" customHeight="1">
      <c r="A439" s="328"/>
      <c r="B439" s="324">
        <v>6</v>
      </c>
      <c r="C439" s="325" t="s">
        <v>185</v>
      </c>
      <c r="D439" s="324" t="s">
        <v>107</v>
      </c>
      <c r="E439" s="327">
        <v>8743000000</v>
      </c>
      <c r="F439" s="327">
        <v>451761176</v>
      </c>
      <c r="G439" s="327">
        <v>7299825373</v>
      </c>
      <c r="H439" s="327">
        <v>1443174627</v>
      </c>
      <c r="I439" s="355">
        <v>3.15</v>
      </c>
      <c r="J439" s="356" t="s">
        <v>1743</v>
      </c>
      <c r="K439" s="393"/>
      <c r="L439" s="440"/>
      <c r="N439" s="344"/>
      <c r="O439" s="344"/>
      <c r="P439" s="447"/>
      <c r="Q439" s="342"/>
      <c r="R439" s="448"/>
    </row>
    <row r="440" spans="1:18" ht="14.25" customHeight="1">
      <c r="A440" s="323"/>
      <c r="B440" s="326">
        <v>7</v>
      </c>
      <c r="C440" s="325" t="s">
        <v>189</v>
      </c>
      <c r="D440" s="326" t="s">
        <v>39</v>
      </c>
      <c r="E440" s="327">
        <v>1752000000</v>
      </c>
      <c r="F440" s="327">
        <v>102613104</v>
      </c>
      <c r="G440" s="327">
        <v>1646024873</v>
      </c>
      <c r="H440" s="327">
        <v>105975127</v>
      </c>
      <c r="I440" s="355">
        <v>3.25</v>
      </c>
      <c r="J440" s="356" t="s">
        <v>1745</v>
      </c>
      <c r="K440" s="393"/>
      <c r="L440" s="440"/>
      <c r="N440" s="349"/>
      <c r="O440" s="349"/>
      <c r="P440" s="447"/>
      <c r="Q440" s="342"/>
      <c r="R440" s="448"/>
    </row>
    <row r="441" spans="1:18" ht="14.25" customHeight="1">
      <c r="A441" s="328"/>
      <c r="B441" s="324">
        <v>7</v>
      </c>
      <c r="C441" s="325" t="s">
        <v>189</v>
      </c>
      <c r="D441" s="324" t="s">
        <v>39</v>
      </c>
      <c r="E441" s="327">
        <v>7579000000</v>
      </c>
      <c r="F441" s="327">
        <v>442019834</v>
      </c>
      <c r="G441" s="327">
        <v>7122722373</v>
      </c>
      <c r="H441" s="327">
        <v>456277627</v>
      </c>
      <c r="I441" s="355">
        <v>3.2</v>
      </c>
      <c r="J441" s="356" t="s">
        <v>1745</v>
      </c>
      <c r="K441" s="393"/>
      <c r="L441" s="440"/>
      <c r="N441" s="349"/>
      <c r="O441" s="349"/>
      <c r="P441" s="447"/>
      <c r="Q441" s="342"/>
      <c r="R441" s="448"/>
    </row>
    <row r="442" spans="1:18" ht="14.25" customHeight="1">
      <c r="A442" s="328"/>
      <c r="B442" s="324">
        <v>7</v>
      </c>
      <c r="C442" s="325" t="s">
        <v>266</v>
      </c>
      <c r="D442" s="324" t="s">
        <v>109</v>
      </c>
      <c r="E442" s="327">
        <v>2000000000</v>
      </c>
      <c r="F442" s="327">
        <v>0</v>
      </c>
      <c r="G442" s="327">
        <v>2000000000</v>
      </c>
      <c r="H442" s="327">
        <v>0</v>
      </c>
      <c r="I442" s="355">
        <v>3.3</v>
      </c>
      <c r="J442" s="356" t="s">
        <v>247</v>
      </c>
      <c r="K442" s="393"/>
      <c r="L442" s="440"/>
      <c r="P442" s="447"/>
      <c r="Q442" s="342"/>
      <c r="R442" s="448"/>
    </row>
    <row r="443" spans="1:18" ht="14.25" customHeight="1">
      <c r="A443" s="323"/>
      <c r="B443" s="324">
        <v>7</v>
      </c>
      <c r="C443" s="325" t="s">
        <v>185</v>
      </c>
      <c r="D443" s="324" t="s">
        <v>110</v>
      </c>
      <c r="E443" s="327">
        <v>839842385</v>
      </c>
      <c r="F443" s="327">
        <v>0</v>
      </c>
      <c r="G443" s="327">
        <v>839842385</v>
      </c>
      <c r="H443" s="327">
        <v>0</v>
      </c>
      <c r="I443" s="355">
        <v>2.8</v>
      </c>
      <c r="J443" s="356" t="s">
        <v>469</v>
      </c>
      <c r="K443" s="393"/>
      <c r="L443" s="440"/>
      <c r="P443" s="447"/>
      <c r="Q443" s="342"/>
      <c r="R443" s="448"/>
    </row>
    <row r="444" spans="1:18" ht="14.25" customHeight="1">
      <c r="A444" s="328"/>
      <c r="B444" s="324">
        <v>8</v>
      </c>
      <c r="C444" s="325" t="s">
        <v>266</v>
      </c>
      <c r="D444" s="324" t="s">
        <v>110</v>
      </c>
      <c r="E444" s="327">
        <v>2000000000</v>
      </c>
      <c r="F444" s="327">
        <v>0</v>
      </c>
      <c r="G444" s="327">
        <v>2000000000</v>
      </c>
      <c r="H444" s="327">
        <v>0</v>
      </c>
      <c r="I444" s="355">
        <v>2.6</v>
      </c>
      <c r="J444" s="404" t="s">
        <v>249</v>
      </c>
      <c r="K444" s="405"/>
      <c r="L444" s="440"/>
      <c r="P444" s="447"/>
      <c r="Q444" s="342"/>
      <c r="R444" s="448"/>
    </row>
    <row r="445" spans="1:18" ht="14.25" customHeight="1">
      <c r="A445" s="328"/>
      <c r="B445" s="324">
        <v>8</v>
      </c>
      <c r="C445" s="325" t="s">
        <v>189</v>
      </c>
      <c r="D445" s="324" t="s">
        <v>111</v>
      </c>
      <c r="E445" s="327">
        <v>908000000</v>
      </c>
      <c r="F445" s="327">
        <v>49848454</v>
      </c>
      <c r="G445" s="327">
        <v>803969613</v>
      </c>
      <c r="H445" s="327">
        <v>104030387</v>
      </c>
      <c r="I445" s="355">
        <v>2.85</v>
      </c>
      <c r="J445" s="404" t="s">
        <v>1744</v>
      </c>
      <c r="K445" s="405"/>
      <c r="L445" s="440"/>
      <c r="N445" s="349"/>
      <c r="O445" s="349"/>
      <c r="P445" s="447"/>
      <c r="Q445" s="342"/>
      <c r="R445" s="448"/>
    </row>
    <row r="446" spans="1:18" ht="14.25" customHeight="1">
      <c r="A446" s="328"/>
      <c r="B446" s="324">
        <v>8</v>
      </c>
      <c r="C446" s="325" t="s">
        <v>189</v>
      </c>
      <c r="D446" s="324" t="s">
        <v>111</v>
      </c>
      <c r="E446" s="327">
        <v>1164000000</v>
      </c>
      <c r="F446" s="327">
        <v>64147318</v>
      </c>
      <c r="G446" s="327">
        <v>1030029354</v>
      </c>
      <c r="H446" s="327">
        <v>133970646</v>
      </c>
      <c r="I446" s="355">
        <v>2.9</v>
      </c>
      <c r="J446" s="404" t="s">
        <v>1744</v>
      </c>
      <c r="K446" s="405"/>
      <c r="L446" s="440"/>
      <c r="N446" s="349"/>
      <c r="O446" s="349"/>
      <c r="P446" s="447"/>
      <c r="Q446" s="342"/>
      <c r="R446" s="448"/>
    </row>
    <row r="447" spans="1:18" ht="14.25" customHeight="1">
      <c r="A447" s="328"/>
      <c r="B447" s="324">
        <v>9</v>
      </c>
      <c r="C447" s="325" t="s">
        <v>266</v>
      </c>
      <c r="D447" s="324" t="s">
        <v>112</v>
      </c>
      <c r="E447" s="327">
        <v>2000000000</v>
      </c>
      <c r="F447" s="327">
        <v>0</v>
      </c>
      <c r="G447" s="327">
        <v>2000000000</v>
      </c>
      <c r="H447" s="327">
        <v>0</v>
      </c>
      <c r="I447" s="355">
        <v>2</v>
      </c>
      <c r="J447" s="404" t="s">
        <v>251</v>
      </c>
      <c r="K447" s="405"/>
      <c r="L447" s="440"/>
      <c r="P447" s="447"/>
      <c r="Q447" s="342"/>
      <c r="R447" s="448"/>
    </row>
    <row r="448" spans="1:18" ht="14.25" customHeight="1">
      <c r="A448" s="328"/>
      <c r="B448" s="324">
        <v>8</v>
      </c>
      <c r="C448" s="325" t="s">
        <v>185</v>
      </c>
      <c r="D448" s="324" t="s">
        <v>42</v>
      </c>
      <c r="E448" s="327">
        <v>286740422</v>
      </c>
      <c r="F448" s="327">
        <v>0</v>
      </c>
      <c r="G448" s="327">
        <v>286740422</v>
      </c>
      <c r="H448" s="327">
        <v>0</v>
      </c>
      <c r="I448" s="355">
        <v>2.1</v>
      </c>
      <c r="J448" s="404" t="s">
        <v>469</v>
      </c>
      <c r="K448" s="405"/>
      <c r="L448" s="440"/>
      <c r="P448" s="447"/>
      <c r="Q448" s="342"/>
      <c r="R448" s="448"/>
    </row>
    <row r="449" spans="1:18" ht="14.25" customHeight="1">
      <c r="A449" s="328"/>
      <c r="B449" s="324">
        <v>8</v>
      </c>
      <c r="C449" s="325" t="s">
        <v>189</v>
      </c>
      <c r="D449" s="324" t="s">
        <v>42</v>
      </c>
      <c r="E449" s="327">
        <v>2118000000</v>
      </c>
      <c r="F449" s="327">
        <v>107756961</v>
      </c>
      <c r="G449" s="327">
        <v>1780551272</v>
      </c>
      <c r="H449" s="327">
        <v>337448728</v>
      </c>
      <c r="I449" s="355">
        <v>2.15</v>
      </c>
      <c r="J449" s="404" t="s">
        <v>1743</v>
      </c>
      <c r="K449" s="405"/>
      <c r="L449" s="440"/>
      <c r="N449" s="349"/>
      <c r="O449" s="349"/>
      <c r="P449" s="447"/>
      <c r="Q449" s="342"/>
      <c r="R449" s="448"/>
    </row>
    <row r="450" spans="1:18" ht="14.25" customHeight="1">
      <c r="A450" s="328"/>
      <c r="B450" s="324">
        <v>9</v>
      </c>
      <c r="C450" s="325" t="s">
        <v>189</v>
      </c>
      <c r="D450" s="324" t="s">
        <v>42</v>
      </c>
      <c r="E450" s="327">
        <v>1001000000</v>
      </c>
      <c r="F450" s="327">
        <v>50793007</v>
      </c>
      <c r="G450" s="327">
        <v>841779457</v>
      </c>
      <c r="H450" s="327">
        <v>159220543</v>
      </c>
      <c r="I450" s="355">
        <v>2.2000000000000002</v>
      </c>
      <c r="J450" s="404" t="s">
        <v>1743</v>
      </c>
      <c r="K450" s="405"/>
      <c r="L450" s="440"/>
      <c r="N450" s="349"/>
      <c r="O450" s="349"/>
      <c r="P450" s="447"/>
      <c r="Q450" s="342"/>
      <c r="R450" s="448"/>
    </row>
    <row r="451" spans="1:18" ht="14.25" customHeight="1">
      <c r="A451" s="328"/>
      <c r="B451" s="324">
        <v>9</v>
      </c>
      <c r="C451" s="325" t="s">
        <v>189</v>
      </c>
      <c r="D451" s="324" t="s">
        <v>42</v>
      </c>
      <c r="E451" s="327">
        <v>930000000</v>
      </c>
      <c r="F451" s="327">
        <v>47025988</v>
      </c>
      <c r="G451" s="327">
        <v>782734715</v>
      </c>
      <c r="H451" s="327">
        <v>147265285</v>
      </c>
      <c r="I451" s="355">
        <v>2.15</v>
      </c>
      <c r="J451" s="404" t="s">
        <v>1743</v>
      </c>
      <c r="K451" s="405"/>
      <c r="L451" s="440"/>
      <c r="N451" s="349"/>
      <c r="O451" s="349"/>
      <c r="P451" s="447"/>
      <c r="Q451" s="342"/>
      <c r="R451" s="448"/>
    </row>
    <row r="452" spans="1:18" ht="14.25" customHeight="1">
      <c r="A452" s="328"/>
      <c r="B452" s="324">
        <v>10</v>
      </c>
      <c r="C452" s="325" t="s">
        <v>266</v>
      </c>
      <c r="D452" s="324" t="s">
        <v>115</v>
      </c>
      <c r="E452" s="327">
        <v>2000000000</v>
      </c>
      <c r="F452" s="327">
        <v>0</v>
      </c>
      <c r="G452" s="327">
        <v>2000000000</v>
      </c>
      <c r="H452" s="327">
        <v>0</v>
      </c>
      <c r="I452" s="355">
        <v>1.9</v>
      </c>
      <c r="J452" s="404" t="s">
        <v>253</v>
      </c>
      <c r="K452" s="405"/>
      <c r="L452" s="440"/>
      <c r="P452" s="447"/>
      <c r="Q452" s="342"/>
      <c r="R452" s="448"/>
    </row>
    <row r="453" spans="1:18" ht="14.25" customHeight="1">
      <c r="A453" s="328"/>
      <c r="B453" s="324">
        <v>9</v>
      </c>
      <c r="C453" s="325" t="s">
        <v>189</v>
      </c>
      <c r="D453" s="324" t="s">
        <v>116</v>
      </c>
      <c r="E453" s="327">
        <v>625000000</v>
      </c>
      <c r="F453" s="327">
        <v>29640947</v>
      </c>
      <c r="G453" s="327">
        <v>518058973</v>
      </c>
      <c r="H453" s="327">
        <v>106941027</v>
      </c>
      <c r="I453" s="355">
        <v>1.35</v>
      </c>
      <c r="J453" s="404" t="s">
        <v>1742</v>
      </c>
      <c r="K453" s="405"/>
      <c r="L453" s="440"/>
      <c r="N453" s="349"/>
      <c r="O453" s="349"/>
      <c r="P453" s="447"/>
      <c r="Q453" s="342"/>
      <c r="R453" s="448"/>
    </row>
    <row r="454" spans="1:18" ht="14.25" customHeight="1">
      <c r="A454" s="328"/>
      <c r="B454" s="324">
        <v>9</v>
      </c>
      <c r="C454" s="325" t="s">
        <v>185</v>
      </c>
      <c r="D454" s="324" t="s">
        <v>44</v>
      </c>
      <c r="E454" s="327">
        <v>124925255</v>
      </c>
      <c r="F454" s="327">
        <v>0</v>
      </c>
      <c r="G454" s="327">
        <v>124925255</v>
      </c>
      <c r="H454" s="327">
        <v>0</v>
      </c>
      <c r="I454" s="355">
        <v>2.2000000000000002</v>
      </c>
      <c r="J454" s="404" t="s">
        <v>469</v>
      </c>
      <c r="K454" s="405"/>
      <c r="L454" s="440"/>
      <c r="P454" s="447"/>
      <c r="Q454" s="342"/>
      <c r="R454" s="448"/>
    </row>
    <row r="455" spans="1:18" ht="14.25" customHeight="1">
      <c r="A455" s="328"/>
      <c r="B455" s="324">
        <v>10</v>
      </c>
      <c r="C455" s="325" t="s">
        <v>189</v>
      </c>
      <c r="D455" s="324" t="s">
        <v>45</v>
      </c>
      <c r="E455" s="327">
        <v>1085000000</v>
      </c>
      <c r="F455" s="327">
        <v>53506896</v>
      </c>
      <c r="G455" s="327">
        <v>859435997</v>
      </c>
      <c r="H455" s="327">
        <v>225564003</v>
      </c>
      <c r="I455" s="355">
        <v>2.1</v>
      </c>
      <c r="J455" s="404" t="s">
        <v>1742</v>
      </c>
      <c r="K455" s="405"/>
      <c r="L455" s="440"/>
      <c r="N455" s="349"/>
      <c r="O455" s="349"/>
      <c r="P455" s="447"/>
      <c r="Q455" s="342"/>
      <c r="R455" s="448"/>
    </row>
    <row r="456" spans="1:18" ht="14.25" customHeight="1">
      <c r="A456" s="328"/>
      <c r="B456" s="324">
        <v>10</v>
      </c>
      <c r="C456" s="325" t="s">
        <v>189</v>
      </c>
      <c r="D456" s="324" t="s">
        <v>45</v>
      </c>
      <c r="E456" s="327">
        <v>1063000000</v>
      </c>
      <c r="F456" s="327">
        <v>52421964</v>
      </c>
      <c r="G456" s="327">
        <v>842009645</v>
      </c>
      <c r="H456" s="327">
        <v>220990355</v>
      </c>
      <c r="I456" s="355">
        <v>2.1</v>
      </c>
      <c r="J456" s="404" t="s">
        <v>1742</v>
      </c>
      <c r="K456" s="405"/>
      <c r="L456" s="440"/>
      <c r="N456" s="349"/>
      <c r="O456" s="349"/>
      <c r="P456" s="447"/>
      <c r="Q456" s="342"/>
      <c r="R456" s="448"/>
    </row>
    <row r="457" spans="1:18" ht="14.25" customHeight="1">
      <c r="A457" s="328"/>
      <c r="B457" s="324">
        <v>10</v>
      </c>
      <c r="C457" s="325" t="s">
        <v>185</v>
      </c>
      <c r="D457" s="324" t="s">
        <v>119</v>
      </c>
      <c r="E457" s="327">
        <v>53192729</v>
      </c>
      <c r="F457" s="327">
        <v>0</v>
      </c>
      <c r="G457" s="327">
        <v>53192729</v>
      </c>
      <c r="H457" s="327">
        <v>0</v>
      </c>
      <c r="I457" s="355">
        <v>2.1</v>
      </c>
      <c r="J457" s="404" t="s">
        <v>469</v>
      </c>
      <c r="K457" s="405"/>
      <c r="L457" s="440"/>
      <c r="P457" s="447"/>
      <c r="Q457" s="342"/>
      <c r="R457" s="448"/>
    </row>
    <row r="458" spans="1:18" ht="14.25" customHeight="1">
      <c r="A458" s="328"/>
      <c r="B458" s="324">
        <v>11</v>
      </c>
      <c r="C458" s="325" t="s">
        <v>189</v>
      </c>
      <c r="D458" s="324" t="s">
        <v>47</v>
      </c>
      <c r="E458" s="327">
        <v>663000000</v>
      </c>
      <c r="F458" s="327">
        <v>30584996</v>
      </c>
      <c r="G458" s="327">
        <v>500602752</v>
      </c>
      <c r="H458" s="327">
        <v>162397248</v>
      </c>
      <c r="I458" s="355">
        <v>2</v>
      </c>
      <c r="J458" s="404" t="s">
        <v>1741</v>
      </c>
      <c r="K458" s="405"/>
      <c r="L458" s="440"/>
      <c r="N458" s="349"/>
      <c r="O458" s="349"/>
      <c r="P458" s="447"/>
      <c r="Q458" s="342"/>
      <c r="R458" s="448"/>
    </row>
    <row r="459" spans="1:18" ht="14.25" customHeight="1">
      <c r="A459" s="328"/>
      <c r="B459" s="324">
        <v>11</v>
      </c>
      <c r="C459" s="325" t="s">
        <v>189</v>
      </c>
      <c r="D459" s="324" t="s">
        <v>306</v>
      </c>
      <c r="E459" s="327">
        <v>433000000</v>
      </c>
      <c r="F459" s="327">
        <v>19974817</v>
      </c>
      <c r="G459" s="327">
        <v>326939656</v>
      </c>
      <c r="H459" s="327">
        <v>106060344</v>
      </c>
      <c r="I459" s="355">
        <v>2</v>
      </c>
      <c r="J459" s="404" t="s">
        <v>1741</v>
      </c>
      <c r="K459" s="405"/>
      <c r="L459" s="440"/>
      <c r="N459" s="349"/>
      <c r="O459" s="349"/>
      <c r="P459" s="447"/>
      <c r="Q459" s="342"/>
      <c r="R459" s="448"/>
    </row>
    <row r="460" spans="1:18" ht="14.25" customHeight="1">
      <c r="A460" s="328"/>
      <c r="B460" s="324">
        <v>11</v>
      </c>
      <c r="C460" s="325" t="s">
        <v>185</v>
      </c>
      <c r="D460" s="324" t="s">
        <v>122</v>
      </c>
      <c r="E460" s="327">
        <v>31008169</v>
      </c>
      <c r="F460" s="327">
        <v>0</v>
      </c>
      <c r="G460" s="327">
        <v>31008169</v>
      </c>
      <c r="H460" s="327">
        <v>0</v>
      </c>
      <c r="I460" s="355">
        <v>2</v>
      </c>
      <c r="J460" s="404" t="s">
        <v>469</v>
      </c>
      <c r="K460" s="405"/>
      <c r="L460" s="440"/>
      <c r="P460" s="447"/>
      <c r="Q460" s="342"/>
      <c r="R460" s="448"/>
    </row>
    <row r="461" spans="1:18" ht="14.25" customHeight="1">
      <c r="A461" s="328"/>
      <c r="B461" s="324">
        <v>12</v>
      </c>
      <c r="C461" s="325" t="s">
        <v>164</v>
      </c>
      <c r="D461" s="324" t="s">
        <v>95</v>
      </c>
      <c r="E461" s="327">
        <v>103000000</v>
      </c>
      <c r="F461" s="327">
        <v>0</v>
      </c>
      <c r="G461" s="327">
        <v>103000000</v>
      </c>
      <c r="H461" s="327">
        <v>0</v>
      </c>
      <c r="I461" s="355">
        <v>1.6</v>
      </c>
      <c r="J461" s="404" t="s">
        <v>469</v>
      </c>
      <c r="K461" s="405"/>
      <c r="L461" s="440"/>
      <c r="P461" s="447"/>
      <c r="Q461" s="342"/>
      <c r="R461" s="448"/>
    </row>
    <row r="462" spans="1:18" ht="14.25" customHeight="1">
      <c r="A462" s="328"/>
      <c r="B462" s="324">
        <v>13</v>
      </c>
      <c r="C462" s="325" t="s">
        <v>165</v>
      </c>
      <c r="D462" s="324" t="s">
        <v>124</v>
      </c>
      <c r="E462" s="327">
        <v>47194000</v>
      </c>
      <c r="F462" s="327">
        <v>0</v>
      </c>
      <c r="G462" s="327">
        <v>47194000</v>
      </c>
      <c r="H462" s="327">
        <v>0</v>
      </c>
      <c r="I462" s="355" t="s">
        <v>125</v>
      </c>
      <c r="J462" s="404" t="s">
        <v>151</v>
      </c>
      <c r="K462" s="405"/>
      <c r="L462" s="440"/>
      <c r="P462" s="447"/>
      <c r="Q462" s="342"/>
      <c r="R462" s="448"/>
    </row>
    <row r="463" spans="1:18" ht="14.25" customHeight="1">
      <c r="A463" s="328"/>
      <c r="B463" s="324">
        <v>13</v>
      </c>
      <c r="C463" s="325" t="s">
        <v>164</v>
      </c>
      <c r="D463" s="324" t="s">
        <v>152</v>
      </c>
      <c r="E463" s="327">
        <v>42000000</v>
      </c>
      <c r="F463" s="327">
        <v>0</v>
      </c>
      <c r="G463" s="327">
        <v>42000000</v>
      </c>
      <c r="H463" s="327">
        <v>0</v>
      </c>
      <c r="I463" s="355">
        <v>1.4</v>
      </c>
      <c r="J463" s="356" t="s">
        <v>469</v>
      </c>
      <c r="K463" s="393"/>
      <c r="L463" s="440"/>
      <c r="P463" s="447"/>
      <c r="Q463" s="342"/>
      <c r="R463" s="448"/>
    </row>
    <row r="464" spans="1:18" ht="14.25" customHeight="1">
      <c r="A464" s="328"/>
      <c r="B464" s="324">
        <v>14</v>
      </c>
      <c r="C464" s="325" t="s">
        <v>189</v>
      </c>
      <c r="D464" s="324" t="s">
        <v>53</v>
      </c>
      <c r="E464" s="327">
        <v>46000000</v>
      </c>
      <c r="F464" s="327">
        <v>2065635</v>
      </c>
      <c r="G464" s="327">
        <v>28474962</v>
      </c>
      <c r="H464" s="327">
        <v>17525038</v>
      </c>
      <c r="I464" s="355">
        <v>1.3</v>
      </c>
      <c r="J464" s="404" t="s">
        <v>1738</v>
      </c>
      <c r="K464" s="405"/>
      <c r="L464" s="440"/>
      <c r="N464" s="349"/>
      <c r="O464" s="349"/>
      <c r="P464" s="447"/>
      <c r="Q464" s="342"/>
      <c r="R464" s="448"/>
    </row>
    <row r="465" spans="1:18" ht="14.25" customHeight="1">
      <c r="A465" s="328"/>
      <c r="B465" s="324">
        <v>15</v>
      </c>
      <c r="C465" s="325" t="s">
        <v>189</v>
      </c>
      <c r="D465" s="324" t="s">
        <v>55</v>
      </c>
      <c r="E465" s="327">
        <v>1137000000</v>
      </c>
      <c r="F465" s="327">
        <v>50938555</v>
      </c>
      <c r="G465" s="327">
        <v>632489842</v>
      </c>
      <c r="H465" s="327">
        <v>504510158</v>
      </c>
      <c r="I465" s="355">
        <v>1.9</v>
      </c>
      <c r="J465" s="404" t="s">
        <v>1737</v>
      </c>
      <c r="K465" s="405"/>
      <c r="L465" s="440"/>
      <c r="N465" s="344"/>
      <c r="O465" s="344"/>
      <c r="P465" s="447"/>
      <c r="Q465" s="342"/>
      <c r="R465" s="448"/>
    </row>
    <row r="466" spans="1:18" ht="14.25" customHeight="1">
      <c r="A466" s="365"/>
      <c r="B466" s="326">
        <v>14</v>
      </c>
      <c r="C466" s="325" t="s">
        <v>164</v>
      </c>
      <c r="D466" s="324" t="s">
        <v>157</v>
      </c>
      <c r="E466" s="327">
        <v>6867162</v>
      </c>
      <c r="F466" s="327">
        <v>0</v>
      </c>
      <c r="G466" s="327">
        <v>6867162</v>
      </c>
      <c r="H466" s="327">
        <v>0</v>
      </c>
      <c r="I466" s="355">
        <v>2</v>
      </c>
      <c r="J466" s="404" t="s">
        <v>469</v>
      </c>
      <c r="K466" s="405"/>
      <c r="L466" s="440"/>
      <c r="P466" s="447"/>
      <c r="Q466" s="342"/>
      <c r="R466" s="448"/>
    </row>
    <row r="467" spans="1:18" ht="14.25" customHeight="1">
      <c r="A467" s="365"/>
      <c r="B467" s="324">
        <v>15</v>
      </c>
      <c r="C467" s="325" t="s">
        <v>189</v>
      </c>
      <c r="D467" s="324" t="s">
        <v>158</v>
      </c>
      <c r="E467" s="327">
        <v>398000000</v>
      </c>
      <c r="F467" s="327">
        <v>17674292</v>
      </c>
      <c r="G467" s="327">
        <v>211327870</v>
      </c>
      <c r="H467" s="327">
        <v>186672130</v>
      </c>
      <c r="I467" s="355">
        <v>2</v>
      </c>
      <c r="J467" s="356" t="s">
        <v>1736</v>
      </c>
      <c r="K467" s="393"/>
      <c r="L467" s="440"/>
      <c r="N467" s="344"/>
      <c r="O467" s="344"/>
      <c r="P467" s="447"/>
      <c r="Q467" s="342"/>
      <c r="R467" s="448"/>
    </row>
    <row r="468" spans="1:18" ht="14.25" customHeight="1">
      <c r="A468" s="365"/>
      <c r="B468" s="324">
        <v>15</v>
      </c>
      <c r="C468" s="325" t="s">
        <v>164</v>
      </c>
      <c r="D468" s="324" t="s">
        <v>160</v>
      </c>
      <c r="E468" s="327">
        <v>3390000000</v>
      </c>
      <c r="F468" s="327">
        <v>135481296</v>
      </c>
      <c r="G468" s="327">
        <v>1610421460</v>
      </c>
      <c r="H468" s="327">
        <v>1779578540</v>
      </c>
      <c r="I468" s="355">
        <v>2.1</v>
      </c>
      <c r="J468" s="404" t="s">
        <v>1734</v>
      </c>
      <c r="K468" s="405"/>
      <c r="L468" s="440"/>
      <c r="N468" s="344"/>
      <c r="O468" s="344"/>
      <c r="P468" s="447"/>
      <c r="Q468" s="342"/>
      <c r="R468" s="448"/>
    </row>
    <row r="469" spans="1:18" ht="14.25" customHeight="1">
      <c r="A469" s="365"/>
      <c r="B469" s="326">
        <v>7</v>
      </c>
      <c r="C469" s="325" t="s">
        <v>164</v>
      </c>
      <c r="D469" s="324" t="s">
        <v>126</v>
      </c>
      <c r="E469" s="327">
        <v>8684157615</v>
      </c>
      <c r="F469" s="327">
        <v>465652396</v>
      </c>
      <c r="G469" s="327">
        <v>6686498195</v>
      </c>
      <c r="H469" s="327">
        <v>1997659420</v>
      </c>
      <c r="I469" s="355">
        <v>2.8</v>
      </c>
      <c r="J469" s="404" t="s">
        <v>1742</v>
      </c>
      <c r="K469" s="405"/>
      <c r="L469" s="440"/>
      <c r="N469" s="349"/>
      <c r="O469" s="349"/>
      <c r="P469" s="447"/>
      <c r="Q469" s="342"/>
      <c r="R469" s="448"/>
    </row>
    <row r="470" spans="1:18" ht="14.25" customHeight="1">
      <c r="A470" s="365"/>
      <c r="B470" s="324">
        <v>8</v>
      </c>
      <c r="C470" s="325" t="s">
        <v>164</v>
      </c>
      <c r="D470" s="324" t="s">
        <v>126</v>
      </c>
      <c r="E470" s="327">
        <v>4067259578</v>
      </c>
      <c r="F470" s="327">
        <v>198540070</v>
      </c>
      <c r="G470" s="327">
        <v>3009892955</v>
      </c>
      <c r="H470" s="327">
        <v>1057366623</v>
      </c>
      <c r="I470" s="355">
        <v>2.1</v>
      </c>
      <c r="J470" s="404" t="s">
        <v>1741</v>
      </c>
      <c r="K470" s="405"/>
      <c r="L470" s="440"/>
      <c r="N470" s="349"/>
      <c r="O470" s="349"/>
      <c r="P470" s="447"/>
      <c r="Q470" s="342"/>
      <c r="R470" s="448"/>
    </row>
    <row r="471" spans="1:18" ht="14.25" customHeight="1">
      <c r="A471" s="365"/>
      <c r="B471" s="324">
        <v>11</v>
      </c>
      <c r="C471" s="325" t="s">
        <v>164</v>
      </c>
      <c r="D471" s="324" t="s">
        <v>126</v>
      </c>
      <c r="E471" s="327">
        <v>586991831</v>
      </c>
      <c r="F471" s="327">
        <v>25416848</v>
      </c>
      <c r="G471" s="327">
        <v>379352068</v>
      </c>
      <c r="H471" s="327">
        <v>207639763</v>
      </c>
      <c r="I471" s="355">
        <v>2</v>
      </c>
      <c r="J471" s="356" t="s">
        <v>1738</v>
      </c>
      <c r="K471" s="393"/>
      <c r="L471" s="440"/>
      <c r="N471" s="349"/>
      <c r="O471" s="349"/>
      <c r="P471" s="447"/>
      <c r="Q471" s="342"/>
      <c r="R471" s="448"/>
    </row>
    <row r="472" spans="1:18" ht="14.25" customHeight="1">
      <c r="A472" s="365"/>
      <c r="B472" s="324">
        <v>12</v>
      </c>
      <c r="C472" s="325" t="s">
        <v>164</v>
      </c>
      <c r="D472" s="324" t="s">
        <v>126</v>
      </c>
      <c r="E472" s="327">
        <v>1398000000</v>
      </c>
      <c r="F472" s="327">
        <v>59208970</v>
      </c>
      <c r="G472" s="327">
        <v>888772597</v>
      </c>
      <c r="H472" s="327">
        <v>509227403</v>
      </c>
      <c r="I472" s="355">
        <v>1.6</v>
      </c>
      <c r="J472" s="356" t="s">
        <v>1738</v>
      </c>
      <c r="K472" s="393"/>
      <c r="L472" s="440"/>
      <c r="N472" s="349"/>
      <c r="O472" s="349"/>
      <c r="P472" s="447"/>
      <c r="Q472" s="342"/>
      <c r="R472" s="448"/>
    </row>
    <row r="473" spans="1:18" ht="14.25" customHeight="1">
      <c r="A473" s="365"/>
      <c r="B473" s="324">
        <v>14</v>
      </c>
      <c r="C473" s="325" t="s">
        <v>164</v>
      </c>
      <c r="D473" s="324" t="s">
        <v>126</v>
      </c>
      <c r="E473" s="327">
        <v>2371132838</v>
      </c>
      <c r="F473" s="327">
        <v>95762598</v>
      </c>
      <c r="G473" s="327">
        <v>1181796395</v>
      </c>
      <c r="H473" s="327">
        <v>1189336443</v>
      </c>
      <c r="I473" s="355">
        <v>2</v>
      </c>
      <c r="J473" s="356" t="s">
        <v>1735</v>
      </c>
      <c r="K473" s="393"/>
      <c r="L473" s="440"/>
      <c r="N473" s="349"/>
      <c r="O473" s="349"/>
      <c r="P473" s="447"/>
      <c r="Q473" s="342"/>
      <c r="R473" s="448"/>
    </row>
    <row r="474" spans="1:18" ht="14.25" customHeight="1">
      <c r="A474" s="365"/>
      <c r="B474" s="324">
        <v>16</v>
      </c>
      <c r="C474" s="325" t="s">
        <v>189</v>
      </c>
      <c r="D474" s="324" t="s">
        <v>699</v>
      </c>
      <c r="E474" s="327">
        <v>4470000000</v>
      </c>
      <c r="F474" s="327">
        <v>196557956</v>
      </c>
      <c r="G474" s="327">
        <v>2261122382</v>
      </c>
      <c r="H474" s="327">
        <v>2208877618</v>
      </c>
      <c r="I474" s="355">
        <v>2.1</v>
      </c>
      <c r="J474" s="356" t="s">
        <v>1736</v>
      </c>
      <c r="K474" s="393"/>
      <c r="L474" s="440"/>
      <c r="N474" s="349"/>
      <c r="O474" s="349"/>
      <c r="P474" s="447"/>
      <c r="Q474" s="342"/>
      <c r="R474" s="448"/>
    </row>
    <row r="475" spans="1:18" ht="14.25" customHeight="1">
      <c r="A475" s="365"/>
      <c r="B475" s="324">
        <v>9</v>
      </c>
      <c r="C475" s="325" t="s">
        <v>164</v>
      </c>
      <c r="D475" s="324" t="s">
        <v>1722</v>
      </c>
      <c r="E475" s="327">
        <v>2132074745</v>
      </c>
      <c r="F475" s="327">
        <v>101767224</v>
      </c>
      <c r="G475" s="327">
        <v>1530753584</v>
      </c>
      <c r="H475" s="327">
        <v>601321161</v>
      </c>
      <c r="I475" s="355">
        <v>2.2000000000000002</v>
      </c>
      <c r="J475" s="356" t="s">
        <v>1740</v>
      </c>
      <c r="K475" s="393"/>
      <c r="L475" s="440"/>
      <c r="N475" s="344"/>
      <c r="O475" s="344"/>
      <c r="P475" s="447"/>
      <c r="Q475" s="342"/>
      <c r="R475" s="448"/>
    </row>
    <row r="476" spans="1:18" ht="14.25" customHeight="1">
      <c r="A476" s="366"/>
      <c r="B476" s="324">
        <v>10</v>
      </c>
      <c r="C476" s="325" t="s">
        <v>164</v>
      </c>
      <c r="D476" s="324" t="s">
        <v>301</v>
      </c>
      <c r="E476" s="327">
        <v>2010807271</v>
      </c>
      <c r="F476" s="327">
        <v>90596960</v>
      </c>
      <c r="G476" s="327">
        <v>1373461550</v>
      </c>
      <c r="H476" s="327">
        <v>637345721</v>
      </c>
      <c r="I476" s="355">
        <v>2.1</v>
      </c>
      <c r="J476" s="356" t="s">
        <v>1739</v>
      </c>
      <c r="K476" s="393"/>
      <c r="L476" s="440"/>
      <c r="N476" s="344"/>
      <c r="O476" s="344"/>
      <c r="P476" s="447"/>
      <c r="Q476" s="342"/>
      <c r="R476" s="448"/>
    </row>
    <row r="477" spans="1:18" ht="14.25" customHeight="1">
      <c r="A477" s="328"/>
      <c r="B477" s="326">
        <v>13</v>
      </c>
      <c r="C477" s="325" t="s">
        <v>164</v>
      </c>
      <c r="D477" s="324" t="s">
        <v>1754</v>
      </c>
      <c r="E477" s="327">
        <v>1799000000</v>
      </c>
      <c r="F477" s="327">
        <v>74138358</v>
      </c>
      <c r="G477" s="327">
        <v>1040614000</v>
      </c>
      <c r="H477" s="327">
        <v>758386000</v>
      </c>
      <c r="I477" s="355">
        <v>1.4</v>
      </c>
      <c r="J477" s="404" t="s">
        <v>1736</v>
      </c>
      <c r="K477" s="405"/>
      <c r="L477" s="440"/>
      <c r="M477" s="449"/>
      <c r="N477" s="344"/>
      <c r="O477" s="344"/>
      <c r="P477" s="447"/>
      <c r="Q477" s="342"/>
      <c r="R477" s="448"/>
    </row>
    <row r="478" spans="1:18" ht="14.25" customHeight="1" thickBot="1">
      <c r="A478" s="345"/>
      <c r="B478" s="324">
        <v>16</v>
      </c>
      <c r="C478" s="325" t="s">
        <v>164</v>
      </c>
      <c r="D478" s="324" t="s">
        <v>672</v>
      </c>
      <c r="E478" s="327">
        <v>1424000000</v>
      </c>
      <c r="F478" s="327">
        <v>55819495</v>
      </c>
      <c r="G478" s="327">
        <v>623895914</v>
      </c>
      <c r="H478" s="327">
        <v>800104086</v>
      </c>
      <c r="I478" s="355">
        <v>2</v>
      </c>
      <c r="J478" s="356" t="s">
        <v>1733</v>
      </c>
      <c r="K478" s="393"/>
      <c r="L478" s="440"/>
      <c r="M478" s="364"/>
      <c r="N478" s="344"/>
      <c r="O478" s="344"/>
      <c r="P478" s="447"/>
      <c r="Q478" s="342"/>
      <c r="R478" s="448"/>
    </row>
    <row r="479" spans="1:18" ht="9.75" customHeight="1" thickBot="1">
      <c r="A479" s="346"/>
      <c r="B479" s="347"/>
      <c r="C479" s="346"/>
      <c r="D479" s="347"/>
      <c r="E479" s="348"/>
      <c r="F479" s="348"/>
      <c r="G479" s="348"/>
      <c r="H479" s="348"/>
      <c r="I479" s="433"/>
      <c r="J479" s="439"/>
      <c r="K479" s="405"/>
      <c r="L479" s="384"/>
      <c r="P479" s="447"/>
      <c r="R479" s="448"/>
    </row>
    <row r="480" spans="1:18">
      <c r="A480" s="466" t="s">
        <v>26</v>
      </c>
      <c r="B480" s="468" t="s">
        <v>311</v>
      </c>
      <c r="C480" s="470" t="s">
        <v>27</v>
      </c>
      <c r="D480" s="468" t="s">
        <v>312</v>
      </c>
      <c r="E480" s="472" t="s">
        <v>28</v>
      </c>
      <c r="F480" s="474" t="s">
        <v>29</v>
      </c>
      <c r="G480" s="476"/>
      <c r="H480" s="460" t="s">
        <v>174</v>
      </c>
      <c r="I480" s="462" t="s">
        <v>30</v>
      </c>
      <c r="J480" s="464" t="s">
        <v>313</v>
      </c>
      <c r="K480" s="399"/>
      <c r="L480" s="384"/>
      <c r="P480" s="447"/>
      <c r="R480" s="448"/>
    </row>
    <row r="481" spans="1:18">
      <c r="A481" s="467"/>
      <c r="B481" s="469"/>
      <c r="C481" s="471"/>
      <c r="D481" s="469"/>
      <c r="E481" s="473"/>
      <c r="F481" s="343" t="s">
        <v>176</v>
      </c>
      <c r="G481" s="343" t="s">
        <v>305</v>
      </c>
      <c r="H481" s="461"/>
      <c r="I481" s="463"/>
      <c r="J481" s="465"/>
      <c r="K481" s="401"/>
      <c r="L481" s="384"/>
      <c r="P481" s="447"/>
      <c r="R481" s="448"/>
    </row>
    <row r="482" spans="1:18">
      <c r="A482" s="319"/>
      <c r="B482" s="320"/>
      <c r="C482" s="320"/>
      <c r="D482" s="321" t="s">
        <v>177</v>
      </c>
      <c r="E482" s="322" t="s">
        <v>178</v>
      </c>
      <c r="F482" s="322" t="s">
        <v>172</v>
      </c>
      <c r="G482" s="322" t="s">
        <v>178</v>
      </c>
      <c r="H482" s="322" t="s">
        <v>178</v>
      </c>
      <c r="I482" s="402" t="s">
        <v>31</v>
      </c>
      <c r="J482" s="403" t="s">
        <v>175</v>
      </c>
      <c r="K482" s="393"/>
      <c r="L482" s="384"/>
      <c r="P482" s="447"/>
      <c r="R482" s="448"/>
    </row>
    <row r="483" spans="1:18" ht="14.25" customHeight="1">
      <c r="A483" s="323" t="s">
        <v>300</v>
      </c>
      <c r="B483" s="324" t="s">
        <v>1755</v>
      </c>
      <c r="C483" s="325" t="s">
        <v>189</v>
      </c>
      <c r="D483" s="324" t="s">
        <v>1756</v>
      </c>
      <c r="E483" s="327">
        <v>279000000</v>
      </c>
      <c r="F483" s="327">
        <v>12149863</v>
      </c>
      <c r="G483" s="327">
        <v>136540924</v>
      </c>
      <c r="H483" s="327">
        <v>142459076</v>
      </c>
      <c r="I483" s="355">
        <v>1.9</v>
      </c>
      <c r="J483" s="356" t="s">
        <v>1735</v>
      </c>
      <c r="K483" s="393"/>
      <c r="L483" s="440"/>
      <c r="N483" s="353"/>
      <c r="O483" s="353"/>
      <c r="P483" s="447"/>
      <c r="Q483" s="342"/>
      <c r="R483" s="448"/>
    </row>
    <row r="484" spans="1:18" ht="14.25" customHeight="1">
      <c r="A484" s="328" t="s">
        <v>182</v>
      </c>
      <c r="B484" s="324">
        <v>17</v>
      </c>
      <c r="C484" s="325" t="s">
        <v>189</v>
      </c>
      <c r="D484" s="324" t="s">
        <v>62</v>
      </c>
      <c r="E484" s="327">
        <v>6488000000</v>
      </c>
      <c r="F484" s="327">
        <v>279644113</v>
      </c>
      <c r="G484" s="327">
        <v>3014922395</v>
      </c>
      <c r="H484" s="327">
        <v>3473077605</v>
      </c>
      <c r="I484" s="355">
        <v>2</v>
      </c>
      <c r="J484" s="356" t="s">
        <v>1735</v>
      </c>
      <c r="K484" s="393"/>
      <c r="L484" s="440"/>
      <c r="N484" s="344"/>
      <c r="O484" s="344"/>
      <c r="P484" s="447"/>
      <c r="Q484" s="342"/>
      <c r="R484" s="448"/>
    </row>
    <row r="485" spans="1:18" ht="14.25" customHeight="1">
      <c r="A485" s="328"/>
      <c r="B485" s="324">
        <v>18</v>
      </c>
      <c r="C485" s="325" t="s">
        <v>189</v>
      </c>
      <c r="D485" s="326" t="s">
        <v>673</v>
      </c>
      <c r="E485" s="327">
        <v>803000000</v>
      </c>
      <c r="F485" s="327">
        <v>33865179</v>
      </c>
      <c r="G485" s="327">
        <v>336302522</v>
      </c>
      <c r="H485" s="327">
        <v>466697478</v>
      </c>
      <c r="I485" s="355">
        <v>2.1</v>
      </c>
      <c r="J485" s="356" t="s">
        <v>1734</v>
      </c>
      <c r="K485" s="393"/>
      <c r="L485" s="440"/>
      <c r="N485" s="342"/>
      <c r="O485" s="342"/>
      <c r="P485" s="447"/>
      <c r="Q485" s="342"/>
      <c r="R485" s="448"/>
    </row>
    <row r="486" spans="1:18" ht="14.25" customHeight="1">
      <c r="A486" s="328"/>
      <c r="B486" s="324">
        <v>18</v>
      </c>
      <c r="C486" s="325" t="s">
        <v>189</v>
      </c>
      <c r="D486" s="326" t="s">
        <v>673</v>
      </c>
      <c r="E486" s="327">
        <v>3571000000</v>
      </c>
      <c r="F486" s="327">
        <v>150600940</v>
      </c>
      <c r="G486" s="327">
        <v>1495562022</v>
      </c>
      <c r="H486" s="327">
        <v>2075437978</v>
      </c>
      <c r="I486" s="355">
        <v>2.1</v>
      </c>
      <c r="J486" s="356" t="s">
        <v>1734</v>
      </c>
      <c r="K486" s="393"/>
      <c r="L486" s="440"/>
      <c r="N486" s="344"/>
      <c r="O486" s="344"/>
      <c r="P486" s="447"/>
      <c r="Q486" s="342"/>
      <c r="R486" s="448"/>
    </row>
    <row r="487" spans="1:18" ht="14.25" customHeight="1">
      <c r="A487" s="328"/>
      <c r="B487" s="324">
        <v>18</v>
      </c>
      <c r="C487" s="325" t="s">
        <v>164</v>
      </c>
      <c r="D487" s="326" t="s">
        <v>675</v>
      </c>
      <c r="E487" s="327">
        <v>1940000000</v>
      </c>
      <c r="F487" s="327">
        <v>73586777</v>
      </c>
      <c r="G487" s="327">
        <v>730762972</v>
      </c>
      <c r="H487" s="327">
        <v>1209237028</v>
      </c>
      <c r="I487" s="355">
        <v>2.1</v>
      </c>
      <c r="J487" s="356" t="s">
        <v>1732</v>
      </c>
      <c r="K487" s="393"/>
      <c r="L487" s="440"/>
      <c r="N487" s="448"/>
      <c r="O487" s="448"/>
      <c r="P487" s="447"/>
      <c r="Q487" s="342"/>
      <c r="R487" s="448"/>
    </row>
    <row r="488" spans="1:18" ht="14.25" customHeight="1">
      <c r="A488" s="328"/>
      <c r="B488" s="324">
        <v>18</v>
      </c>
      <c r="C488" s="325" t="s">
        <v>164</v>
      </c>
      <c r="D488" s="326" t="s">
        <v>676</v>
      </c>
      <c r="E488" s="327">
        <v>4606000000</v>
      </c>
      <c r="F488" s="327">
        <v>172896289</v>
      </c>
      <c r="G488" s="327">
        <v>1647184967</v>
      </c>
      <c r="H488" s="327">
        <v>2958815033</v>
      </c>
      <c r="I488" s="355">
        <v>2.1</v>
      </c>
      <c r="J488" s="356" t="s">
        <v>1731</v>
      </c>
      <c r="K488" s="393"/>
      <c r="L488" s="440"/>
      <c r="N488" s="344"/>
      <c r="O488" s="344"/>
      <c r="P488" s="447"/>
      <c r="Q488" s="342"/>
      <c r="R488" s="448"/>
    </row>
    <row r="489" spans="1:18" ht="14.25" customHeight="1">
      <c r="A489" s="328"/>
      <c r="B489" s="324">
        <v>18</v>
      </c>
      <c r="C489" s="325" t="s">
        <v>495</v>
      </c>
      <c r="D489" s="326" t="s">
        <v>678</v>
      </c>
      <c r="E489" s="327">
        <v>38000000</v>
      </c>
      <c r="F489" s="327">
        <v>1585934</v>
      </c>
      <c r="G489" s="327">
        <v>15109212</v>
      </c>
      <c r="H489" s="327">
        <v>22890788</v>
      </c>
      <c r="I489" s="355">
        <v>2.1</v>
      </c>
      <c r="J489" s="356" t="s">
        <v>1733</v>
      </c>
      <c r="K489" s="393"/>
      <c r="L489" s="440"/>
      <c r="N489" s="351"/>
      <c r="O489" s="351"/>
      <c r="P489" s="447"/>
      <c r="Q489" s="342"/>
      <c r="R489" s="448"/>
    </row>
    <row r="490" spans="1:18" ht="14.25" customHeight="1">
      <c r="A490" s="328"/>
      <c r="B490" s="324">
        <v>19</v>
      </c>
      <c r="C490" s="325" t="s">
        <v>495</v>
      </c>
      <c r="D490" s="326" t="s">
        <v>632</v>
      </c>
      <c r="E490" s="327">
        <v>1139000000</v>
      </c>
      <c r="F490" s="327">
        <v>47110014</v>
      </c>
      <c r="G490" s="327">
        <v>430525082</v>
      </c>
      <c r="H490" s="327">
        <v>708474918</v>
      </c>
      <c r="I490" s="355">
        <v>2.0499999999999998</v>
      </c>
      <c r="J490" s="356" t="s">
        <v>1733</v>
      </c>
      <c r="K490" s="393"/>
      <c r="L490" s="440"/>
      <c r="N490" s="351"/>
      <c r="O490" s="351"/>
      <c r="P490" s="447"/>
      <c r="Q490" s="342"/>
      <c r="R490" s="448"/>
    </row>
    <row r="491" spans="1:18" ht="14.25" customHeight="1">
      <c r="A491" s="328"/>
      <c r="B491" s="324">
        <v>19</v>
      </c>
      <c r="C491" s="325" t="s">
        <v>164</v>
      </c>
      <c r="D491" s="326" t="s">
        <v>679</v>
      </c>
      <c r="E491" s="327">
        <v>1099000000</v>
      </c>
      <c r="F491" s="327">
        <v>40764585</v>
      </c>
      <c r="G491" s="327">
        <v>357832897</v>
      </c>
      <c r="H491" s="327">
        <v>741167103</v>
      </c>
      <c r="I491" s="355">
        <v>1.9</v>
      </c>
      <c r="J491" s="356" t="s">
        <v>1730</v>
      </c>
      <c r="K491" s="393"/>
      <c r="L491" s="440"/>
      <c r="N491" s="367"/>
      <c r="O491" s="367"/>
      <c r="P491" s="447"/>
      <c r="Q491" s="342"/>
      <c r="R491" s="448"/>
    </row>
    <row r="492" spans="1:18" ht="14.25" customHeight="1">
      <c r="A492" s="328"/>
      <c r="B492" s="324">
        <v>20</v>
      </c>
      <c r="C492" s="352" t="s">
        <v>695</v>
      </c>
      <c r="D492" s="326" t="s">
        <v>681</v>
      </c>
      <c r="E492" s="327">
        <v>32000000</v>
      </c>
      <c r="F492" s="327">
        <v>1321000</v>
      </c>
      <c r="G492" s="327">
        <v>11643134</v>
      </c>
      <c r="H492" s="327">
        <v>20356866</v>
      </c>
      <c r="I492" s="355">
        <v>1.8</v>
      </c>
      <c r="J492" s="356" t="s">
        <v>1732</v>
      </c>
      <c r="K492" s="393"/>
      <c r="L492" s="440"/>
      <c r="N492" s="353"/>
      <c r="O492" s="353"/>
      <c r="P492" s="447"/>
      <c r="Q492" s="342"/>
      <c r="R492" s="448"/>
    </row>
    <row r="493" spans="1:18" ht="14.25" customHeight="1">
      <c r="A493" s="328"/>
      <c r="B493" s="324">
        <v>20</v>
      </c>
      <c r="C493" s="352" t="s">
        <v>695</v>
      </c>
      <c r="D493" s="326" t="s">
        <v>624</v>
      </c>
      <c r="E493" s="327">
        <v>1232000000</v>
      </c>
      <c r="F493" s="327">
        <v>50215018</v>
      </c>
      <c r="G493" s="327">
        <v>419510762</v>
      </c>
      <c r="H493" s="327">
        <v>812489238</v>
      </c>
      <c r="I493" s="355">
        <v>1.9</v>
      </c>
      <c r="J493" s="356" t="s">
        <v>1732</v>
      </c>
      <c r="K493" s="393"/>
      <c r="L493" s="440"/>
      <c r="N493" s="353"/>
      <c r="O493" s="353"/>
      <c r="P493" s="447"/>
      <c r="Q493" s="342"/>
      <c r="R493" s="448"/>
    </row>
    <row r="494" spans="1:18" ht="14.25" customHeight="1">
      <c r="A494" s="328"/>
      <c r="B494" s="324">
        <v>20</v>
      </c>
      <c r="C494" s="325" t="s">
        <v>164</v>
      </c>
      <c r="D494" s="326" t="s">
        <v>871</v>
      </c>
      <c r="E494" s="327">
        <v>1184000000</v>
      </c>
      <c r="F494" s="327">
        <v>42625371</v>
      </c>
      <c r="G494" s="327">
        <v>335449568</v>
      </c>
      <c r="H494" s="327">
        <v>848550432</v>
      </c>
      <c r="I494" s="355">
        <v>2.1</v>
      </c>
      <c r="J494" s="356" t="s">
        <v>1729</v>
      </c>
      <c r="K494" s="393"/>
      <c r="L494" s="440"/>
      <c r="N494" s="353"/>
      <c r="O494" s="353"/>
      <c r="P494" s="447"/>
      <c r="Q494" s="342"/>
      <c r="R494" s="448"/>
    </row>
    <row r="495" spans="1:18" ht="14.25" customHeight="1">
      <c r="A495" s="365"/>
      <c r="B495" s="324">
        <v>21</v>
      </c>
      <c r="C495" s="352" t="s">
        <v>698</v>
      </c>
      <c r="D495" s="326" t="s">
        <v>808</v>
      </c>
      <c r="E495" s="327">
        <v>495000000</v>
      </c>
      <c r="F495" s="327">
        <v>17635402</v>
      </c>
      <c r="G495" s="327">
        <v>131286030</v>
      </c>
      <c r="H495" s="327">
        <v>363713970</v>
      </c>
      <c r="I495" s="355">
        <v>2.1</v>
      </c>
      <c r="J495" s="356" t="s">
        <v>1729</v>
      </c>
      <c r="K495" s="393"/>
      <c r="L495" s="440"/>
      <c r="N495" s="353"/>
      <c r="O495" s="353"/>
      <c r="P495" s="447"/>
      <c r="Q495" s="342"/>
      <c r="R495" s="448"/>
    </row>
    <row r="496" spans="1:18" ht="14.25" customHeight="1">
      <c r="A496" s="365"/>
      <c r="B496" s="324">
        <v>21</v>
      </c>
      <c r="C496" s="352" t="s">
        <v>698</v>
      </c>
      <c r="D496" s="326" t="s">
        <v>1266</v>
      </c>
      <c r="E496" s="327">
        <v>76000000</v>
      </c>
      <c r="F496" s="327">
        <v>2688854</v>
      </c>
      <c r="G496" s="327">
        <v>17796638</v>
      </c>
      <c r="H496" s="327">
        <v>58203362</v>
      </c>
      <c r="I496" s="355">
        <v>1.9</v>
      </c>
      <c r="J496" s="356" t="s">
        <v>1728</v>
      </c>
      <c r="K496" s="393"/>
      <c r="L496" s="440"/>
      <c r="N496" s="353"/>
      <c r="O496" s="353"/>
      <c r="P496" s="447"/>
      <c r="Q496" s="342"/>
      <c r="R496" s="448"/>
    </row>
    <row r="497" spans="1:18" ht="14.25" customHeight="1">
      <c r="A497" s="365"/>
      <c r="B497" s="324">
        <v>21</v>
      </c>
      <c r="C497" s="352" t="s">
        <v>886</v>
      </c>
      <c r="D497" s="326" t="s">
        <v>887</v>
      </c>
      <c r="E497" s="327">
        <v>999000000</v>
      </c>
      <c r="F497" s="327">
        <v>35344286</v>
      </c>
      <c r="G497" s="327">
        <v>233932129</v>
      </c>
      <c r="H497" s="327">
        <v>765067871</v>
      </c>
      <c r="I497" s="355">
        <v>1.9</v>
      </c>
      <c r="J497" s="356" t="s">
        <v>1728</v>
      </c>
      <c r="K497" s="393"/>
      <c r="L497" s="440"/>
      <c r="N497" s="353"/>
      <c r="O497" s="353"/>
      <c r="P497" s="447"/>
      <c r="Q497" s="342"/>
      <c r="R497" s="448"/>
    </row>
    <row r="498" spans="1:18" ht="14.25" customHeight="1">
      <c r="A498" s="365"/>
      <c r="B498" s="324">
        <v>22</v>
      </c>
      <c r="C498" s="352" t="s">
        <v>886</v>
      </c>
      <c r="D498" s="326" t="s">
        <v>887</v>
      </c>
      <c r="E498" s="327">
        <v>1019000000</v>
      </c>
      <c r="F498" s="327">
        <v>36051879</v>
      </c>
      <c r="G498" s="327">
        <v>238615455</v>
      </c>
      <c r="H498" s="327">
        <v>780384545</v>
      </c>
      <c r="I498" s="355">
        <v>1.9</v>
      </c>
      <c r="J498" s="356" t="s">
        <v>1728</v>
      </c>
      <c r="K498" s="393"/>
      <c r="L498" s="440"/>
      <c r="N498" s="353"/>
      <c r="O498" s="353"/>
      <c r="P498" s="447"/>
      <c r="Q498" s="342"/>
      <c r="R498" s="448"/>
    </row>
    <row r="499" spans="1:18" ht="14.25" customHeight="1">
      <c r="A499" s="368"/>
      <c r="B499" s="324">
        <v>23</v>
      </c>
      <c r="C499" s="352" t="s">
        <v>164</v>
      </c>
      <c r="D499" s="326" t="s">
        <v>1339</v>
      </c>
      <c r="E499" s="327">
        <v>2000000000</v>
      </c>
      <c r="F499" s="327">
        <v>70533658</v>
      </c>
      <c r="G499" s="327">
        <v>405835118</v>
      </c>
      <c r="H499" s="327">
        <v>1594164882</v>
      </c>
      <c r="I499" s="355">
        <v>1.7</v>
      </c>
      <c r="J499" s="356" t="s">
        <v>1727</v>
      </c>
      <c r="K499" s="393"/>
      <c r="L499" s="440"/>
      <c r="N499" s="367"/>
      <c r="O499" s="367"/>
      <c r="P499" s="447"/>
      <c r="Q499" s="342"/>
      <c r="R499" s="448"/>
    </row>
    <row r="500" spans="1:18" ht="14.25" customHeight="1">
      <c r="A500" s="365"/>
      <c r="B500" s="324">
        <v>24</v>
      </c>
      <c r="C500" s="352" t="s">
        <v>164</v>
      </c>
      <c r="D500" s="326" t="s">
        <v>1764</v>
      </c>
      <c r="E500" s="327">
        <v>200000000</v>
      </c>
      <c r="F500" s="327">
        <v>7057491</v>
      </c>
      <c r="G500" s="327">
        <v>34256037</v>
      </c>
      <c r="H500" s="327">
        <v>165743963</v>
      </c>
      <c r="I500" s="355">
        <v>1.5</v>
      </c>
      <c r="J500" s="356" t="s">
        <v>1726</v>
      </c>
      <c r="K500" s="393"/>
      <c r="L500" s="440"/>
      <c r="N500" s="369"/>
      <c r="O500" s="369"/>
      <c r="P500" s="447"/>
      <c r="Q500" s="342"/>
      <c r="R500" s="448"/>
    </row>
    <row r="501" spans="1:18" ht="14.25" customHeight="1">
      <c r="A501" s="365"/>
      <c r="B501" s="324">
        <v>29</v>
      </c>
      <c r="C501" s="352" t="s">
        <v>345</v>
      </c>
      <c r="D501" s="326" t="s">
        <v>1719</v>
      </c>
      <c r="E501" s="327">
        <v>800000000</v>
      </c>
      <c r="F501" s="327">
        <v>0</v>
      </c>
      <c r="G501" s="327">
        <v>0</v>
      </c>
      <c r="H501" s="327">
        <v>800000000</v>
      </c>
      <c r="I501" s="355">
        <v>0.6</v>
      </c>
      <c r="J501" s="356" t="s">
        <v>1724</v>
      </c>
      <c r="K501" s="393"/>
      <c r="L501" s="440"/>
      <c r="N501" s="440"/>
      <c r="O501" s="440"/>
      <c r="P501" s="447"/>
      <c r="Q501" s="342"/>
      <c r="R501" s="448"/>
    </row>
    <row r="502" spans="1:18" ht="14.25" customHeight="1">
      <c r="A502" s="365"/>
      <c r="B502" s="324">
        <v>30</v>
      </c>
      <c r="C502" s="352" t="s">
        <v>345</v>
      </c>
      <c r="D502" s="326" t="s">
        <v>1720</v>
      </c>
      <c r="E502" s="327">
        <v>1000000000</v>
      </c>
      <c r="F502" s="327">
        <v>0</v>
      </c>
      <c r="G502" s="327">
        <v>0</v>
      </c>
      <c r="H502" s="327">
        <v>1000000000</v>
      </c>
      <c r="I502" s="355">
        <v>0.5</v>
      </c>
      <c r="J502" s="356" t="s">
        <v>1723</v>
      </c>
      <c r="K502" s="393"/>
      <c r="L502" s="440"/>
      <c r="N502" s="440"/>
      <c r="O502" s="440"/>
      <c r="P502" s="447"/>
      <c r="Q502" s="342"/>
      <c r="R502" s="448"/>
    </row>
    <row r="503" spans="1:18" ht="14.25" customHeight="1">
      <c r="A503" s="365"/>
      <c r="B503" s="324" t="s">
        <v>1752</v>
      </c>
      <c r="C503" s="352" t="s">
        <v>345</v>
      </c>
      <c r="D503" s="326" t="s">
        <v>1750</v>
      </c>
      <c r="E503" s="327">
        <v>600000000</v>
      </c>
      <c r="F503" s="327">
        <v>0</v>
      </c>
      <c r="G503" s="327">
        <v>0</v>
      </c>
      <c r="H503" s="327">
        <v>600000000</v>
      </c>
      <c r="I503" s="355">
        <v>0.3</v>
      </c>
      <c r="J503" s="356" t="s">
        <v>1751</v>
      </c>
      <c r="K503" s="393"/>
      <c r="L503" s="440"/>
      <c r="N503" s="440"/>
      <c r="O503" s="440"/>
      <c r="P503" s="447"/>
      <c r="Q503" s="342"/>
      <c r="R503" s="448"/>
    </row>
    <row r="504" spans="1:18" ht="14.25" customHeight="1">
      <c r="A504" s="357" t="s">
        <v>376</v>
      </c>
      <c r="B504" s="358" t="s">
        <v>173</v>
      </c>
      <c r="C504" s="359" t="s">
        <v>173</v>
      </c>
      <c r="D504" s="360" t="s">
        <v>173</v>
      </c>
      <c r="E504" s="361">
        <v>111134194000</v>
      </c>
      <c r="F504" s="361">
        <v>4147392768</v>
      </c>
      <c r="G504" s="361">
        <v>75362395813</v>
      </c>
      <c r="H504" s="361">
        <v>35771798187</v>
      </c>
      <c r="I504" s="412"/>
      <c r="J504" s="413" t="s">
        <v>173</v>
      </c>
      <c r="K504" s="393"/>
      <c r="L504" s="384"/>
      <c r="N504" s="440"/>
      <c r="O504" s="440"/>
      <c r="P504" s="447"/>
      <c r="Q504" s="342"/>
      <c r="R504" s="448"/>
    </row>
    <row r="505" spans="1:18" ht="14.25" customHeight="1">
      <c r="A505" s="323" t="s">
        <v>873</v>
      </c>
      <c r="B505" s="326" t="s">
        <v>682</v>
      </c>
      <c r="C505" s="325" t="s">
        <v>185</v>
      </c>
      <c r="D505" s="324" t="s">
        <v>683</v>
      </c>
      <c r="E505" s="327">
        <v>598000000</v>
      </c>
      <c r="F505" s="327">
        <v>29286880</v>
      </c>
      <c r="G505" s="327">
        <v>472358615</v>
      </c>
      <c r="H505" s="327">
        <v>125641385</v>
      </c>
      <c r="I505" s="355">
        <v>2.8</v>
      </c>
      <c r="J505" s="404" t="s">
        <v>1742</v>
      </c>
      <c r="K505" s="405"/>
      <c r="L505" s="384"/>
      <c r="N505" s="344"/>
      <c r="O505" s="344"/>
      <c r="P505" s="447"/>
      <c r="Q505" s="342"/>
      <c r="R505" s="448"/>
    </row>
    <row r="506" spans="1:18" ht="13.15" customHeight="1">
      <c r="A506" s="328" t="s">
        <v>302</v>
      </c>
      <c r="B506" s="326">
        <v>8</v>
      </c>
      <c r="C506" s="325" t="s">
        <v>189</v>
      </c>
      <c r="D506" s="324" t="s">
        <v>111</v>
      </c>
      <c r="E506" s="327">
        <v>490000000</v>
      </c>
      <c r="F506" s="327">
        <v>27005608</v>
      </c>
      <c r="G506" s="327">
        <v>433641103</v>
      </c>
      <c r="H506" s="327">
        <v>56358897</v>
      </c>
      <c r="I506" s="355">
        <v>2.85</v>
      </c>
      <c r="J506" s="404" t="s">
        <v>1744</v>
      </c>
      <c r="K506" s="405"/>
      <c r="L506" s="384"/>
      <c r="N506" s="344"/>
      <c r="O506" s="344"/>
      <c r="P506" s="447"/>
      <c r="R506" s="448"/>
    </row>
    <row r="507" spans="1:18" ht="14.25" customHeight="1">
      <c r="A507" s="357" t="s">
        <v>376</v>
      </c>
      <c r="B507" s="358"/>
      <c r="C507" s="359"/>
      <c r="D507" s="360"/>
      <c r="E507" s="361">
        <v>1088000000</v>
      </c>
      <c r="F507" s="361">
        <v>56292488</v>
      </c>
      <c r="G507" s="361">
        <v>905999718</v>
      </c>
      <c r="H507" s="361">
        <v>182000282</v>
      </c>
      <c r="I507" s="412"/>
      <c r="J507" s="413"/>
      <c r="K507" s="393"/>
      <c r="L507" s="384"/>
      <c r="P507" s="447"/>
      <c r="Q507" s="342"/>
      <c r="R507" s="448"/>
    </row>
    <row r="508" spans="1:18" ht="14.25" customHeight="1">
      <c r="A508" s="370" t="s">
        <v>702</v>
      </c>
      <c r="B508" s="326" t="s">
        <v>317</v>
      </c>
      <c r="C508" s="325" t="s">
        <v>266</v>
      </c>
      <c r="D508" s="324" t="s">
        <v>684</v>
      </c>
      <c r="E508" s="327">
        <v>509000000</v>
      </c>
      <c r="F508" s="327">
        <v>0</v>
      </c>
      <c r="G508" s="327">
        <v>509000000</v>
      </c>
      <c r="H508" s="327">
        <v>0</v>
      </c>
      <c r="I508" s="355">
        <v>1.7</v>
      </c>
      <c r="J508" s="404" t="s">
        <v>61</v>
      </c>
      <c r="K508" s="405"/>
      <c r="L508" s="384"/>
      <c r="P508" s="447"/>
      <c r="Q508" s="342"/>
      <c r="R508" s="448"/>
    </row>
    <row r="509" spans="1:18" ht="13.9" customHeight="1">
      <c r="A509" s="371" t="s">
        <v>703</v>
      </c>
      <c r="B509" s="324">
        <v>13</v>
      </c>
      <c r="C509" s="325" t="s">
        <v>603</v>
      </c>
      <c r="D509" s="324" t="s">
        <v>51</v>
      </c>
      <c r="E509" s="327">
        <v>466000000</v>
      </c>
      <c r="F509" s="327">
        <v>0</v>
      </c>
      <c r="G509" s="327">
        <v>466000000</v>
      </c>
      <c r="H509" s="327">
        <v>0</v>
      </c>
      <c r="I509" s="355">
        <v>1.2</v>
      </c>
      <c r="J509" s="404" t="s">
        <v>685</v>
      </c>
      <c r="K509" s="405"/>
      <c r="L509" s="384"/>
      <c r="P509" s="447"/>
      <c r="R509" s="448"/>
    </row>
    <row r="510" spans="1:18" ht="14.25" customHeight="1">
      <c r="A510" s="357" t="s">
        <v>376</v>
      </c>
      <c r="B510" s="358" t="s">
        <v>173</v>
      </c>
      <c r="C510" s="359" t="s">
        <v>173</v>
      </c>
      <c r="D510" s="360" t="s">
        <v>173</v>
      </c>
      <c r="E510" s="361">
        <v>975000000</v>
      </c>
      <c r="F510" s="361">
        <v>0</v>
      </c>
      <c r="G510" s="361">
        <v>975000000</v>
      </c>
      <c r="H510" s="361">
        <v>0</v>
      </c>
      <c r="I510" s="412"/>
      <c r="J510" s="413" t="s">
        <v>173</v>
      </c>
      <c r="K510" s="393"/>
      <c r="L510" s="384"/>
      <c r="P510" s="447"/>
      <c r="R510" s="448"/>
    </row>
    <row r="511" spans="1:18" ht="14.25" customHeight="1">
      <c r="A511" s="372" t="s">
        <v>704</v>
      </c>
      <c r="B511" s="326" t="s">
        <v>318</v>
      </c>
      <c r="C511" s="325" t="s">
        <v>163</v>
      </c>
      <c r="D511" s="324" t="s">
        <v>307</v>
      </c>
      <c r="E511" s="327">
        <v>584000000</v>
      </c>
      <c r="F511" s="327">
        <v>24149692</v>
      </c>
      <c r="G511" s="327">
        <v>334321664</v>
      </c>
      <c r="H511" s="327">
        <v>249678336</v>
      </c>
      <c r="I511" s="355">
        <v>1.6</v>
      </c>
      <c r="J511" s="404" t="s">
        <v>1736</v>
      </c>
      <c r="K511" s="405"/>
      <c r="L511" s="384"/>
      <c r="N511" s="344"/>
      <c r="O511" s="344"/>
      <c r="P511" s="447"/>
      <c r="R511" s="448"/>
    </row>
    <row r="512" spans="1:18" ht="13.9" customHeight="1">
      <c r="A512" s="373" t="s">
        <v>302</v>
      </c>
      <c r="B512" s="326">
        <v>14</v>
      </c>
      <c r="C512" s="325" t="s">
        <v>163</v>
      </c>
      <c r="D512" s="324" t="s">
        <v>53</v>
      </c>
      <c r="E512" s="327">
        <v>341000000</v>
      </c>
      <c r="F512" s="327">
        <v>13918461</v>
      </c>
      <c r="G512" s="327">
        <v>192260815</v>
      </c>
      <c r="H512" s="327">
        <v>148739185</v>
      </c>
      <c r="I512" s="355">
        <v>1.2</v>
      </c>
      <c r="J512" s="404" t="s">
        <v>1736</v>
      </c>
      <c r="K512" s="405"/>
      <c r="L512" s="384"/>
      <c r="N512" s="344"/>
      <c r="O512" s="344"/>
      <c r="P512" s="447"/>
      <c r="R512" s="448"/>
    </row>
    <row r="513" spans="1:18" ht="14.25" customHeight="1">
      <c r="A513" s="357" t="s">
        <v>376</v>
      </c>
      <c r="B513" s="358" t="s">
        <v>173</v>
      </c>
      <c r="C513" s="359" t="s">
        <v>173</v>
      </c>
      <c r="D513" s="360" t="s">
        <v>173</v>
      </c>
      <c r="E513" s="361">
        <v>925000000</v>
      </c>
      <c r="F513" s="361">
        <v>38068153</v>
      </c>
      <c r="G513" s="361">
        <v>526582479</v>
      </c>
      <c r="H513" s="361">
        <v>398417521</v>
      </c>
      <c r="I513" s="450"/>
      <c r="J513" s="413" t="s">
        <v>173</v>
      </c>
      <c r="K513" s="393"/>
      <c r="L513" s="384"/>
      <c r="P513" s="447"/>
      <c r="Q513" s="342"/>
      <c r="R513" s="448"/>
    </row>
    <row r="514" spans="1:18" ht="14.25" customHeight="1">
      <c r="A514" s="374" t="s">
        <v>705</v>
      </c>
      <c r="B514" s="326" t="s">
        <v>318</v>
      </c>
      <c r="C514" s="325" t="s">
        <v>189</v>
      </c>
      <c r="D514" s="326" t="s">
        <v>308</v>
      </c>
      <c r="E514" s="327">
        <v>329000000</v>
      </c>
      <c r="F514" s="327">
        <v>0</v>
      </c>
      <c r="G514" s="327">
        <v>329000000</v>
      </c>
      <c r="H514" s="327">
        <v>0</v>
      </c>
      <c r="I514" s="355">
        <v>1</v>
      </c>
      <c r="J514" s="404" t="s">
        <v>61</v>
      </c>
      <c r="K514" s="405"/>
      <c r="L514" s="440"/>
      <c r="P514" s="447"/>
      <c r="Q514" s="342"/>
      <c r="R514" s="448"/>
    </row>
    <row r="515" spans="1:18" ht="13.9" customHeight="1">
      <c r="A515" s="375" t="s">
        <v>166</v>
      </c>
      <c r="B515" s="326">
        <v>13</v>
      </c>
      <c r="C515" s="325" t="s">
        <v>603</v>
      </c>
      <c r="D515" s="324" t="s">
        <v>51</v>
      </c>
      <c r="E515" s="327">
        <v>728000000</v>
      </c>
      <c r="F515" s="327">
        <v>34186010</v>
      </c>
      <c r="G515" s="327">
        <v>466560363</v>
      </c>
      <c r="H515" s="327">
        <v>261439637</v>
      </c>
      <c r="I515" s="355">
        <v>2.2000000000000002</v>
      </c>
      <c r="J515" s="404" t="s">
        <v>1739</v>
      </c>
      <c r="K515" s="405"/>
      <c r="L515" s="440"/>
      <c r="N515" s="344"/>
      <c r="O515" s="344"/>
      <c r="P515" s="447"/>
      <c r="R515" s="448"/>
    </row>
    <row r="516" spans="1:18" ht="14.25" customHeight="1">
      <c r="A516" s="375"/>
      <c r="B516" s="326">
        <v>13</v>
      </c>
      <c r="C516" s="325" t="s">
        <v>603</v>
      </c>
      <c r="D516" s="324" t="s">
        <v>605</v>
      </c>
      <c r="E516" s="327">
        <v>59000000</v>
      </c>
      <c r="F516" s="327">
        <v>2719300</v>
      </c>
      <c r="G516" s="327">
        <v>36880281</v>
      </c>
      <c r="H516" s="327">
        <v>22119719</v>
      </c>
      <c r="I516" s="355">
        <v>1.9</v>
      </c>
      <c r="J516" s="404" t="s">
        <v>1738</v>
      </c>
      <c r="K516" s="405"/>
      <c r="L516" s="440"/>
      <c r="N516" s="344"/>
      <c r="O516" s="344"/>
      <c r="P516" s="447"/>
      <c r="Q516" s="342"/>
      <c r="R516" s="448"/>
    </row>
    <row r="517" spans="1:18" ht="14.25" customHeight="1">
      <c r="A517" s="375"/>
      <c r="B517" s="326">
        <v>14</v>
      </c>
      <c r="C517" s="325" t="s">
        <v>266</v>
      </c>
      <c r="D517" s="324" t="s">
        <v>607</v>
      </c>
      <c r="E517" s="327">
        <v>2500000000</v>
      </c>
      <c r="F517" s="327">
        <v>0</v>
      </c>
      <c r="G517" s="327">
        <v>2500000000</v>
      </c>
      <c r="H517" s="327">
        <v>0</v>
      </c>
      <c r="I517" s="355">
        <v>0.8</v>
      </c>
      <c r="J517" s="404" t="s">
        <v>608</v>
      </c>
      <c r="K517" s="405"/>
      <c r="L517" s="440"/>
      <c r="P517" s="447"/>
      <c r="Q517" s="342"/>
      <c r="R517" s="448"/>
    </row>
    <row r="518" spans="1:18" ht="14.25" customHeight="1">
      <c r="A518" s="375"/>
      <c r="B518" s="326">
        <v>14</v>
      </c>
      <c r="C518" s="325" t="s">
        <v>603</v>
      </c>
      <c r="D518" s="324" t="s">
        <v>609</v>
      </c>
      <c r="E518" s="327">
        <v>530000000</v>
      </c>
      <c r="F518" s="327">
        <v>0</v>
      </c>
      <c r="G518" s="327">
        <v>530000000</v>
      </c>
      <c r="H518" s="327">
        <v>0</v>
      </c>
      <c r="I518" s="355">
        <v>0.6</v>
      </c>
      <c r="J518" s="404" t="s">
        <v>608</v>
      </c>
      <c r="K518" s="405"/>
      <c r="L518" s="440"/>
      <c r="P518" s="447"/>
      <c r="Q518" s="342"/>
      <c r="R518" s="448"/>
    </row>
    <row r="519" spans="1:18" ht="14.25" customHeight="1">
      <c r="A519" s="375"/>
      <c r="B519" s="326">
        <v>15</v>
      </c>
      <c r="C519" s="325" t="s">
        <v>266</v>
      </c>
      <c r="D519" s="324" t="s">
        <v>610</v>
      </c>
      <c r="E519" s="327">
        <v>2000000000</v>
      </c>
      <c r="F519" s="327">
        <v>0</v>
      </c>
      <c r="G519" s="327">
        <v>2000000000</v>
      </c>
      <c r="H519" s="327">
        <v>0</v>
      </c>
      <c r="I519" s="355">
        <v>1.4</v>
      </c>
      <c r="J519" s="404" t="s">
        <v>611</v>
      </c>
      <c r="K519" s="405"/>
      <c r="L519" s="440"/>
      <c r="P519" s="447"/>
      <c r="Q519" s="342"/>
      <c r="R519" s="448"/>
    </row>
    <row r="520" spans="1:18" ht="14.25" customHeight="1">
      <c r="A520" s="375"/>
      <c r="B520" s="326">
        <v>14</v>
      </c>
      <c r="C520" s="325" t="s">
        <v>189</v>
      </c>
      <c r="D520" s="324" t="s">
        <v>304</v>
      </c>
      <c r="E520" s="327">
        <v>70000000</v>
      </c>
      <c r="F520" s="327">
        <v>0</v>
      </c>
      <c r="G520" s="327">
        <v>70000000</v>
      </c>
      <c r="H520" s="327">
        <v>0</v>
      </c>
      <c r="I520" s="355">
        <v>1</v>
      </c>
      <c r="J520" s="404" t="s">
        <v>611</v>
      </c>
      <c r="K520" s="405"/>
      <c r="L520" s="440"/>
      <c r="P520" s="447"/>
      <c r="Q520" s="342"/>
      <c r="R520" s="448"/>
    </row>
    <row r="521" spans="1:18" ht="14.25" customHeight="1">
      <c r="A521" s="375"/>
      <c r="B521" s="326">
        <v>15</v>
      </c>
      <c r="C521" s="325" t="s">
        <v>189</v>
      </c>
      <c r="D521" s="324" t="s">
        <v>612</v>
      </c>
      <c r="E521" s="327">
        <v>989000000</v>
      </c>
      <c r="F521" s="327">
        <v>0</v>
      </c>
      <c r="G521" s="327">
        <v>989000000</v>
      </c>
      <c r="H521" s="327">
        <v>0</v>
      </c>
      <c r="I521" s="355">
        <v>1.1000000000000001</v>
      </c>
      <c r="J521" s="404" t="s">
        <v>267</v>
      </c>
      <c r="K521" s="405"/>
      <c r="L521" s="440"/>
      <c r="P521" s="447"/>
      <c r="Q521" s="342"/>
      <c r="R521" s="448"/>
    </row>
    <row r="522" spans="1:18" ht="14.25" customHeight="1">
      <c r="A522" s="375"/>
      <c r="B522" s="326">
        <v>16</v>
      </c>
      <c r="C522" s="325" t="s">
        <v>266</v>
      </c>
      <c r="D522" s="324" t="s">
        <v>613</v>
      </c>
      <c r="E522" s="327">
        <v>2000000000</v>
      </c>
      <c r="F522" s="327">
        <v>0</v>
      </c>
      <c r="G522" s="327">
        <v>2000000000</v>
      </c>
      <c r="H522" s="327">
        <v>0</v>
      </c>
      <c r="I522" s="355">
        <v>1.3</v>
      </c>
      <c r="J522" s="404" t="s">
        <v>614</v>
      </c>
      <c r="K522" s="405"/>
      <c r="L522" s="440"/>
      <c r="P522" s="447"/>
      <c r="Q522" s="342"/>
      <c r="R522" s="448"/>
    </row>
    <row r="523" spans="1:18" ht="14.25" customHeight="1">
      <c r="A523" s="375"/>
      <c r="B523" s="326">
        <v>17</v>
      </c>
      <c r="C523" s="325" t="s">
        <v>266</v>
      </c>
      <c r="D523" s="324" t="s">
        <v>615</v>
      </c>
      <c r="E523" s="327">
        <v>2000000000</v>
      </c>
      <c r="F523" s="327">
        <v>0</v>
      </c>
      <c r="G523" s="327">
        <v>2000000000</v>
      </c>
      <c r="H523" s="327">
        <v>0</v>
      </c>
      <c r="I523" s="355">
        <v>1.5</v>
      </c>
      <c r="J523" s="404" t="s">
        <v>167</v>
      </c>
      <c r="K523" s="405"/>
      <c r="L523" s="440"/>
      <c r="P523" s="447"/>
      <c r="Q523" s="342"/>
      <c r="R523" s="448"/>
    </row>
    <row r="524" spans="1:18" ht="14.25" customHeight="1">
      <c r="A524" s="375"/>
      <c r="B524" s="326">
        <v>16</v>
      </c>
      <c r="C524" s="325" t="s">
        <v>189</v>
      </c>
      <c r="D524" s="324" t="s">
        <v>616</v>
      </c>
      <c r="E524" s="327">
        <v>255000000</v>
      </c>
      <c r="F524" s="327">
        <v>0</v>
      </c>
      <c r="G524" s="327">
        <v>255000000</v>
      </c>
      <c r="H524" s="327">
        <v>0</v>
      </c>
      <c r="I524" s="355">
        <v>1.2</v>
      </c>
      <c r="J524" s="404" t="s">
        <v>617</v>
      </c>
      <c r="K524" s="405"/>
      <c r="L524" s="440"/>
      <c r="P524" s="447"/>
      <c r="Q524" s="342"/>
      <c r="R524" s="448"/>
    </row>
    <row r="525" spans="1:18" ht="14.25" customHeight="1">
      <c r="A525" s="375"/>
      <c r="B525" s="326">
        <v>18</v>
      </c>
      <c r="C525" s="325" t="s">
        <v>266</v>
      </c>
      <c r="D525" s="326" t="s">
        <v>618</v>
      </c>
      <c r="E525" s="327">
        <v>500000000</v>
      </c>
      <c r="F525" s="327">
        <v>0</v>
      </c>
      <c r="G525" s="327">
        <v>500000000</v>
      </c>
      <c r="H525" s="327">
        <v>0</v>
      </c>
      <c r="I525" s="355">
        <v>1.8</v>
      </c>
      <c r="J525" s="356" t="s">
        <v>619</v>
      </c>
      <c r="K525" s="393"/>
      <c r="L525" s="440"/>
      <c r="P525" s="447"/>
      <c r="Q525" s="342"/>
      <c r="R525" s="448"/>
    </row>
    <row r="526" spans="1:18" ht="14.25" customHeight="1">
      <c r="A526" s="375"/>
      <c r="B526" s="326">
        <v>18</v>
      </c>
      <c r="C526" s="325" t="s">
        <v>189</v>
      </c>
      <c r="D526" s="326" t="s">
        <v>347</v>
      </c>
      <c r="E526" s="327">
        <v>187000000</v>
      </c>
      <c r="F526" s="327">
        <v>0</v>
      </c>
      <c r="G526" s="327">
        <v>187000000</v>
      </c>
      <c r="H526" s="327">
        <v>0</v>
      </c>
      <c r="I526" s="355">
        <v>1.65</v>
      </c>
      <c r="J526" s="356" t="s">
        <v>276</v>
      </c>
      <c r="K526" s="393"/>
      <c r="L526" s="440"/>
      <c r="P526" s="447"/>
      <c r="Q526" s="342"/>
      <c r="R526" s="448"/>
    </row>
    <row r="527" spans="1:18" ht="14.25" customHeight="1">
      <c r="A527" s="375"/>
      <c r="B527" s="326">
        <v>19</v>
      </c>
      <c r="C527" s="325" t="s">
        <v>620</v>
      </c>
      <c r="D527" s="326" t="s">
        <v>621</v>
      </c>
      <c r="E527" s="327">
        <v>2000000000</v>
      </c>
      <c r="F527" s="327">
        <v>0</v>
      </c>
      <c r="G527" s="327">
        <v>2000000000</v>
      </c>
      <c r="H527" s="327">
        <v>0</v>
      </c>
      <c r="I527" s="355">
        <v>1.65</v>
      </c>
      <c r="J527" s="356" t="s">
        <v>622</v>
      </c>
      <c r="K527" s="393"/>
      <c r="L527" s="440"/>
      <c r="P527" s="447"/>
      <c r="Q527" s="342"/>
      <c r="R527" s="448"/>
    </row>
    <row r="528" spans="1:18" ht="14.25" customHeight="1">
      <c r="A528" s="375"/>
      <c r="B528" s="326">
        <v>19</v>
      </c>
      <c r="C528" s="325" t="s">
        <v>189</v>
      </c>
      <c r="D528" s="326" t="s">
        <v>348</v>
      </c>
      <c r="E528" s="327">
        <v>273000000</v>
      </c>
      <c r="F528" s="327">
        <v>0</v>
      </c>
      <c r="G528" s="327">
        <v>273000000</v>
      </c>
      <c r="H528" s="327">
        <v>0</v>
      </c>
      <c r="I528" s="355">
        <v>1.35</v>
      </c>
      <c r="J528" s="356" t="s">
        <v>277</v>
      </c>
      <c r="K528" s="393"/>
      <c r="L528" s="440"/>
      <c r="P528" s="447"/>
      <c r="Q528" s="342"/>
      <c r="R528" s="448"/>
    </row>
    <row r="529" spans="1:18" ht="14.25" customHeight="1">
      <c r="A529" s="375"/>
      <c r="B529" s="326">
        <v>20</v>
      </c>
      <c r="C529" s="325" t="s">
        <v>266</v>
      </c>
      <c r="D529" s="326" t="s">
        <v>623</v>
      </c>
      <c r="E529" s="327">
        <v>2000000000</v>
      </c>
      <c r="F529" s="327">
        <v>0</v>
      </c>
      <c r="G529" s="327">
        <v>2000000000</v>
      </c>
      <c r="H529" s="327">
        <v>0</v>
      </c>
      <c r="I529" s="355">
        <v>1.48</v>
      </c>
      <c r="J529" s="356" t="s">
        <v>280</v>
      </c>
      <c r="K529" s="393"/>
      <c r="L529" s="440"/>
      <c r="P529" s="447"/>
      <c r="Q529" s="342"/>
      <c r="R529" s="448"/>
    </row>
    <row r="530" spans="1:18" ht="14.25" customHeight="1">
      <c r="A530" s="375"/>
      <c r="B530" s="326">
        <v>20</v>
      </c>
      <c r="C530" s="352" t="s">
        <v>695</v>
      </c>
      <c r="D530" s="326" t="s">
        <v>624</v>
      </c>
      <c r="E530" s="327">
        <v>605000000</v>
      </c>
      <c r="F530" s="327">
        <v>0</v>
      </c>
      <c r="G530" s="327">
        <v>605000000</v>
      </c>
      <c r="H530" s="327">
        <v>0</v>
      </c>
      <c r="I530" s="355">
        <v>1</v>
      </c>
      <c r="J530" s="356" t="s">
        <v>280</v>
      </c>
      <c r="K530" s="393"/>
      <c r="L530" s="440"/>
      <c r="P530" s="447"/>
      <c r="Q530" s="342"/>
      <c r="R530" s="448"/>
    </row>
    <row r="531" spans="1:18" ht="14.25" customHeight="1">
      <c r="A531" s="376"/>
      <c r="B531" s="326">
        <v>20</v>
      </c>
      <c r="C531" s="352" t="s">
        <v>695</v>
      </c>
      <c r="D531" s="326" t="s">
        <v>624</v>
      </c>
      <c r="E531" s="327">
        <v>363000000</v>
      </c>
      <c r="F531" s="327">
        <v>0</v>
      </c>
      <c r="G531" s="327">
        <v>363000000</v>
      </c>
      <c r="H531" s="327">
        <v>0</v>
      </c>
      <c r="I531" s="355">
        <v>1</v>
      </c>
      <c r="J531" s="356" t="s">
        <v>689</v>
      </c>
      <c r="K531" s="393"/>
      <c r="L531" s="440"/>
      <c r="P531" s="447"/>
      <c r="Q531" s="342"/>
      <c r="R531" s="448"/>
    </row>
    <row r="532" spans="1:18" ht="14.25" customHeight="1">
      <c r="A532" s="375"/>
      <c r="B532" s="326">
        <v>21</v>
      </c>
      <c r="C532" s="352" t="s">
        <v>698</v>
      </c>
      <c r="D532" s="326" t="s">
        <v>808</v>
      </c>
      <c r="E532" s="327">
        <v>1423000000</v>
      </c>
      <c r="F532" s="327">
        <v>0</v>
      </c>
      <c r="G532" s="327">
        <v>1423000000</v>
      </c>
      <c r="H532" s="327">
        <v>0</v>
      </c>
      <c r="I532" s="355">
        <v>0.9</v>
      </c>
      <c r="J532" s="356" t="s">
        <v>1753</v>
      </c>
      <c r="K532" s="393"/>
      <c r="L532" s="440"/>
      <c r="P532" s="447"/>
      <c r="Q532" s="342"/>
      <c r="R532" s="448"/>
    </row>
    <row r="533" spans="1:18" ht="14.25" customHeight="1">
      <c r="A533" s="375"/>
      <c r="B533" s="326">
        <v>22</v>
      </c>
      <c r="C533" s="352" t="s">
        <v>886</v>
      </c>
      <c r="D533" s="326" t="s">
        <v>1339</v>
      </c>
      <c r="E533" s="327">
        <v>965000000</v>
      </c>
      <c r="F533" s="327">
        <v>0</v>
      </c>
      <c r="G533" s="327">
        <v>965000000</v>
      </c>
      <c r="H533" s="327">
        <v>0</v>
      </c>
      <c r="I533" s="355">
        <v>0.7</v>
      </c>
      <c r="J533" s="356" t="s">
        <v>1747</v>
      </c>
      <c r="K533" s="393"/>
      <c r="L533" s="440"/>
      <c r="N533" s="353"/>
      <c r="O533" s="353"/>
      <c r="P533" s="447"/>
      <c r="Q533" s="342"/>
      <c r="R533" s="448"/>
    </row>
    <row r="534" spans="1:18" ht="14.25" customHeight="1">
      <c r="A534" s="375"/>
      <c r="B534" s="326">
        <v>24</v>
      </c>
      <c r="C534" s="352" t="s">
        <v>886</v>
      </c>
      <c r="D534" s="326" t="s">
        <v>1764</v>
      </c>
      <c r="E534" s="327">
        <v>1800000000</v>
      </c>
      <c r="F534" s="327">
        <v>260235730</v>
      </c>
      <c r="G534" s="327">
        <v>1800000000</v>
      </c>
      <c r="H534" s="327">
        <v>0</v>
      </c>
      <c r="I534" s="355">
        <v>0.4</v>
      </c>
      <c r="J534" s="356" t="s">
        <v>1746</v>
      </c>
      <c r="K534" s="393"/>
      <c r="L534" s="440"/>
      <c r="N534" s="369"/>
      <c r="O534" s="369"/>
      <c r="P534" s="447"/>
      <c r="Q534" s="342"/>
      <c r="R534" s="448"/>
    </row>
    <row r="535" spans="1:18" ht="14.25" customHeight="1">
      <c r="A535" s="377"/>
      <c r="B535" s="326">
        <v>25</v>
      </c>
      <c r="C535" s="352" t="s">
        <v>886</v>
      </c>
      <c r="D535" s="326" t="s">
        <v>1765</v>
      </c>
      <c r="E535" s="327">
        <v>2000000000</v>
      </c>
      <c r="F535" s="327">
        <v>287997668</v>
      </c>
      <c r="G535" s="327">
        <v>1710849188</v>
      </c>
      <c r="H535" s="327">
        <v>289150812</v>
      </c>
      <c r="I535" s="355">
        <v>0.4</v>
      </c>
      <c r="J535" s="356" t="s">
        <v>1745</v>
      </c>
      <c r="K535" s="393"/>
      <c r="L535" s="440"/>
      <c r="N535" s="369"/>
      <c r="O535" s="369"/>
      <c r="P535" s="447"/>
      <c r="Q535" s="342"/>
      <c r="R535" s="448"/>
    </row>
    <row r="536" spans="1:18" ht="14.25" customHeight="1">
      <c r="A536" s="375"/>
      <c r="B536" s="326">
        <v>26</v>
      </c>
      <c r="C536" s="352" t="s">
        <v>345</v>
      </c>
      <c r="D536" s="326" t="s">
        <v>1713</v>
      </c>
      <c r="E536" s="327">
        <v>2000000000</v>
      </c>
      <c r="F536" s="327">
        <v>286566920</v>
      </c>
      <c r="G536" s="327">
        <v>1424282538</v>
      </c>
      <c r="H536" s="327">
        <v>575717462</v>
      </c>
      <c r="I536" s="355">
        <v>0.4</v>
      </c>
      <c r="J536" s="356" t="s">
        <v>1744</v>
      </c>
      <c r="K536" s="393"/>
      <c r="L536" s="440"/>
      <c r="N536" s="367"/>
      <c r="O536" s="367"/>
      <c r="P536" s="447"/>
      <c r="Q536" s="342"/>
      <c r="R536" s="448"/>
    </row>
    <row r="537" spans="1:18" ht="14.25" customHeight="1">
      <c r="A537" s="375"/>
      <c r="B537" s="326">
        <v>27</v>
      </c>
      <c r="C537" s="352" t="s">
        <v>886</v>
      </c>
      <c r="D537" s="326" t="s">
        <v>1716</v>
      </c>
      <c r="E537" s="327">
        <v>2000000000</v>
      </c>
      <c r="F537" s="327">
        <v>285713715</v>
      </c>
      <c r="G537" s="327">
        <v>1141143001</v>
      </c>
      <c r="H537" s="327">
        <v>858856999</v>
      </c>
      <c r="I537" s="355">
        <v>0.1</v>
      </c>
      <c r="J537" s="356" t="s">
        <v>1743</v>
      </c>
      <c r="K537" s="393"/>
      <c r="L537" s="440"/>
      <c r="N537" s="367"/>
      <c r="O537" s="367"/>
      <c r="P537" s="447"/>
      <c r="Q537" s="342"/>
      <c r="R537" s="448"/>
    </row>
    <row r="538" spans="1:18" ht="14.25" customHeight="1">
      <c r="A538" s="375"/>
      <c r="B538" s="326">
        <v>28</v>
      </c>
      <c r="C538" s="352" t="s">
        <v>1717</v>
      </c>
      <c r="D538" s="326" t="s">
        <v>1718</v>
      </c>
      <c r="E538" s="327">
        <v>4000000000</v>
      </c>
      <c r="F538" s="327">
        <v>500000000</v>
      </c>
      <c r="G538" s="327">
        <v>2000000000</v>
      </c>
      <c r="H538" s="327">
        <v>2000000000</v>
      </c>
      <c r="I538" s="355">
        <v>0.3</v>
      </c>
      <c r="J538" s="356" t="s">
        <v>1742</v>
      </c>
      <c r="K538" s="393"/>
      <c r="L538" s="440"/>
      <c r="N538" s="367"/>
      <c r="O538" s="367"/>
      <c r="P538" s="447"/>
      <c r="Q538" s="342"/>
      <c r="R538" s="448"/>
    </row>
    <row r="539" spans="1:18" ht="14.25" customHeight="1">
      <c r="A539" s="375"/>
      <c r="B539" s="326">
        <v>29</v>
      </c>
      <c r="C539" s="352" t="s">
        <v>345</v>
      </c>
      <c r="D539" s="326" t="s">
        <v>1719</v>
      </c>
      <c r="E539" s="327">
        <v>3000000000</v>
      </c>
      <c r="F539" s="327">
        <v>374943746</v>
      </c>
      <c r="G539" s="327">
        <v>1124718766</v>
      </c>
      <c r="H539" s="327">
        <v>1875281234</v>
      </c>
      <c r="I539" s="355">
        <v>0.01</v>
      </c>
      <c r="J539" s="356" t="s">
        <v>1741</v>
      </c>
      <c r="K539" s="393"/>
      <c r="L539" s="440"/>
      <c r="N539" s="367"/>
      <c r="O539" s="367"/>
      <c r="P539" s="447"/>
      <c r="Q539" s="342"/>
      <c r="R539" s="448"/>
    </row>
    <row r="540" spans="1:18" ht="14.25" customHeight="1">
      <c r="A540" s="375"/>
      <c r="B540" s="326">
        <v>30</v>
      </c>
      <c r="C540" s="352" t="s">
        <v>345</v>
      </c>
      <c r="D540" s="326" t="s">
        <v>1720</v>
      </c>
      <c r="E540" s="327">
        <v>3000000000</v>
      </c>
      <c r="F540" s="327">
        <v>374906254</v>
      </c>
      <c r="G540" s="327">
        <v>749775020</v>
      </c>
      <c r="H540" s="327">
        <v>2250224980</v>
      </c>
      <c r="I540" s="355">
        <v>0.01</v>
      </c>
      <c r="J540" s="356" t="s">
        <v>1740</v>
      </c>
      <c r="K540" s="393"/>
      <c r="L540" s="440"/>
      <c r="N540" s="367"/>
      <c r="O540" s="367"/>
      <c r="P540" s="447"/>
      <c r="Q540" s="342"/>
      <c r="R540" s="448"/>
    </row>
    <row r="541" spans="1:18" ht="14.25" customHeight="1">
      <c r="A541" s="375"/>
      <c r="B541" s="326" t="s">
        <v>1749</v>
      </c>
      <c r="C541" s="352" t="s">
        <v>345</v>
      </c>
      <c r="D541" s="326" t="s">
        <v>1750</v>
      </c>
      <c r="E541" s="327">
        <v>4000000000</v>
      </c>
      <c r="F541" s="327">
        <v>499947502</v>
      </c>
      <c r="G541" s="327">
        <v>499947502</v>
      </c>
      <c r="H541" s="327">
        <v>3500052498</v>
      </c>
      <c r="I541" s="378">
        <v>3.0000000000000001E-3</v>
      </c>
      <c r="J541" s="356" t="s">
        <v>1739</v>
      </c>
      <c r="K541" s="393"/>
      <c r="L541" s="440"/>
      <c r="P541" s="447"/>
      <c r="Q541" s="342"/>
      <c r="R541" s="448"/>
    </row>
    <row r="542" spans="1:18" ht="14.25" customHeight="1">
      <c r="A542" s="375"/>
      <c r="B542" s="326">
        <v>2</v>
      </c>
      <c r="C542" s="352" t="s">
        <v>345</v>
      </c>
      <c r="D542" s="326" t="s">
        <v>1757</v>
      </c>
      <c r="E542" s="327">
        <v>5000000000</v>
      </c>
      <c r="F542" s="327">
        <v>0</v>
      </c>
      <c r="G542" s="327">
        <v>0</v>
      </c>
      <c r="H542" s="327">
        <v>5000000000</v>
      </c>
      <c r="I542" s="355">
        <v>0.04</v>
      </c>
      <c r="J542" s="356" t="s">
        <v>1738</v>
      </c>
      <c r="K542" s="393"/>
      <c r="L542" s="384"/>
      <c r="P542" s="447"/>
      <c r="Q542" s="342"/>
      <c r="R542" s="448"/>
    </row>
    <row r="543" spans="1:18" ht="14.25" customHeight="1">
      <c r="A543" s="375"/>
      <c r="B543" s="326">
        <v>3</v>
      </c>
      <c r="C543" s="352" t="s">
        <v>1766</v>
      </c>
      <c r="D543" s="326" t="s">
        <v>1762</v>
      </c>
      <c r="E543" s="327">
        <v>2000000000</v>
      </c>
      <c r="F543" s="327">
        <v>0</v>
      </c>
      <c r="G543" s="327">
        <v>0</v>
      </c>
      <c r="H543" s="327">
        <v>2000000000</v>
      </c>
      <c r="I543" s="378">
        <v>0.112</v>
      </c>
      <c r="J543" s="356" t="s">
        <v>1767</v>
      </c>
      <c r="K543" s="393"/>
      <c r="L543" s="384"/>
      <c r="P543" s="447"/>
      <c r="Q543" s="342"/>
      <c r="R543" s="448"/>
    </row>
    <row r="544" spans="1:18" ht="14.25" customHeight="1">
      <c r="A544" s="375"/>
      <c r="B544" s="326">
        <v>3</v>
      </c>
      <c r="C544" s="352" t="s">
        <v>1761</v>
      </c>
      <c r="D544" s="326" t="s">
        <v>1773</v>
      </c>
      <c r="E544" s="327">
        <v>5000000000</v>
      </c>
      <c r="F544" s="327">
        <v>0</v>
      </c>
      <c r="G544" s="327">
        <v>0</v>
      </c>
      <c r="H544" s="327">
        <v>5000000000</v>
      </c>
      <c r="I544" s="378">
        <v>0.38100000000000001</v>
      </c>
      <c r="J544" s="356" t="s">
        <v>1774</v>
      </c>
      <c r="K544" s="393"/>
      <c r="L544" s="384"/>
      <c r="P544" s="447"/>
      <c r="Q544" s="342"/>
      <c r="R544" s="448"/>
    </row>
    <row r="545" spans="1:18" ht="14.25" customHeight="1">
      <c r="A545" s="375"/>
      <c r="B545" s="326">
        <v>4</v>
      </c>
      <c r="C545" s="352" t="s">
        <v>1761</v>
      </c>
      <c r="D545" s="326" t="s">
        <v>1773</v>
      </c>
      <c r="E545" s="327">
        <v>3500000000</v>
      </c>
      <c r="F545" s="327">
        <v>0</v>
      </c>
      <c r="G545" s="327">
        <v>0</v>
      </c>
      <c r="H545" s="327">
        <v>3500000000</v>
      </c>
      <c r="I545" s="378">
        <v>0.38100000000000001</v>
      </c>
      <c r="J545" s="356" t="s">
        <v>1774</v>
      </c>
      <c r="K545" s="393"/>
      <c r="L545" s="384"/>
      <c r="P545" s="447"/>
      <c r="Q545" s="342"/>
      <c r="R545" s="448"/>
    </row>
    <row r="546" spans="1:18" ht="14.25" customHeight="1" thickBot="1">
      <c r="A546" s="334" t="s">
        <v>376</v>
      </c>
      <c r="B546" s="335" t="s">
        <v>173</v>
      </c>
      <c r="C546" s="336" t="s">
        <v>173</v>
      </c>
      <c r="D546" s="337" t="s">
        <v>173</v>
      </c>
      <c r="E546" s="338">
        <v>57076000000</v>
      </c>
      <c r="F546" s="338">
        <v>2907216845</v>
      </c>
      <c r="G546" s="338">
        <v>29943156659</v>
      </c>
      <c r="H546" s="338">
        <v>27132843341</v>
      </c>
      <c r="I546" s="442"/>
      <c r="J546" s="443" t="s">
        <v>173</v>
      </c>
      <c r="K546" s="393"/>
      <c r="L546" s="384"/>
      <c r="P546" s="447"/>
      <c r="Q546" s="342"/>
      <c r="R546" s="448"/>
    </row>
    <row r="547" spans="1:18" ht="14.25" customHeight="1">
      <c r="A547" s="466" t="s">
        <v>26</v>
      </c>
      <c r="B547" s="468" t="s">
        <v>311</v>
      </c>
      <c r="C547" s="470" t="s">
        <v>27</v>
      </c>
      <c r="D547" s="468" t="s">
        <v>312</v>
      </c>
      <c r="E547" s="472" t="s">
        <v>28</v>
      </c>
      <c r="F547" s="474" t="s">
        <v>29</v>
      </c>
      <c r="G547" s="476"/>
      <c r="H547" s="460" t="s">
        <v>174</v>
      </c>
      <c r="I547" s="462" t="s">
        <v>30</v>
      </c>
      <c r="J547" s="464" t="s">
        <v>313</v>
      </c>
      <c r="K547" s="399"/>
      <c r="L547" s="384"/>
      <c r="P547" s="447"/>
      <c r="Q547" s="342"/>
      <c r="R547" s="448"/>
    </row>
    <row r="548" spans="1:18" ht="17.25" customHeight="1">
      <c r="A548" s="467"/>
      <c r="B548" s="469"/>
      <c r="C548" s="471"/>
      <c r="D548" s="469"/>
      <c r="E548" s="473"/>
      <c r="F548" s="343" t="s">
        <v>176</v>
      </c>
      <c r="G548" s="343" t="s">
        <v>305</v>
      </c>
      <c r="H548" s="461"/>
      <c r="I548" s="463"/>
      <c r="J548" s="465"/>
      <c r="K548" s="401"/>
      <c r="L548" s="451"/>
      <c r="N548" s="397"/>
      <c r="P548" s="447"/>
    </row>
    <row r="549" spans="1:18" ht="14.25" customHeight="1">
      <c r="A549" s="370" t="s">
        <v>168</v>
      </c>
      <c r="B549" s="326" t="s">
        <v>319</v>
      </c>
      <c r="C549" s="379" t="s">
        <v>189</v>
      </c>
      <c r="D549" s="324" t="s">
        <v>309</v>
      </c>
      <c r="E549" s="380">
        <v>29000000</v>
      </c>
      <c r="F549" s="327">
        <v>1859668</v>
      </c>
      <c r="G549" s="327">
        <v>29000000</v>
      </c>
      <c r="H549" s="327">
        <v>0</v>
      </c>
      <c r="I549" s="355">
        <v>1.1000000000000001</v>
      </c>
      <c r="J549" s="414" t="s">
        <v>1746</v>
      </c>
      <c r="K549" s="405"/>
      <c r="L549" s="452"/>
      <c r="M549" s="364"/>
      <c r="N549" s="350"/>
      <c r="O549" s="350"/>
      <c r="P549" s="447"/>
    </row>
    <row r="550" spans="1:18" ht="14.25" customHeight="1">
      <c r="A550" s="381" t="s">
        <v>169</v>
      </c>
      <c r="B550" s="326">
        <v>15</v>
      </c>
      <c r="C550" s="382" t="s">
        <v>189</v>
      </c>
      <c r="D550" s="324" t="s">
        <v>612</v>
      </c>
      <c r="E550" s="383">
        <v>67000000</v>
      </c>
      <c r="F550" s="327">
        <v>4392893</v>
      </c>
      <c r="G550" s="327">
        <v>62536540</v>
      </c>
      <c r="H550" s="327">
        <v>4463460</v>
      </c>
      <c r="I550" s="355">
        <v>1.6</v>
      </c>
      <c r="J550" s="404" t="s">
        <v>1745</v>
      </c>
      <c r="K550" s="405"/>
      <c r="L550" s="452"/>
      <c r="M550" s="364"/>
      <c r="N550" s="344"/>
      <c r="O550" s="344"/>
      <c r="P550" s="447"/>
    </row>
    <row r="551" spans="1:18" ht="14.25" customHeight="1">
      <c r="A551" s="381"/>
      <c r="B551" s="326">
        <v>16</v>
      </c>
      <c r="C551" s="382" t="s">
        <v>189</v>
      </c>
      <c r="D551" s="324" t="s">
        <v>137</v>
      </c>
      <c r="E551" s="383">
        <v>62000000</v>
      </c>
      <c r="F551" s="327">
        <v>4023104</v>
      </c>
      <c r="G551" s="327">
        <v>53746570</v>
      </c>
      <c r="H551" s="327">
        <v>8253430</v>
      </c>
      <c r="I551" s="355">
        <v>1.7</v>
      </c>
      <c r="J551" s="356" t="s">
        <v>1744</v>
      </c>
      <c r="K551" s="393"/>
      <c r="L551" s="452"/>
      <c r="M551" s="364"/>
      <c r="N551" s="349"/>
      <c r="O551" s="349"/>
      <c r="P551" s="447"/>
    </row>
    <row r="552" spans="1:18" ht="14.25" customHeight="1">
      <c r="A552" s="381"/>
      <c r="B552" s="326">
        <v>17</v>
      </c>
      <c r="C552" s="382" t="s">
        <v>189</v>
      </c>
      <c r="D552" s="324" t="s">
        <v>629</v>
      </c>
      <c r="E552" s="383">
        <v>124000000</v>
      </c>
      <c r="F552" s="327">
        <v>7947166</v>
      </c>
      <c r="G552" s="327">
        <v>99285908</v>
      </c>
      <c r="H552" s="327">
        <v>24714092</v>
      </c>
      <c r="I552" s="355">
        <v>1.8</v>
      </c>
      <c r="J552" s="356" t="s">
        <v>1743</v>
      </c>
      <c r="K552" s="393"/>
      <c r="L552" s="452"/>
      <c r="M552" s="364"/>
      <c r="N552" s="344"/>
      <c r="O552" s="344"/>
      <c r="P552" s="447"/>
    </row>
    <row r="553" spans="1:18" ht="14.25" customHeight="1">
      <c r="A553" s="381"/>
      <c r="B553" s="326">
        <v>18</v>
      </c>
      <c r="C553" s="382" t="s">
        <v>189</v>
      </c>
      <c r="D553" s="324" t="s">
        <v>347</v>
      </c>
      <c r="E553" s="383">
        <v>38000000</v>
      </c>
      <c r="F553" s="327">
        <v>2400619</v>
      </c>
      <c r="G553" s="327">
        <v>27930408</v>
      </c>
      <c r="H553" s="327">
        <v>10069592</v>
      </c>
      <c r="I553" s="355">
        <v>1.9</v>
      </c>
      <c r="J553" s="356" t="s">
        <v>1742</v>
      </c>
      <c r="K553" s="393"/>
      <c r="L553" s="452"/>
      <c r="P553" s="447"/>
    </row>
    <row r="554" spans="1:18" ht="14.25" customHeight="1">
      <c r="A554" s="381"/>
      <c r="B554" s="326">
        <v>19</v>
      </c>
      <c r="C554" s="382" t="s">
        <v>495</v>
      </c>
      <c r="D554" s="326" t="s">
        <v>632</v>
      </c>
      <c r="E554" s="383">
        <v>71000000</v>
      </c>
      <c r="F554" s="327">
        <v>4384597</v>
      </c>
      <c r="G554" s="327">
        <v>47893571</v>
      </c>
      <c r="H554" s="327">
        <v>23106429</v>
      </c>
      <c r="I554" s="355">
        <v>1.75</v>
      </c>
      <c r="J554" s="356" t="s">
        <v>1741</v>
      </c>
      <c r="K554" s="393"/>
      <c r="L554" s="452"/>
      <c r="M554" s="364"/>
      <c r="N554" s="351"/>
      <c r="O554" s="351"/>
      <c r="P554" s="447"/>
    </row>
    <row r="555" spans="1:18" ht="14.25" customHeight="1">
      <c r="A555" s="381"/>
      <c r="B555" s="326">
        <v>20</v>
      </c>
      <c r="C555" s="352" t="s">
        <v>695</v>
      </c>
      <c r="D555" s="326" t="s">
        <v>624</v>
      </c>
      <c r="E555" s="383">
        <v>55000000</v>
      </c>
      <c r="F555" s="327">
        <v>3329915</v>
      </c>
      <c r="G555" s="327">
        <v>33866621</v>
      </c>
      <c r="H555" s="327">
        <v>21133379</v>
      </c>
      <c r="I555" s="355">
        <v>1.6</v>
      </c>
      <c r="J555" s="356" t="s">
        <v>1740</v>
      </c>
      <c r="K555" s="393"/>
      <c r="L555" s="452"/>
      <c r="M555" s="364"/>
      <c r="N555" s="353"/>
      <c r="O555" s="353"/>
      <c r="P555" s="447"/>
    </row>
    <row r="556" spans="1:18" ht="14.25" customHeight="1">
      <c r="A556" s="385" t="s">
        <v>376</v>
      </c>
      <c r="B556" s="386" t="s">
        <v>173</v>
      </c>
      <c r="C556" s="362" t="s">
        <v>173</v>
      </c>
      <c r="D556" s="320" t="s">
        <v>173</v>
      </c>
      <c r="E556" s="363">
        <v>446000000</v>
      </c>
      <c r="F556" s="363">
        <v>28337962</v>
      </c>
      <c r="G556" s="363">
        <v>354259618</v>
      </c>
      <c r="H556" s="363">
        <v>91740382</v>
      </c>
      <c r="I556" s="402"/>
      <c r="J556" s="403" t="s">
        <v>173</v>
      </c>
      <c r="K556" s="393"/>
      <c r="L556" s="440"/>
      <c r="P556" s="447"/>
      <c r="Q556" s="342"/>
      <c r="R556" s="448"/>
    </row>
    <row r="557" spans="1:18" ht="14.25" customHeight="1">
      <c r="A557" s="387" t="s">
        <v>706</v>
      </c>
      <c r="B557" s="386" t="s">
        <v>320</v>
      </c>
      <c r="C557" s="362" t="s">
        <v>163</v>
      </c>
      <c r="D557" s="321" t="s">
        <v>310</v>
      </c>
      <c r="E557" s="363">
        <v>1006000000</v>
      </c>
      <c r="F557" s="363">
        <v>40629176</v>
      </c>
      <c r="G557" s="388">
        <v>501400492</v>
      </c>
      <c r="H557" s="388">
        <v>504599508</v>
      </c>
      <c r="I557" s="402">
        <v>2</v>
      </c>
      <c r="J557" s="414" t="s">
        <v>1735</v>
      </c>
      <c r="K557" s="405"/>
      <c r="L557" s="440"/>
      <c r="N557" s="344"/>
      <c r="O557" s="344"/>
      <c r="P557" s="447"/>
      <c r="Q557" s="453"/>
      <c r="R557" s="448"/>
    </row>
    <row r="558" spans="1:18" ht="13.9" customHeight="1">
      <c r="A558" s="381" t="s">
        <v>707</v>
      </c>
      <c r="B558" s="326">
        <v>16</v>
      </c>
      <c r="C558" s="382" t="s">
        <v>189</v>
      </c>
      <c r="D558" s="324" t="s">
        <v>137</v>
      </c>
      <c r="E558" s="327">
        <v>288000000</v>
      </c>
      <c r="F558" s="327">
        <v>12664137</v>
      </c>
      <c r="G558" s="389">
        <v>145683053</v>
      </c>
      <c r="H558" s="389">
        <v>142316947</v>
      </c>
      <c r="I558" s="355">
        <v>2.1</v>
      </c>
      <c r="J558" s="356" t="s">
        <v>1736</v>
      </c>
      <c r="K558" s="393"/>
      <c r="L558" s="440"/>
      <c r="N558" s="349"/>
      <c r="O558" s="349"/>
      <c r="P558" s="447"/>
      <c r="Q558" s="454"/>
      <c r="R558" s="448"/>
    </row>
    <row r="559" spans="1:18" ht="14.25" customHeight="1">
      <c r="A559" s="376"/>
      <c r="B559" s="326">
        <v>16</v>
      </c>
      <c r="C559" s="325" t="s">
        <v>163</v>
      </c>
      <c r="D559" s="324" t="s">
        <v>138</v>
      </c>
      <c r="E559" s="327">
        <v>2952000000</v>
      </c>
      <c r="F559" s="327">
        <v>116750751</v>
      </c>
      <c r="G559" s="389">
        <v>1343052919</v>
      </c>
      <c r="H559" s="389">
        <v>1608947081</v>
      </c>
      <c r="I559" s="355">
        <v>2.1</v>
      </c>
      <c r="J559" s="356" t="s">
        <v>1734</v>
      </c>
      <c r="K559" s="393"/>
      <c r="L559" s="440"/>
      <c r="N559" s="344"/>
      <c r="O559" s="344"/>
      <c r="P559" s="447"/>
      <c r="Q559" s="453"/>
      <c r="R559" s="448"/>
    </row>
    <row r="560" spans="1:18" ht="14.25" customHeight="1">
      <c r="A560" s="376"/>
      <c r="B560" s="326">
        <v>17</v>
      </c>
      <c r="C560" s="325" t="s">
        <v>163</v>
      </c>
      <c r="D560" s="324" t="s">
        <v>140</v>
      </c>
      <c r="E560" s="327">
        <v>3534000000</v>
      </c>
      <c r="F560" s="327">
        <v>136879131</v>
      </c>
      <c r="G560" s="389">
        <v>1468073125</v>
      </c>
      <c r="H560" s="389">
        <v>2065926875</v>
      </c>
      <c r="I560" s="355">
        <v>2.1</v>
      </c>
      <c r="J560" s="356" t="s">
        <v>1733</v>
      </c>
      <c r="K560" s="393"/>
      <c r="L560" s="440"/>
      <c r="N560" s="344"/>
      <c r="O560" s="344"/>
      <c r="P560" s="447"/>
      <c r="Q560" s="453"/>
      <c r="R560" s="448"/>
    </row>
    <row r="561" spans="1:18" ht="14.25" customHeight="1">
      <c r="A561" s="376"/>
      <c r="B561" s="326">
        <v>18</v>
      </c>
      <c r="C561" s="325" t="s">
        <v>266</v>
      </c>
      <c r="D561" s="326" t="s">
        <v>346</v>
      </c>
      <c r="E561" s="327">
        <v>1500000000</v>
      </c>
      <c r="F561" s="327">
        <v>0</v>
      </c>
      <c r="G561" s="327">
        <v>1500000000</v>
      </c>
      <c r="H561" s="389">
        <v>0</v>
      </c>
      <c r="I561" s="355">
        <v>1.8</v>
      </c>
      <c r="J561" s="356" t="s">
        <v>276</v>
      </c>
      <c r="K561" s="393"/>
      <c r="L561" s="440"/>
      <c r="N561" s="390"/>
      <c r="O561" s="440"/>
      <c r="P561" s="447"/>
      <c r="Q561" s="453"/>
      <c r="R561" s="448"/>
    </row>
    <row r="562" spans="1:18" ht="14.25" customHeight="1">
      <c r="A562" s="376"/>
      <c r="B562" s="326">
        <v>18</v>
      </c>
      <c r="C562" s="325" t="s">
        <v>163</v>
      </c>
      <c r="D562" s="326" t="s">
        <v>675</v>
      </c>
      <c r="E562" s="327">
        <v>1800000000</v>
      </c>
      <c r="F562" s="327">
        <v>68276391</v>
      </c>
      <c r="G562" s="389">
        <v>678027500</v>
      </c>
      <c r="H562" s="389">
        <v>1121972500</v>
      </c>
      <c r="I562" s="355">
        <v>2.1</v>
      </c>
      <c r="J562" s="356" t="s">
        <v>1732</v>
      </c>
      <c r="K562" s="393"/>
      <c r="L562" s="440"/>
      <c r="N562" s="353"/>
      <c r="O562" s="353"/>
      <c r="P562" s="447"/>
      <c r="Q562" s="453"/>
      <c r="R562" s="448"/>
    </row>
    <row r="563" spans="1:18" ht="14.25" customHeight="1">
      <c r="A563" s="376"/>
      <c r="B563" s="326">
        <v>19</v>
      </c>
      <c r="C563" s="325" t="s">
        <v>345</v>
      </c>
      <c r="D563" s="326" t="s">
        <v>632</v>
      </c>
      <c r="E563" s="327">
        <v>3666000000</v>
      </c>
      <c r="F563" s="327">
        <v>136181427</v>
      </c>
      <c r="G563" s="389">
        <v>1241859758</v>
      </c>
      <c r="H563" s="389">
        <v>2424140242</v>
      </c>
      <c r="I563" s="355">
        <v>2.1</v>
      </c>
      <c r="J563" s="356" t="s">
        <v>1731</v>
      </c>
      <c r="K563" s="393"/>
      <c r="L563" s="440"/>
      <c r="N563" s="367"/>
      <c r="O563" s="367"/>
      <c r="P563" s="447"/>
      <c r="Q563" s="453"/>
      <c r="R563" s="448"/>
    </row>
    <row r="564" spans="1:18" ht="14.25" customHeight="1">
      <c r="A564" s="376"/>
      <c r="B564" s="326">
        <v>20</v>
      </c>
      <c r="C564" s="325" t="s">
        <v>345</v>
      </c>
      <c r="D564" s="326" t="s">
        <v>624</v>
      </c>
      <c r="E564" s="327">
        <v>3348000000</v>
      </c>
      <c r="F564" s="327">
        <v>123016811</v>
      </c>
      <c r="G564" s="389">
        <v>1027717943</v>
      </c>
      <c r="H564" s="389">
        <v>2320282057</v>
      </c>
      <c r="I564" s="355">
        <v>1.9</v>
      </c>
      <c r="J564" s="356" t="s">
        <v>1730</v>
      </c>
      <c r="K564" s="393"/>
      <c r="L564" s="440"/>
      <c r="N564" s="353"/>
      <c r="O564" s="353"/>
      <c r="P564" s="447"/>
      <c r="Q564" s="453"/>
      <c r="R564" s="448"/>
    </row>
    <row r="565" spans="1:18" ht="14.25" customHeight="1">
      <c r="A565" s="376"/>
      <c r="B565" s="326">
        <v>21</v>
      </c>
      <c r="C565" s="382" t="s">
        <v>163</v>
      </c>
      <c r="D565" s="326" t="s">
        <v>808</v>
      </c>
      <c r="E565" s="327">
        <v>1744000000</v>
      </c>
      <c r="F565" s="327">
        <v>62133616</v>
      </c>
      <c r="G565" s="389">
        <v>462551184</v>
      </c>
      <c r="H565" s="389">
        <v>1281448816</v>
      </c>
      <c r="I565" s="355">
        <v>2.1</v>
      </c>
      <c r="J565" s="356" t="s">
        <v>1729</v>
      </c>
      <c r="K565" s="393"/>
      <c r="L565" s="440"/>
      <c r="N565" s="353"/>
      <c r="O565" s="353"/>
      <c r="P565" s="447"/>
      <c r="Q565" s="453"/>
      <c r="R565" s="448"/>
    </row>
    <row r="566" spans="1:18" ht="14.25" customHeight="1">
      <c r="A566" s="376"/>
      <c r="B566" s="326">
        <v>22</v>
      </c>
      <c r="C566" s="382" t="s">
        <v>163</v>
      </c>
      <c r="D566" s="326" t="s">
        <v>887</v>
      </c>
      <c r="E566" s="391">
        <v>416000000</v>
      </c>
      <c r="F566" s="391">
        <v>14717941</v>
      </c>
      <c r="G566" s="392">
        <v>97413179</v>
      </c>
      <c r="H566" s="392">
        <v>318586821</v>
      </c>
      <c r="I566" s="355">
        <v>1.9</v>
      </c>
      <c r="J566" s="356" t="s">
        <v>1728</v>
      </c>
      <c r="K566" s="393"/>
      <c r="L566" s="440"/>
      <c r="N566" s="353"/>
      <c r="O566" s="353"/>
      <c r="P566" s="447"/>
      <c r="Q566" s="453"/>
      <c r="R566" s="448"/>
    </row>
    <row r="567" spans="1:18" ht="14.25" customHeight="1">
      <c r="A567" s="357" t="s">
        <v>376</v>
      </c>
      <c r="B567" s="358"/>
      <c r="C567" s="359"/>
      <c r="D567" s="360"/>
      <c r="E567" s="361">
        <v>20254000000</v>
      </c>
      <c r="F567" s="391">
        <v>711249381</v>
      </c>
      <c r="G567" s="391">
        <v>8465779153</v>
      </c>
      <c r="H567" s="391">
        <v>11788220847</v>
      </c>
      <c r="I567" s="412"/>
      <c r="J567" s="413"/>
      <c r="K567" s="393"/>
      <c r="N567" s="440"/>
      <c r="O567" s="440"/>
      <c r="P567" s="447"/>
      <c r="Q567" s="342"/>
      <c r="R567" s="448"/>
    </row>
    <row r="568" spans="1:18" ht="14.25" customHeight="1" thickBot="1">
      <c r="A568" s="334" t="s">
        <v>170</v>
      </c>
      <c r="B568" s="335" t="s">
        <v>173</v>
      </c>
      <c r="C568" s="336" t="s">
        <v>173</v>
      </c>
      <c r="D568" s="337" t="s">
        <v>173</v>
      </c>
      <c r="E568" s="338">
        <v>606095236889</v>
      </c>
      <c r="F568" s="338">
        <v>12406177664</v>
      </c>
      <c r="G568" s="338">
        <v>465319562171</v>
      </c>
      <c r="H568" s="338">
        <v>140775674718</v>
      </c>
      <c r="I568" s="442"/>
      <c r="J568" s="443" t="s">
        <v>173</v>
      </c>
      <c r="K568" s="393"/>
      <c r="P568" s="447"/>
      <c r="Q568" s="342"/>
      <c r="R568" s="448"/>
    </row>
    <row r="569" spans="1:18" ht="15.75" customHeight="1">
      <c r="E569" s="455"/>
      <c r="F569" s="455"/>
      <c r="G569" s="455"/>
      <c r="H569" s="455"/>
      <c r="I569" s="448"/>
      <c r="J569" s="448"/>
      <c r="K569" s="448"/>
      <c r="P569" s="447"/>
    </row>
    <row r="570" spans="1:18" ht="24" customHeight="1">
      <c r="C570" s="456"/>
      <c r="D570" s="456"/>
      <c r="E570" s="457"/>
      <c r="F570" s="457"/>
      <c r="G570" s="457"/>
      <c r="H570" s="457"/>
      <c r="I570" s="456"/>
      <c r="J570" s="456"/>
      <c r="K570" s="456"/>
      <c r="P570" s="447"/>
    </row>
    <row r="571" spans="1:18">
      <c r="C571" s="456"/>
      <c r="D571" s="456"/>
      <c r="E571" s="457"/>
      <c r="F571" s="457"/>
      <c r="G571" s="457"/>
      <c r="H571" s="457"/>
      <c r="I571" s="456"/>
      <c r="J571" s="456"/>
      <c r="K571" s="456"/>
      <c r="P571" s="447"/>
    </row>
    <row r="572" spans="1:18">
      <c r="C572" s="456"/>
      <c r="D572" s="456"/>
      <c r="E572" s="457"/>
      <c r="F572" s="457"/>
      <c r="G572" s="457"/>
      <c r="H572" s="457"/>
      <c r="I572" s="456"/>
      <c r="J572" s="456"/>
      <c r="K572" s="456"/>
      <c r="P572" s="447"/>
    </row>
    <row r="573" spans="1:18">
      <c r="C573" s="456"/>
      <c r="D573" s="456"/>
      <c r="E573" s="457"/>
      <c r="F573" s="457"/>
      <c r="G573" s="457"/>
      <c r="H573" s="457"/>
      <c r="I573" s="456"/>
      <c r="J573" s="456"/>
      <c r="K573" s="456"/>
      <c r="P573" s="447"/>
    </row>
    <row r="574" spans="1:18">
      <c r="C574" s="456"/>
      <c r="D574" s="456"/>
      <c r="E574" s="457"/>
      <c r="F574" s="457"/>
      <c r="G574" s="457"/>
      <c r="H574" s="458"/>
      <c r="I574" s="456"/>
      <c r="J574" s="456"/>
      <c r="K574" s="456"/>
      <c r="P574" s="447"/>
    </row>
    <row r="575" spans="1:18">
      <c r="C575" s="456"/>
      <c r="D575" s="456"/>
      <c r="E575" s="457"/>
      <c r="F575" s="457"/>
      <c r="G575" s="457"/>
      <c r="H575" s="457"/>
      <c r="I575" s="456"/>
      <c r="J575" s="456"/>
      <c r="K575" s="456"/>
      <c r="P575" s="447"/>
    </row>
    <row r="576" spans="1:18">
      <c r="C576" s="456"/>
      <c r="D576" s="456"/>
      <c r="E576" s="457"/>
      <c r="F576" s="457"/>
      <c r="G576" s="457"/>
      <c r="H576" s="457"/>
      <c r="I576" s="456"/>
      <c r="J576" s="456"/>
      <c r="K576" s="456"/>
      <c r="P576" s="447"/>
    </row>
    <row r="577" spans="3:16">
      <c r="C577" s="456"/>
      <c r="D577" s="456"/>
      <c r="E577" s="457"/>
      <c r="F577" s="457"/>
      <c r="G577" s="457"/>
      <c r="H577" s="457"/>
      <c r="I577" s="456"/>
      <c r="J577" s="456"/>
      <c r="K577" s="456"/>
      <c r="P577" s="447"/>
    </row>
    <row r="578" spans="3:16">
      <c r="C578" s="456"/>
      <c r="D578" s="456"/>
      <c r="E578" s="457"/>
      <c r="F578" s="457"/>
      <c r="G578" s="457"/>
      <c r="H578" s="457"/>
      <c r="I578" s="456"/>
      <c r="J578" s="456"/>
      <c r="K578" s="456"/>
      <c r="P578" s="447"/>
    </row>
    <row r="579" spans="3:16">
      <c r="C579" s="456"/>
      <c r="D579" s="456"/>
      <c r="E579" s="457"/>
      <c r="F579" s="457"/>
      <c r="G579" s="457"/>
      <c r="H579" s="457"/>
      <c r="I579" s="456"/>
      <c r="J579" s="456"/>
      <c r="K579" s="456"/>
      <c r="P579" s="447"/>
    </row>
    <row r="580" spans="3:16">
      <c r="C580" s="456"/>
      <c r="D580" s="456"/>
      <c r="E580" s="457"/>
      <c r="F580" s="457"/>
      <c r="G580" s="457"/>
      <c r="H580" s="457"/>
      <c r="I580" s="456"/>
      <c r="J580" s="456"/>
      <c r="K580" s="456"/>
    </row>
  </sheetData>
  <mergeCells count="90">
    <mergeCell ref="A547:A548"/>
    <mergeCell ref="B547:B548"/>
    <mergeCell ref="C547:C548"/>
    <mergeCell ref="D547:D548"/>
    <mergeCell ref="E547:E548"/>
    <mergeCell ref="A480:A481"/>
    <mergeCell ref="B480:B481"/>
    <mergeCell ref="C480:C481"/>
    <mergeCell ref="D480:D481"/>
    <mergeCell ref="E480:E481"/>
    <mergeCell ref="F416:G416"/>
    <mergeCell ref="H416:H417"/>
    <mergeCell ref="I416:I417"/>
    <mergeCell ref="J416:J417"/>
    <mergeCell ref="F547:G547"/>
    <mergeCell ref="H547:H548"/>
    <mergeCell ref="F480:G480"/>
    <mergeCell ref="I547:I548"/>
    <mergeCell ref="J547:J548"/>
    <mergeCell ref="H480:H481"/>
    <mergeCell ref="I480:I481"/>
    <mergeCell ref="J480:J481"/>
    <mergeCell ref="A416:A417"/>
    <mergeCell ref="B416:B417"/>
    <mergeCell ref="C416:C417"/>
    <mergeCell ref="D416:D417"/>
    <mergeCell ref="E416:E417"/>
    <mergeCell ref="I289:I290"/>
    <mergeCell ref="J289:J290"/>
    <mergeCell ref="A348:A349"/>
    <mergeCell ref="B348:B349"/>
    <mergeCell ref="C348:C349"/>
    <mergeCell ref="D348:D349"/>
    <mergeCell ref="E348:E349"/>
    <mergeCell ref="F348:G348"/>
    <mergeCell ref="H348:H349"/>
    <mergeCell ref="I348:I349"/>
    <mergeCell ref="J348:J349"/>
    <mergeCell ref="F289:G289"/>
    <mergeCell ref="H289:H290"/>
    <mergeCell ref="A228:A229"/>
    <mergeCell ref="B228:B229"/>
    <mergeCell ref="C228:C229"/>
    <mergeCell ref="D228:D229"/>
    <mergeCell ref="E228:E229"/>
    <mergeCell ref="F228:G228"/>
    <mergeCell ref="A289:A290"/>
    <mergeCell ref="B289:B290"/>
    <mergeCell ref="C289:C290"/>
    <mergeCell ref="D289:D290"/>
    <mergeCell ref="E289:E290"/>
    <mergeCell ref="F171:G171"/>
    <mergeCell ref="H171:H172"/>
    <mergeCell ref="I171:I172"/>
    <mergeCell ref="J171:J172"/>
    <mergeCell ref="H228:H229"/>
    <mergeCell ref="I228:I229"/>
    <mergeCell ref="J228:J229"/>
    <mergeCell ref="A171:A172"/>
    <mergeCell ref="B171:B172"/>
    <mergeCell ref="C171:C172"/>
    <mergeCell ref="D171:D172"/>
    <mergeCell ref="E171:E172"/>
    <mergeCell ref="I57:I58"/>
    <mergeCell ref="J57:J58"/>
    <mergeCell ref="A113:A114"/>
    <mergeCell ref="B113:B114"/>
    <mergeCell ref="C113:C114"/>
    <mergeCell ref="D113:D114"/>
    <mergeCell ref="E113:E114"/>
    <mergeCell ref="F113:G113"/>
    <mergeCell ref="H113:H114"/>
    <mergeCell ref="I113:I114"/>
    <mergeCell ref="J113:J114"/>
    <mergeCell ref="H2:H3"/>
    <mergeCell ref="I2:I3"/>
    <mergeCell ref="J2:J3"/>
    <mergeCell ref="A57:A58"/>
    <mergeCell ref="B57:B58"/>
    <mergeCell ref="C57:C58"/>
    <mergeCell ref="D57:D58"/>
    <mergeCell ref="E57:E58"/>
    <mergeCell ref="F57:G57"/>
    <mergeCell ref="H57:H58"/>
    <mergeCell ref="A2:A3"/>
    <mergeCell ref="B2:B3"/>
    <mergeCell ref="C2:C3"/>
    <mergeCell ref="D2:D3"/>
    <mergeCell ref="E2:E3"/>
    <mergeCell ref="F2:G2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3" fitToWidth="0" fitToHeight="0" orientation="portrait" r:id="rId1"/>
  <rowBreaks count="9" manualBreakCount="9">
    <brk id="56" max="16383" man="1"/>
    <brk id="112" max="16383" man="1"/>
    <brk id="170" max="16383" man="1"/>
    <brk id="227" max="16383" man="1"/>
    <brk id="288" max="16383" man="1"/>
    <brk id="347" max="16383" man="1"/>
    <brk id="415" max="9" man="1"/>
    <brk id="479" max="16383" man="1"/>
    <brk id="5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60"/>
  <sheetViews>
    <sheetView view="pageBreakPreview" zoomScale="160" zoomScaleNormal="100" zoomScaleSheetLayoutView="160" workbookViewId="0">
      <pane ySplit="3" topLeftCell="A139" activePane="bottomLeft" state="frozen"/>
      <selection activeCell="A2" sqref="A2:A3"/>
      <selection pane="bottomLeft" activeCell="A2" sqref="A2:A3"/>
    </sheetView>
  </sheetViews>
  <sheetFormatPr defaultColWidth="9" defaultRowHeight="13.5"/>
  <cols>
    <col min="1" max="1" width="10.875" style="256" customWidth="1"/>
    <col min="2" max="2" width="4.5" style="256" customWidth="1"/>
    <col min="3" max="3" width="12.75" style="256" customWidth="1"/>
    <col min="4" max="4" width="8.875" style="256" customWidth="1"/>
    <col min="5" max="5" width="12.75" style="273" customWidth="1"/>
    <col min="6" max="6" width="11.875" style="273" customWidth="1"/>
    <col min="7" max="8" width="12.75" style="273" customWidth="1"/>
    <col min="9" max="9" width="5" style="256" customWidth="1"/>
    <col min="10" max="10" width="4.25" style="256" customWidth="1"/>
    <col min="11" max="11" width="14" style="311" bestFit="1" customWidth="1"/>
    <col min="12" max="12" width="14" style="256" bestFit="1" customWidth="1"/>
    <col min="13" max="16384" width="9" style="256"/>
  </cols>
  <sheetData>
    <row r="1" spans="1:10" ht="20.25" customHeight="1" thickBot="1">
      <c r="A1" s="275" t="s">
        <v>637</v>
      </c>
      <c r="B1" s="251"/>
      <c r="C1" s="252"/>
      <c r="D1" s="251"/>
      <c r="E1" s="253"/>
      <c r="F1" s="254"/>
      <c r="G1" s="253"/>
      <c r="H1" s="253"/>
      <c r="I1" s="255"/>
      <c r="J1" s="252"/>
    </row>
    <row r="2" spans="1:10">
      <c r="A2" s="479" t="s">
        <v>26</v>
      </c>
      <c r="B2" s="481" t="s">
        <v>311</v>
      </c>
      <c r="C2" s="483" t="s">
        <v>27</v>
      </c>
      <c r="D2" s="481" t="s">
        <v>312</v>
      </c>
      <c r="E2" s="485" t="s">
        <v>28</v>
      </c>
      <c r="F2" s="487" t="s">
        <v>29</v>
      </c>
      <c r="G2" s="493"/>
      <c r="H2" s="489" t="s">
        <v>174</v>
      </c>
      <c r="I2" s="491" t="s">
        <v>30</v>
      </c>
      <c r="J2" s="477" t="s">
        <v>313</v>
      </c>
    </row>
    <row r="3" spans="1:10">
      <c r="A3" s="480"/>
      <c r="B3" s="482"/>
      <c r="C3" s="484"/>
      <c r="D3" s="482"/>
      <c r="E3" s="486"/>
      <c r="F3" s="207" t="s">
        <v>176</v>
      </c>
      <c r="G3" s="207" t="s">
        <v>305</v>
      </c>
      <c r="H3" s="490"/>
      <c r="I3" s="492"/>
      <c r="J3" s="478"/>
    </row>
    <row r="4" spans="1:10" ht="14.25" customHeight="1">
      <c r="A4" s="209"/>
      <c r="B4" s="210"/>
      <c r="C4" s="210"/>
      <c r="D4" s="211" t="s">
        <v>177</v>
      </c>
      <c r="E4" s="212" t="s">
        <v>178</v>
      </c>
      <c r="F4" s="212" t="s">
        <v>172</v>
      </c>
      <c r="G4" s="212" t="s">
        <v>178</v>
      </c>
      <c r="H4" s="212" t="s">
        <v>178</v>
      </c>
      <c r="I4" s="213" t="s">
        <v>31</v>
      </c>
      <c r="J4" s="214" t="s">
        <v>175</v>
      </c>
    </row>
    <row r="5" spans="1:10" ht="14.25" customHeight="1">
      <c r="A5" s="215" t="s">
        <v>179</v>
      </c>
      <c r="B5" s="206" t="s">
        <v>356</v>
      </c>
      <c r="C5" s="263" t="s">
        <v>180</v>
      </c>
      <c r="D5" s="206" t="s">
        <v>357</v>
      </c>
      <c r="E5" s="200">
        <v>40000000</v>
      </c>
      <c r="F5" s="200">
        <v>0</v>
      </c>
      <c r="G5" s="200">
        <v>40000000</v>
      </c>
      <c r="H5" s="200">
        <f t="shared" ref="H5:H55" si="0">E5-G5</f>
        <v>0</v>
      </c>
      <c r="I5" s="201">
        <v>7.8</v>
      </c>
      <c r="J5" s="216" t="s">
        <v>358</v>
      </c>
    </row>
    <row r="6" spans="1:10" ht="14.25" customHeight="1">
      <c r="A6" s="203" t="s">
        <v>182</v>
      </c>
      <c r="B6" s="204" t="s">
        <v>183</v>
      </c>
      <c r="C6" s="263" t="s">
        <v>184</v>
      </c>
      <c r="D6" s="206" t="s">
        <v>359</v>
      </c>
      <c r="E6" s="200">
        <v>10000000</v>
      </c>
      <c r="F6" s="200">
        <v>0</v>
      </c>
      <c r="G6" s="200">
        <v>10000000</v>
      </c>
      <c r="H6" s="200">
        <f t="shared" si="0"/>
        <v>0</v>
      </c>
      <c r="I6" s="201">
        <v>7.8</v>
      </c>
      <c r="J6" s="216" t="s">
        <v>181</v>
      </c>
    </row>
    <row r="7" spans="1:10" ht="14.25" customHeight="1">
      <c r="A7" s="203"/>
      <c r="B7" s="204" t="s">
        <v>183</v>
      </c>
      <c r="C7" s="205" t="s">
        <v>185</v>
      </c>
      <c r="D7" s="206" t="s">
        <v>360</v>
      </c>
      <c r="E7" s="200">
        <v>50000000</v>
      </c>
      <c r="F7" s="200">
        <v>0</v>
      </c>
      <c r="G7" s="200">
        <v>50000000</v>
      </c>
      <c r="H7" s="200">
        <f t="shared" si="0"/>
        <v>0</v>
      </c>
      <c r="I7" s="201">
        <v>6.5</v>
      </c>
      <c r="J7" s="216" t="s">
        <v>186</v>
      </c>
    </row>
    <row r="8" spans="1:10" ht="14.25" customHeight="1">
      <c r="A8" s="203"/>
      <c r="B8" s="204" t="s">
        <v>187</v>
      </c>
      <c r="C8" s="205" t="s">
        <v>185</v>
      </c>
      <c r="D8" s="206" t="s">
        <v>361</v>
      </c>
      <c r="E8" s="200">
        <v>150000000</v>
      </c>
      <c r="F8" s="200">
        <v>0</v>
      </c>
      <c r="G8" s="200">
        <v>150000000</v>
      </c>
      <c r="H8" s="200">
        <f t="shared" si="0"/>
        <v>0</v>
      </c>
      <c r="I8" s="201">
        <v>6.5</v>
      </c>
      <c r="J8" s="216" t="s">
        <v>188</v>
      </c>
    </row>
    <row r="9" spans="1:10" ht="14.25" customHeight="1">
      <c r="A9" s="203"/>
      <c r="B9" s="204" t="s">
        <v>187</v>
      </c>
      <c r="C9" s="205" t="s">
        <v>189</v>
      </c>
      <c r="D9" s="206" t="s">
        <v>362</v>
      </c>
      <c r="E9" s="200">
        <v>200000000</v>
      </c>
      <c r="F9" s="200">
        <v>0</v>
      </c>
      <c r="G9" s="200">
        <v>200000000</v>
      </c>
      <c r="H9" s="200">
        <f t="shared" si="0"/>
        <v>0</v>
      </c>
      <c r="I9" s="201">
        <v>7.6</v>
      </c>
      <c r="J9" s="216" t="s">
        <v>190</v>
      </c>
    </row>
    <row r="10" spans="1:10" ht="14.25" customHeight="1">
      <c r="A10" s="203"/>
      <c r="B10" s="204" t="s">
        <v>191</v>
      </c>
      <c r="C10" s="205" t="s">
        <v>189</v>
      </c>
      <c r="D10" s="206" t="s">
        <v>363</v>
      </c>
      <c r="E10" s="200">
        <v>200000000</v>
      </c>
      <c r="F10" s="200">
        <v>0</v>
      </c>
      <c r="G10" s="200">
        <v>200000000</v>
      </c>
      <c r="H10" s="200">
        <f t="shared" si="0"/>
        <v>0</v>
      </c>
      <c r="I10" s="201">
        <v>7.6</v>
      </c>
      <c r="J10" s="216" t="s">
        <v>192</v>
      </c>
    </row>
    <row r="11" spans="1:10" ht="14.25" customHeight="1">
      <c r="A11" s="203"/>
      <c r="B11" s="204" t="s">
        <v>191</v>
      </c>
      <c r="C11" s="205" t="s">
        <v>193</v>
      </c>
      <c r="D11" s="206" t="s">
        <v>364</v>
      </c>
      <c r="E11" s="200">
        <v>200000000</v>
      </c>
      <c r="F11" s="200">
        <v>0</v>
      </c>
      <c r="G11" s="200">
        <v>200000000</v>
      </c>
      <c r="H11" s="200">
        <f t="shared" si="0"/>
        <v>0</v>
      </c>
      <c r="I11" s="201">
        <v>6.5</v>
      </c>
      <c r="J11" s="216" t="s">
        <v>194</v>
      </c>
    </row>
    <row r="12" spans="1:10" ht="14.25" customHeight="1">
      <c r="A12" s="203"/>
      <c r="B12" s="204" t="s">
        <v>195</v>
      </c>
      <c r="C12" s="205" t="s">
        <v>189</v>
      </c>
      <c r="D12" s="206" t="s">
        <v>365</v>
      </c>
      <c r="E12" s="200">
        <v>250000000</v>
      </c>
      <c r="F12" s="200">
        <v>0</v>
      </c>
      <c r="G12" s="200">
        <v>250000000</v>
      </c>
      <c r="H12" s="200">
        <f t="shared" si="0"/>
        <v>0</v>
      </c>
      <c r="I12" s="201">
        <v>7.6</v>
      </c>
      <c r="J12" s="216" t="s">
        <v>196</v>
      </c>
    </row>
    <row r="13" spans="1:10" ht="14.25" customHeight="1">
      <c r="A13" s="203"/>
      <c r="B13" s="204" t="s">
        <v>195</v>
      </c>
      <c r="C13" s="263" t="s">
        <v>180</v>
      </c>
      <c r="D13" s="206" t="s">
        <v>366</v>
      </c>
      <c r="E13" s="200">
        <v>100000000</v>
      </c>
      <c r="F13" s="200">
        <v>0</v>
      </c>
      <c r="G13" s="200">
        <v>100000000</v>
      </c>
      <c r="H13" s="200">
        <f t="shared" si="0"/>
        <v>0</v>
      </c>
      <c r="I13" s="201">
        <v>7.3</v>
      </c>
      <c r="J13" s="216" t="s">
        <v>197</v>
      </c>
    </row>
    <row r="14" spans="1:10" ht="14.25" customHeight="1">
      <c r="A14" s="203"/>
      <c r="B14" s="204" t="s">
        <v>195</v>
      </c>
      <c r="C14" s="205" t="s">
        <v>193</v>
      </c>
      <c r="D14" s="206" t="s">
        <v>367</v>
      </c>
      <c r="E14" s="200">
        <v>250000000</v>
      </c>
      <c r="F14" s="200">
        <v>0</v>
      </c>
      <c r="G14" s="200">
        <v>250000000</v>
      </c>
      <c r="H14" s="200">
        <f t="shared" si="0"/>
        <v>0</v>
      </c>
      <c r="I14" s="201">
        <v>6.5</v>
      </c>
      <c r="J14" s="216" t="s">
        <v>198</v>
      </c>
    </row>
    <row r="15" spans="1:10" ht="14.25" customHeight="1">
      <c r="A15" s="203"/>
      <c r="B15" s="204" t="s">
        <v>199</v>
      </c>
      <c r="C15" s="205" t="s">
        <v>189</v>
      </c>
      <c r="D15" s="206" t="s">
        <v>368</v>
      </c>
      <c r="E15" s="200">
        <v>100000000</v>
      </c>
      <c r="F15" s="200">
        <v>0</v>
      </c>
      <c r="G15" s="200">
        <v>100000000</v>
      </c>
      <c r="H15" s="200">
        <f t="shared" si="0"/>
        <v>0</v>
      </c>
      <c r="I15" s="201">
        <v>7.6</v>
      </c>
      <c r="J15" s="216" t="s">
        <v>186</v>
      </c>
    </row>
    <row r="16" spans="1:10" ht="14.25" customHeight="1">
      <c r="A16" s="203"/>
      <c r="B16" s="204" t="s">
        <v>199</v>
      </c>
      <c r="C16" s="205" t="s">
        <v>189</v>
      </c>
      <c r="D16" s="206" t="s">
        <v>369</v>
      </c>
      <c r="E16" s="200">
        <v>170000000</v>
      </c>
      <c r="F16" s="200">
        <v>0</v>
      </c>
      <c r="G16" s="200">
        <v>170000000</v>
      </c>
      <c r="H16" s="200">
        <f t="shared" si="0"/>
        <v>0</v>
      </c>
      <c r="I16" s="201">
        <v>7.6</v>
      </c>
      <c r="J16" s="216" t="s">
        <v>186</v>
      </c>
    </row>
    <row r="17" spans="1:10" ht="14.25" customHeight="1">
      <c r="A17" s="203"/>
      <c r="B17" s="204" t="s">
        <v>199</v>
      </c>
      <c r="C17" s="263" t="s">
        <v>180</v>
      </c>
      <c r="D17" s="206" t="s">
        <v>370</v>
      </c>
      <c r="E17" s="200">
        <v>60000000</v>
      </c>
      <c r="F17" s="200">
        <v>0</v>
      </c>
      <c r="G17" s="200">
        <v>60000000</v>
      </c>
      <c r="H17" s="200">
        <f t="shared" si="0"/>
        <v>0</v>
      </c>
      <c r="I17" s="201">
        <v>7.3</v>
      </c>
      <c r="J17" s="216" t="s">
        <v>200</v>
      </c>
    </row>
    <row r="18" spans="1:10" ht="14.25" customHeight="1">
      <c r="A18" s="203"/>
      <c r="B18" s="204" t="s">
        <v>199</v>
      </c>
      <c r="C18" s="205" t="s">
        <v>193</v>
      </c>
      <c r="D18" s="206" t="s">
        <v>371</v>
      </c>
      <c r="E18" s="200">
        <v>270000000</v>
      </c>
      <c r="F18" s="200">
        <v>0</v>
      </c>
      <c r="G18" s="200">
        <v>270000000</v>
      </c>
      <c r="H18" s="200">
        <f t="shared" si="0"/>
        <v>0</v>
      </c>
      <c r="I18" s="201">
        <v>6.5</v>
      </c>
      <c r="J18" s="216" t="s">
        <v>201</v>
      </c>
    </row>
    <row r="19" spans="1:10" ht="14.25" customHeight="1">
      <c r="A19" s="203"/>
      <c r="B19" s="204" t="s">
        <v>202</v>
      </c>
      <c r="C19" s="205" t="s">
        <v>189</v>
      </c>
      <c r="D19" s="206" t="s">
        <v>372</v>
      </c>
      <c r="E19" s="200">
        <v>160000000</v>
      </c>
      <c r="F19" s="200">
        <v>0</v>
      </c>
      <c r="G19" s="200">
        <v>160000000</v>
      </c>
      <c r="H19" s="200">
        <f t="shared" si="0"/>
        <v>0</v>
      </c>
      <c r="I19" s="201">
        <v>7.4</v>
      </c>
      <c r="J19" s="216" t="s">
        <v>203</v>
      </c>
    </row>
    <row r="20" spans="1:10" ht="14.25" customHeight="1">
      <c r="A20" s="203"/>
      <c r="B20" s="204" t="s">
        <v>202</v>
      </c>
      <c r="C20" s="205" t="s">
        <v>193</v>
      </c>
      <c r="D20" s="206" t="s">
        <v>373</v>
      </c>
      <c r="E20" s="200">
        <v>200000000</v>
      </c>
      <c r="F20" s="200">
        <v>0</v>
      </c>
      <c r="G20" s="200">
        <v>200000000</v>
      </c>
      <c r="H20" s="200">
        <f t="shared" si="0"/>
        <v>0</v>
      </c>
      <c r="I20" s="201">
        <v>6.5</v>
      </c>
      <c r="J20" s="216" t="s">
        <v>204</v>
      </c>
    </row>
    <row r="21" spans="1:10" ht="14.25" customHeight="1">
      <c r="A21" s="203"/>
      <c r="B21" s="204" t="s">
        <v>205</v>
      </c>
      <c r="C21" s="263" t="s">
        <v>180</v>
      </c>
      <c r="D21" s="206" t="s">
        <v>374</v>
      </c>
      <c r="E21" s="200">
        <v>30000000</v>
      </c>
      <c r="F21" s="200">
        <v>0</v>
      </c>
      <c r="G21" s="200">
        <v>30000000</v>
      </c>
      <c r="H21" s="200">
        <f t="shared" si="0"/>
        <v>0</v>
      </c>
      <c r="I21" s="201">
        <v>7.1</v>
      </c>
      <c r="J21" s="216" t="s">
        <v>206</v>
      </c>
    </row>
    <row r="22" spans="1:10" ht="14.25" customHeight="1">
      <c r="A22" s="203"/>
      <c r="B22" s="204" t="s">
        <v>205</v>
      </c>
      <c r="C22" s="263" t="s">
        <v>184</v>
      </c>
      <c r="D22" s="206" t="s">
        <v>375</v>
      </c>
      <c r="E22" s="200">
        <v>50000000</v>
      </c>
      <c r="F22" s="200">
        <v>0</v>
      </c>
      <c r="G22" s="200">
        <v>50000000</v>
      </c>
      <c r="H22" s="200">
        <f t="shared" si="0"/>
        <v>0</v>
      </c>
      <c r="I22" s="201">
        <v>7.1</v>
      </c>
      <c r="J22" s="216" t="s">
        <v>171</v>
      </c>
    </row>
    <row r="23" spans="1:10" ht="14.25" customHeight="1">
      <c r="A23" s="276"/>
      <c r="B23" s="277" t="s">
        <v>205</v>
      </c>
      <c r="C23" s="278" t="s">
        <v>207</v>
      </c>
      <c r="D23" s="279" t="s">
        <v>375</v>
      </c>
      <c r="E23" s="280">
        <v>50000000</v>
      </c>
      <c r="F23" s="200">
        <v>0</v>
      </c>
      <c r="G23" s="200">
        <v>50000000</v>
      </c>
      <c r="H23" s="200">
        <f t="shared" si="0"/>
        <v>0</v>
      </c>
      <c r="I23" s="208">
        <v>7.1</v>
      </c>
      <c r="J23" s="281" t="s">
        <v>171</v>
      </c>
    </row>
    <row r="24" spans="1:10" ht="17.25" customHeight="1">
      <c r="A24" s="219" t="s">
        <v>376</v>
      </c>
      <c r="B24" s="220" t="s">
        <v>173</v>
      </c>
      <c r="C24" s="221" t="s">
        <v>173</v>
      </c>
      <c r="D24" s="222" t="s">
        <v>173</v>
      </c>
      <c r="E24" s="245">
        <f>SUM(E5:E23)</f>
        <v>2540000000</v>
      </c>
      <c r="F24" s="245">
        <f>SUM(F5:F23)</f>
        <v>0</v>
      </c>
      <c r="G24" s="245">
        <f>SUM(G5:G23)</f>
        <v>2540000000</v>
      </c>
      <c r="H24" s="245">
        <f>SUM(H5:H23)</f>
        <v>0</v>
      </c>
      <c r="I24" s="223"/>
      <c r="J24" s="224" t="s">
        <v>173</v>
      </c>
    </row>
    <row r="25" spans="1:10" ht="14.25" customHeight="1">
      <c r="A25" s="209" t="s">
        <v>208</v>
      </c>
      <c r="B25" s="265" t="s">
        <v>377</v>
      </c>
      <c r="C25" s="249" t="s">
        <v>189</v>
      </c>
      <c r="D25" s="211" t="s">
        <v>378</v>
      </c>
      <c r="E25" s="250">
        <v>340000000</v>
      </c>
      <c r="F25" s="200">
        <v>0</v>
      </c>
      <c r="G25" s="200">
        <v>340000000</v>
      </c>
      <c r="H25" s="200">
        <f t="shared" si="0"/>
        <v>0</v>
      </c>
      <c r="I25" s="213">
        <v>7.4</v>
      </c>
      <c r="J25" s="235" t="s">
        <v>209</v>
      </c>
    </row>
    <row r="26" spans="1:10" ht="14.25" customHeight="1">
      <c r="A26" s="203" t="s">
        <v>182</v>
      </c>
      <c r="B26" s="282" t="s">
        <v>205</v>
      </c>
      <c r="C26" s="263" t="s">
        <v>180</v>
      </c>
      <c r="D26" s="206" t="s">
        <v>375</v>
      </c>
      <c r="E26" s="200">
        <v>200000000</v>
      </c>
      <c r="F26" s="200">
        <v>0</v>
      </c>
      <c r="G26" s="200">
        <v>200000000</v>
      </c>
      <c r="H26" s="200">
        <f t="shared" si="0"/>
        <v>0</v>
      </c>
      <c r="I26" s="201">
        <v>7.1</v>
      </c>
      <c r="J26" s="216" t="s">
        <v>171</v>
      </c>
    </row>
    <row r="27" spans="1:10" ht="14.25" customHeight="1">
      <c r="A27" s="203"/>
      <c r="B27" s="282" t="s">
        <v>205</v>
      </c>
      <c r="C27" s="205" t="s">
        <v>193</v>
      </c>
      <c r="D27" s="206" t="s">
        <v>379</v>
      </c>
      <c r="E27" s="200">
        <v>370000000</v>
      </c>
      <c r="F27" s="200">
        <v>0</v>
      </c>
      <c r="G27" s="200">
        <v>370000000</v>
      </c>
      <c r="H27" s="200">
        <f t="shared" si="0"/>
        <v>0</v>
      </c>
      <c r="I27" s="201">
        <v>6.5</v>
      </c>
      <c r="J27" s="216" t="s">
        <v>210</v>
      </c>
    </row>
    <row r="28" spans="1:10" ht="14.25" customHeight="1">
      <c r="A28" s="203"/>
      <c r="B28" s="282" t="s">
        <v>211</v>
      </c>
      <c r="C28" s="205" t="s">
        <v>189</v>
      </c>
      <c r="D28" s="206" t="s">
        <v>380</v>
      </c>
      <c r="E28" s="200">
        <v>200000000</v>
      </c>
      <c r="F28" s="200">
        <v>0</v>
      </c>
      <c r="G28" s="200">
        <v>200000000</v>
      </c>
      <c r="H28" s="200">
        <f t="shared" si="0"/>
        <v>0</v>
      </c>
      <c r="I28" s="201">
        <v>7.3</v>
      </c>
      <c r="J28" s="216" t="s">
        <v>212</v>
      </c>
    </row>
    <row r="29" spans="1:10" ht="14.25" customHeight="1">
      <c r="A29" s="203"/>
      <c r="B29" s="282" t="s">
        <v>211</v>
      </c>
      <c r="C29" s="205" t="s">
        <v>213</v>
      </c>
      <c r="D29" s="206" t="s">
        <v>381</v>
      </c>
      <c r="E29" s="200">
        <v>300000000</v>
      </c>
      <c r="F29" s="200">
        <v>0</v>
      </c>
      <c r="G29" s="200">
        <v>300000000</v>
      </c>
      <c r="H29" s="200">
        <f t="shared" si="0"/>
        <v>0</v>
      </c>
      <c r="I29" s="201">
        <v>6.5</v>
      </c>
      <c r="J29" s="216" t="s">
        <v>214</v>
      </c>
    </row>
    <row r="30" spans="1:10" ht="14.25" customHeight="1">
      <c r="A30" s="203"/>
      <c r="B30" s="282" t="s">
        <v>211</v>
      </c>
      <c r="C30" s="205" t="s">
        <v>189</v>
      </c>
      <c r="D30" s="206" t="s">
        <v>382</v>
      </c>
      <c r="E30" s="200">
        <v>220000000</v>
      </c>
      <c r="F30" s="200">
        <v>0</v>
      </c>
      <c r="G30" s="200">
        <v>220000000</v>
      </c>
      <c r="H30" s="200">
        <f t="shared" si="0"/>
        <v>0</v>
      </c>
      <c r="I30" s="201">
        <v>7.3</v>
      </c>
      <c r="J30" s="216" t="s">
        <v>212</v>
      </c>
    </row>
    <row r="31" spans="1:10" ht="14.25" customHeight="1">
      <c r="A31" s="203"/>
      <c r="B31" s="282" t="s">
        <v>211</v>
      </c>
      <c r="C31" s="263" t="s">
        <v>180</v>
      </c>
      <c r="D31" s="206" t="s">
        <v>383</v>
      </c>
      <c r="E31" s="200">
        <v>100000000</v>
      </c>
      <c r="F31" s="200">
        <v>0</v>
      </c>
      <c r="G31" s="200">
        <v>100000000</v>
      </c>
      <c r="H31" s="200">
        <f t="shared" si="0"/>
        <v>0</v>
      </c>
      <c r="I31" s="201">
        <v>7.3</v>
      </c>
      <c r="J31" s="216" t="s">
        <v>171</v>
      </c>
    </row>
    <row r="32" spans="1:10" ht="14.25" customHeight="1">
      <c r="A32" s="203"/>
      <c r="B32" s="282" t="s">
        <v>211</v>
      </c>
      <c r="C32" s="205" t="s">
        <v>193</v>
      </c>
      <c r="D32" s="206" t="s">
        <v>384</v>
      </c>
      <c r="E32" s="200">
        <v>480000000</v>
      </c>
      <c r="F32" s="200">
        <v>0</v>
      </c>
      <c r="G32" s="200">
        <v>480000000</v>
      </c>
      <c r="H32" s="200">
        <f t="shared" si="0"/>
        <v>0</v>
      </c>
      <c r="I32" s="201">
        <v>6.5</v>
      </c>
      <c r="J32" s="216" t="s">
        <v>214</v>
      </c>
    </row>
    <row r="33" spans="1:10" ht="14.25" customHeight="1">
      <c r="A33" s="203"/>
      <c r="B33" s="282" t="s">
        <v>215</v>
      </c>
      <c r="C33" s="205" t="s">
        <v>189</v>
      </c>
      <c r="D33" s="206" t="s">
        <v>385</v>
      </c>
      <c r="E33" s="200">
        <v>300000000</v>
      </c>
      <c r="F33" s="200">
        <v>0</v>
      </c>
      <c r="G33" s="200">
        <v>300000000</v>
      </c>
      <c r="H33" s="200">
        <f t="shared" si="0"/>
        <v>0</v>
      </c>
      <c r="I33" s="201">
        <v>7.3</v>
      </c>
      <c r="J33" s="216" t="s">
        <v>188</v>
      </c>
    </row>
    <row r="34" spans="1:10" ht="14.25" customHeight="1">
      <c r="A34" s="203"/>
      <c r="B34" s="282" t="s">
        <v>215</v>
      </c>
      <c r="C34" s="205" t="s">
        <v>189</v>
      </c>
      <c r="D34" s="206" t="s">
        <v>385</v>
      </c>
      <c r="E34" s="200">
        <v>620000000</v>
      </c>
      <c r="F34" s="200">
        <v>0</v>
      </c>
      <c r="G34" s="200">
        <v>620000000</v>
      </c>
      <c r="H34" s="200">
        <f t="shared" si="0"/>
        <v>0</v>
      </c>
      <c r="I34" s="201">
        <v>7.3</v>
      </c>
      <c r="J34" s="216" t="s">
        <v>188</v>
      </c>
    </row>
    <row r="35" spans="1:10" ht="14.25" customHeight="1">
      <c r="A35" s="203"/>
      <c r="B35" s="282" t="s">
        <v>215</v>
      </c>
      <c r="C35" s="263" t="s">
        <v>180</v>
      </c>
      <c r="D35" s="206" t="s">
        <v>386</v>
      </c>
      <c r="E35" s="200">
        <v>100000000</v>
      </c>
      <c r="F35" s="200">
        <v>0</v>
      </c>
      <c r="G35" s="200">
        <v>100000000</v>
      </c>
      <c r="H35" s="200">
        <f t="shared" si="0"/>
        <v>0</v>
      </c>
      <c r="I35" s="201">
        <v>7.1</v>
      </c>
      <c r="J35" s="216" t="s">
        <v>216</v>
      </c>
    </row>
    <row r="36" spans="1:10" ht="14.25" customHeight="1">
      <c r="A36" s="203"/>
      <c r="B36" s="282" t="s">
        <v>215</v>
      </c>
      <c r="C36" s="205" t="s">
        <v>193</v>
      </c>
      <c r="D36" s="206" t="s">
        <v>387</v>
      </c>
      <c r="E36" s="200">
        <v>280000000</v>
      </c>
      <c r="F36" s="200">
        <v>0</v>
      </c>
      <c r="G36" s="200">
        <v>280000000</v>
      </c>
      <c r="H36" s="200">
        <f t="shared" si="0"/>
        <v>0</v>
      </c>
      <c r="I36" s="201">
        <v>6.5</v>
      </c>
      <c r="J36" s="202" t="s">
        <v>217</v>
      </c>
    </row>
    <row r="37" spans="1:10" ht="14.25" customHeight="1">
      <c r="A37" s="203"/>
      <c r="B37" s="282" t="s">
        <v>218</v>
      </c>
      <c r="C37" s="205" t="s">
        <v>189</v>
      </c>
      <c r="D37" s="206" t="s">
        <v>388</v>
      </c>
      <c r="E37" s="200">
        <v>350000000</v>
      </c>
      <c r="F37" s="200">
        <v>0</v>
      </c>
      <c r="G37" s="200">
        <v>350000000</v>
      </c>
      <c r="H37" s="200">
        <f t="shared" si="0"/>
        <v>0</v>
      </c>
      <c r="I37" s="201">
        <v>7.3</v>
      </c>
      <c r="J37" s="202" t="s">
        <v>214</v>
      </c>
    </row>
    <row r="38" spans="1:10" ht="14.25" customHeight="1">
      <c r="A38" s="203"/>
      <c r="B38" s="282" t="s">
        <v>218</v>
      </c>
      <c r="C38" s="205" t="s">
        <v>185</v>
      </c>
      <c r="D38" s="206" t="s">
        <v>389</v>
      </c>
      <c r="E38" s="200">
        <v>780000000</v>
      </c>
      <c r="F38" s="200">
        <v>0</v>
      </c>
      <c r="G38" s="200">
        <v>780000000</v>
      </c>
      <c r="H38" s="200">
        <f t="shared" si="0"/>
        <v>0</v>
      </c>
      <c r="I38" s="201">
        <v>6.5</v>
      </c>
      <c r="J38" s="202" t="s">
        <v>219</v>
      </c>
    </row>
    <row r="39" spans="1:10" ht="14.25" customHeight="1">
      <c r="A39" s="203"/>
      <c r="B39" s="282" t="s">
        <v>218</v>
      </c>
      <c r="C39" s="205" t="s">
        <v>189</v>
      </c>
      <c r="D39" s="206" t="s">
        <v>390</v>
      </c>
      <c r="E39" s="200">
        <v>210000000</v>
      </c>
      <c r="F39" s="200">
        <v>0</v>
      </c>
      <c r="G39" s="200">
        <v>210000000</v>
      </c>
      <c r="H39" s="200">
        <f t="shared" si="0"/>
        <v>0</v>
      </c>
      <c r="I39" s="201">
        <v>7.3</v>
      </c>
      <c r="J39" s="202" t="s">
        <v>214</v>
      </c>
    </row>
    <row r="40" spans="1:10" ht="14.25" customHeight="1">
      <c r="A40" s="203"/>
      <c r="B40" s="282" t="s">
        <v>220</v>
      </c>
      <c r="C40" s="205" t="s">
        <v>189</v>
      </c>
      <c r="D40" s="206" t="s">
        <v>391</v>
      </c>
      <c r="E40" s="200">
        <v>200000000</v>
      </c>
      <c r="F40" s="200">
        <v>0</v>
      </c>
      <c r="G40" s="200">
        <v>200000000</v>
      </c>
      <c r="H40" s="200">
        <f t="shared" si="0"/>
        <v>0</v>
      </c>
      <c r="I40" s="201">
        <v>7</v>
      </c>
      <c r="J40" s="202" t="s">
        <v>217</v>
      </c>
    </row>
    <row r="41" spans="1:10" ht="14.25" customHeight="1">
      <c r="A41" s="203"/>
      <c r="B41" s="282" t="s">
        <v>220</v>
      </c>
      <c r="C41" s="205" t="s">
        <v>193</v>
      </c>
      <c r="D41" s="206" t="s">
        <v>392</v>
      </c>
      <c r="E41" s="200">
        <v>230000000</v>
      </c>
      <c r="F41" s="200">
        <v>0</v>
      </c>
      <c r="G41" s="200">
        <v>230000000</v>
      </c>
      <c r="H41" s="200">
        <f t="shared" si="0"/>
        <v>0</v>
      </c>
      <c r="I41" s="201">
        <v>6.5</v>
      </c>
      <c r="J41" s="202" t="s">
        <v>221</v>
      </c>
    </row>
    <row r="42" spans="1:10" ht="14.25" customHeight="1">
      <c r="A42" s="276"/>
      <c r="B42" s="282" t="s">
        <v>218</v>
      </c>
      <c r="C42" s="205" t="s">
        <v>180</v>
      </c>
      <c r="D42" s="206" t="s">
        <v>393</v>
      </c>
      <c r="E42" s="200">
        <v>60000000</v>
      </c>
      <c r="F42" s="200">
        <v>0</v>
      </c>
      <c r="G42" s="200">
        <v>60000000</v>
      </c>
      <c r="H42" s="200">
        <f t="shared" si="0"/>
        <v>0</v>
      </c>
      <c r="I42" s="201">
        <v>7.1</v>
      </c>
      <c r="J42" s="202" t="s">
        <v>196</v>
      </c>
    </row>
    <row r="43" spans="1:10" ht="17.25" customHeight="1">
      <c r="A43" s="219" t="s">
        <v>376</v>
      </c>
      <c r="B43" s="220" t="s">
        <v>173</v>
      </c>
      <c r="C43" s="221" t="s">
        <v>173</v>
      </c>
      <c r="D43" s="222" t="s">
        <v>173</v>
      </c>
      <c r="E43" s="245">
        <f>SUM(E25:E42)</f>
        <v>5340000000</v>
      </c>
      <c r="F43" s="245">
        <f>SUM(F25:F42)</f>
        <v>0</v>
      </c>
      <c r="G43" s="245">
        <f>SUM(G25:G42)</f>
        <v>5340000000</v>
      </c>
      <c r="H43" s="245">
        <f>SUM(H25:H42)</f>
        <v>0</v>
      </c>
      <c r="I43" s="223"/>
      <c r="J43" s="224" t="s">
        <v>173</v>
      </c>
    </row>
    <row r="44" spans="1:10" ht="14.25" customHeight="1">
      <c r="A44" s="215" t="s">
        <v>222</v>
      </c>
      <c r="B44" s="204" t="s">
        <v>394</v>
      </c>
      <c r="C44" s="205" t="s">
        <v>189</v>
      </c>
      <c r="D44" s="206" t="s">
        <v>395</v>
      </c>
      <c r="E44" s="200">
        <v>40000000</v>
      </c>
      <c r="F44" s="200">
        <v>0</v>
      </c>
      <c r="G44" s="200">
        <v>40000000</v>
      </c>
      <c r="H44" s="200">
        <f t="shared" si="0"/>
        <v>0</v>
      </c>
      <c r="I44" s="201">
        <v>7.3</v>
      </c>
      <c r="J44" s="202" t="s">
        <v>214</v>
      </c>
    </row>
    <row r="45" spans="1:10" ht="14.25" customHeight="1">
      <c r="A45" s="203" t="s">
        <v>182</v>
      </c>
      <c r="B45" s="204" t="s">
        <v>218</v>
      </c>
      <c r="C45" s="205" t="s">
        <v>185</v>
      </c>
      <c r="D45" s="206" t="s">
        <v>396</v>
      </c>
      <c r="E45" s="200">
        <v>25000000</v>
      </c>
      <c r="F45" s="200">
        <v>0</v>
      </c>
      <c r="G45" s="200">
        <v>25000000</v>
      </c>
      <c r="H45" s="200">
        <f t="shared" si="0"/>
        <v>0</v>
      </c>
      <c r="I45" s="201">
        <v>6.5</v>
      </c>
      <c r="J45" s="202" t="s">
        <v>219</v>
      </c>
    </row>
    <row r="46" spans="1:10" ht="14.25" customHeight="1">
      <c r="A46" s="203"/>
      <c r="B46" s="204" t="s">
        <v>220</v>
      </c>
      <c r="C46" s="205" t="s">
        <v>189</v>
      </c>
      <c r="D46" s="206" t="s">
        <v>391</v>
      </c>
      <c r="E46" s="200">
        <v>300000000</v>
      </c>
      <c r="F46" s="200">
        <v>0</v>
      </c>
      <c r="G46" s="200">
        <v>300000000</v>
      </c>
      <c r="H46" s="200">
        <f t="shared" si="0"/>
        <v>0</v>
      </c>
      <c r="I46" s="201">
        <v>7</v>
      </c>
      <c r="J46" s="202" t="s">
        <v>217</v>
      </c>
    </row>
    <row r="47" spans="1:10" ht="14.25" customHeight="1">
      <c r="A47" s="203"/>
      <c r="B47" s="204" t="s">
        <v>220</v>
      </c>
      <c r="C47" s="205" t="s">
        <v>189</v>
      </c>
      <c r="D47" s="206" t="s">
        <v>397</v>
      </c>
      <c r="E47" s="200">
        <v>570000000</v>
      </c>
      <c r="F47" s="200">
        <v>0</v>
      </c>
      <c r="G47" s="200">
        <v>570000000</v>
      </c>
      <c r="H47" s="200">
        <f t="shared" si="0"/>
        <v>0</v>
      </c>
      <c r="I47" s="201">
        <v>7</v>
      </c>
      <c r="J47" s="202" t="s">
        <v>217</v>
      </c>
    </row>
    <row r="48" spans="1:10" ht="14.25" customHeight="1">
      <c r="A48" s="215"/>
      <c r="B48" s="204" t="s">
        <v>220</v>
      </c>
      <c r="C48" s="205" t="s">
        <v>180</v>
      </c>
      <c r="D48" s="206" t="s">
        <v>398</v>
      </c>
      <c r="E48" s="200">
        <v>300000000</v>
      </c>
      <c r="F48" s="200">
        <v>0</v>
      </c>
      <c r="G48" s="200">
        <v>300000000</v>
      </c>
      <c r="H48" s="200">
        <f t="shared" si="0"/>
        <v>0</v>
      </c>
      <c r="I48" s="201">
        <v>7.1</v>
      </c>
      <c r="J48" s="202" t="s">
        <v>203</v>
      </c>
    </row>
    <row r="49" spans="1:10" ht="14.25" customHeight="1">
      <c r="A49" s="215"/>
      <c r="B49" s="204" t="s">
        <v>218</v>
      </c>
      <c r="C49" s="205" t="s">
        <v>180</v>
      </c>
      <c r="D49" s="206" t="s">
        <v>393</v>
      </c>
      <c r="E49" s="200">
        <v>650000000</v>
      </c>
      <c r="F49" s="200">
        <v>0</v>
      </c>
      <c r="G49" s="200">
        <v>650000000</v>
      </c>
      <c r="H49" s="200">
        <f t="shared" si="0"/>
        <v>0</v>
      </c>
      <c r="I49" s="201">
        <v>7.1</v>
      </c>
      <c r="J49" s="202" t="s">
        <v>196</v>
      </c>
    </row>
    <row r="50" spans="1:10" ht="14.25" customHeight="1">
      <c r="A50" s="215"/>
      <c r="B50" s="206" t="s">
        <v>399</v>
      </c>
      <c r="C50" s="205" t="s">
        <v>185</v>
      </c>
      <c r="D50" s="206" t="s">
        <v>400</v>
      </c>
      <c r="E50" s="200">
        <v>1330000000</v>
      </c>
      <c r="F50" s="200">
        <v>0</v>
      </c>
      <c r="G50" s="200">
        <v>1330000000</v>
      </c>
      <c r="H50" s="200">
        <f t="shared" si="0"/>
        <v>0</v>
      </c>
      <c r="I50" s="201">
        <v>6.5</v>
      </c>
      <c r="J50" s="202" t="s">
        <v>221</v>
      </c>
    </row>
    <row r="51" spans="1:10" ht="14.25" customHeight="1">
      <c r="A51" s="215"/>
      <c r="B51" s="204">
        <v>42</v>
      </c>
      <c r="C51" s="205" t="s">
        <v>189</v>
      </c>
      <c r="D51" s="206" t="s">
        <v>401</v>
      </c>
      <c r="E51" s="200">
        <v>480000000</v>
      </c>
      <c r="F51" s="200">
        <v>0</v>
      </c>
      <c r="G51" s="200">
        <v>480000000</v>
      </c>
      <c r="H51" s="200">
        <f t="shared" si="0"/>
        <v>0</v>
      </c>
      <c r="I51" s="201">
        <v>7</v>
      </c>
      <c r="J51" s="202" t="s">
        <v>223</v>
      </c>
    </row>
    <row r="52" spans="1:10" ht="14.25" customHeight="1">
      <c r="A52" s="203"/>
      <c r="B52" s="204" t="s">
        <v>224</v>
      </c>
      <c r="C52" s="205" t="s">
        <v>185</v>
      </c>
      <c r="D52" s="206" t="s">
        <v>402</v>
      </c>
      <c r="E52" s="200">
        <v>990000000</v>
      </c>
      <c r="F52" s="200">
        <v>0</v>
      </c>
      <c r="G52" s="200">
        <v>990000000</v>
      </c>
      <c r="H52" s="200">
        <f t="shared" si="0"/>
        <v>0</v>
      </c>
      <c r="I52" s="201">
        <v>6.5</v>
      </c>
      <c r="J52" s="202" t="s">
        <v>225</v>
      </c>
    </row>
    <row r="53" spans="1:10" ht="14.25" customHeight="1">
      <c r="A53" s="218"/>
      <c r="B53" s="204">
        <v>42</v>
      </c>
      <c r="C53" s="205" t="s">
        <v>180</v>
      </c>
      <c r="D53" s="206" t="s">
        <v>711</v>
      </c>
      <c r="E53" s="200">
        <v>230000000</v>
      </c>
      <c r="F53" s="200">
        <v>0</v>
      </c>
      <c r="G53" s="200">
        <v>230000000</v>
      </c>
      <c r="H53" s="200">
        <f t="shared" si="0"/>
        <v>0</v>
      </c>
      <c r="I53" s="201">
        <v>7.1</v>
      </c>
      <c r="J53" s="283" t="s">
        <v>203</v>
      </c>
    </row>
    <row r="54" spans="1:10" ht="14.25" customHeight="1">
      <c r="A54" s="218"/>
      <c r="B54" s="204" t="s">
        <v>226</v>
      </c>
      <c r="C54" s="205" t="s">
        <v>189</v>
      </c>
      <c r="D54" s="206" t="s">
        <v>322</v>
      </c>
      <c r="E54" s="200">
        <v>300000000</v>
      </c>
      <c r="F54" s="200">
        <v>0</v>
      </c>
      <c r="G54" s="200">
        <v>300000000</v>
      </c>
      <c r="H54" s="200">
        <f t="shared" si="0"/>
        <v>0</v>
      </c>
      <c r="I54" s="201">
        <v>7</v>
      </c>
      <c r="J54" s="283" t="s">
        <v>227</v>
      </c>
    </row>
    <row r="55" spans="1:10" ht="14.25" customHeight="1" thickBot="1">
      <c r="A55" s="284"/>
      <c r="B55" s="285">
        <v>43</v>
      </c>
      <c r="C55" s="286" t="s">
        <v>189</v>
      </c>
      <c r="D55" s="287" t="s">
        <v>323</v>
      </c>
      <c r="E55" s="268">
        <v>500000000</v>
      </c>
      <c r="F55" s="268">
        <v>0</v>
      </c>
      <c r="G55" s="268">
        <v>500000000</v>
      </c>
      <c r="H55" s="268">
        <f t="shared" si="0"/>
        <v>0</v>
      </c>
      <c r="I55" s="288">
        <v>7</v>
      </c>
      <c r="J55" s="289" t="s">
        <v>227</v>
      </c>
    </row>
    <row r="56" spans="1:10" ht="9.75" customHeight="1" thickBot="1">
      <c r="A56" s="252"/>
      <c r="B56" s="282"/>
      <c r="C56" s="252"/>
      <c r="D56" s="265"/>
      <c r="E56" s="253"/>
      <c r="F56" s="253"/>
      <c r="G56" s="253"/>
      <c r="H56" s="253"/>
      <c r="I56" s="255"/>
      <c r="J56" s="251"/>
    </row>
    <row r="57" spans="1:10">
      <c r="A57" s="479" t="s">
        <v>26</v>
      </c>
      <c r="B57" s="481" t="s">
        <v>311</v>
      </c>
      <c r="C57" s="483" t="s">
        <v>27</v>
      </c>
      <c r="D57" s="481" t="s">
        <v>312</v>
      </c>
      <c r="E57" s="485" t="s">
        <v>28</v>
      </c>
      <c r="F57" s="487" t="s">
        <v>29</v>
      </c>
      <c r="G57" s="488"/>
      <c r="H57" s="489" t="s">
        <v>174</v>
      </c>
      <c r="I57" s="491" t="s">
        <v>30</v>
      </c>
      <c r="J57" s="477" t="s">
        <v>313</v>
      </c>
    </row>
    <row r="58" spans="1:10">
      <c r="A58" s="480"/>
      <c r="B58" s="482"/>
      <c r="C58" s="484"/>
      <c r="D58" s="482"/>
      <c r="E58" s="486"/>
      <c r="F58" s="207" t="s">
        <v>176</v>
      </c>
      <c r="G58" s="290" t="s">
        <v>305</v>
      </c>
      <c r="H58" s="490"/>
      <c r="I58" s="492"/>
      <c r="J58" s="478"/>
    </row>
    <row r="59" spans="1:10">
      <c r="A59" s="209"/>
      <c r="B59" s="210"/>
      <c r="C59" s="210"/>
      <c r="D59" s="211" t="s">
        <v>177</v>
      </c>
      <c r="E59" s="212" t="s">
        <v>178</v>
      </c>
      <c r="F59" s="212" t="s">
        <v>172</v>
      </c>
      <c r="G59" s="291" t="s">
        <v>178</v>
      </c>
      <c r="H59" s="212" t="s">
        <v>178</v>
      </c>
      <c r="I59" s="213" t="s">
        <v>31</v>
      </c>
      <c r="J59" s="214" t="s">
        <v>175</v>
      </c>
    </row>
    <row r="60" spans="1:10" ht="14.25" customHeight="1">
      <c r="A60" s="215" t="s">
        <v>222</v>
      </c>
      <c r="B60" s="204" t="s">
        <v>330</v>
      </c>
      <c r="C60" s="205" t="s">
        <v>189</v>
      </c>
      <c r="D60" s="206" t="s">
        <v>690</v>
      </c>
      <c r="E60" s="200">
        <v>310000000</v>
      </c>
      <c r="F60" s="200">
        <v>0</v>
      </c>
      <c r="G60" s="292">
        <v>310000000</v>
      </c>
      <c r="H60" s="200">
        <f t="shared" ref="H60:H111" si="1">E60-G60</f>
        <v>0</v>
      </c>
      <c r="I60" s="201">
        <v>7</v>
      </c>
      <c r="J60" s="202" t="s">
        <v>227</v>
      </c>
    </row>
    <row r="61" spans="1:10" ht="14.25" customHeight="1">
      <c r="A61" s="203" t="s">
        <v>182</v>
      </c>
      <c r="B61" s="204" t="s">
        <v>226</v>
      </c>
      <c r="C61" s="205" t="s">
        <v>180</v>
      </c>
      <c r="D61" s="206" t="s">
        <v>405</v>
      </c>
      <c r="E61" s="200">
        <v>260000000</v>
      </c>
      <c r="F61" s="200">
        <v>0</v>
      </c>
      <c r="G61" s="292">
        <v>260000000</v>
      </c>
      <c r="H61" s="200">
        <f t="shared" si="1"/>
        <v>0</v>
      </c>
      <c r="I61" s="201">
        <v>7.1</v>
      </c>
      <c r="J61" s="202" t="s">
        <v>209</v>
      </c>
    </row>
    <row r="62" spans="1:10" ht="14.25" customHeight="1">
      <c r="A62" s="203"/>
      <c r="B62" s="204" t="s">
        <v>226</v>
      </c>
      <c r="C62" s="205" t="s">
        <v>185</v>
      </c>
      <c r="D62" s="206" t="s">
        <v>406</v>
      </c>
      <c r="E62" s="200">
        <v>2130000000</v>
      </c>
      <c r="F62" s="200">
        <v>0</v>
      </c>
      <c r="G62" s="292">
        <v>2130000000</v>
      </c>
      <c r="H62" s="200">
        <f t="shared" si="1"/>
        <v>0</v>
      </c>
      <c r="I62" s="201">
        <v>6.5</v>
      </c>
      <c r="J62" s="202" t="s">
        <v>228</v>
      </c>
    </row>
    <row r="63" spans="1:10" ht="14.25" customHeight="1">
      <c r="A63" s="203"/>
      <c r="B63" s="204" t="s">
        <v>229</v>
      </c>
      <c r="C63" s="205" t="s">
        <v>189</v>
      </c>
      <c r="D63" s="206" t="s">
        <v>407</v>
      </c>
      <c r="E63" s="200">
        <v>300000000</v>
      </c>
      <c r="F63" s="200">
        <v>0</v>
      </c>
      <c r="G63" s="292">
        <v>300000000</v>
      </c>
      <c r="H63" s="200">
        <f t="shared" si="1"/>
        <v>0</v>
      </c>
      <c r="I63" s="201">
        <v>7</v>
      </c>
      <c r="J63" s="202" t="s">
        <v>230</v>
      </c>
    </row>
    <row r="64" spans="1:10" ht="14.25" customHeight="1">
      <c r="A64" s="203"/>
      <c r="B64" s="204" t="s">
        <v>229</v>
      </c>
      <c r="C64" s="205" t="s">
        <v>189</v>
      </c>
      <c r="D64" s="206" t="s">
        <v>408</v>
      </c>
      <c r="E64" s="200">
        <v>520000000</v>
      </c>
      <c r="F64" s="200">
        <v>0</v>
      </c>
      <c r="G64" s="292">
        <v>520000000</v>
      </c>
      <c r="H64" s="200">
        <f t="shared" si="1"/>
        <v>0</v>
      </c>
      <c r="I64" s="201">
        <v>7</v>
      </c>
      <c r="J64" s="202" t="s">
        <v>230</v>
      </c>
    </row>
    <row r="65" spans="1:10" ht="14.25" customHeight="1">
      <c r="A65" s="203"/>
      <c r="B65" s="204" t="s">
        <v>229</v>
      </c>
      <c r="C65" s="205" t="s">
        <v>189</v>
      </c>
      <c r="D65" s="206" t="s">
        <v>409</v>
      </c>
      <c r="E65" s="200">
        <v>130000000</v>
      </c>
      <c r="F65" s="200">
        <v>0</v>
      </c>
      <c r="G65" s="292">
        <v>130000000</v>
      </c>
      <c r="H65" s="200">
        <f t="shared" si="1"/>
        <v>0</v>
      </c>
      <c r="I65" s="201">
        <v>7</v>
      </c>
      <c r="J65" s="202" t="s">
        <v>230</v>
      </c>
    </row>
    <row r="66" spans="1:10" ht="14.25" customHeight="1">
      <c r="A66" s="203"/>
      <c r="B66" s="204" t="s">
        <v>229</v>
      </c>
      <c r="C66" s="205" t="s">
        <v>180</v>
      </c>
      <c r="D66" s="206" t="s">
        <v>410</v>
      </c>
      <c r="E66" s="200">
        <v>150000000</v>
      </c>
      <c r="F66" s="200">
        <v>0</v>
      </c>
      <c r="G66" s="292">
        <v>150000000</v>
      </c>
      <c r="H66" s="200">
        <f t="shared" si="1"/>
        <v>0</v>
      </c>
      <c r="I66" s="201">
        <v>7.1</v>
      </c>
      <c r="J66" s="202" t="s">
        <v>231</v>
      </c>
    </row>
    <row r="67" spans="1:10" ht="14.25" customHeight="1">
      <c r="A67" s="203"/>
      <c r="B67" s="204" t="s">
        <v>229</v>
      </c>
      <c r="C67" s="205" t="s">
        <v>185</v>
      </c>
      <c r="D67" s="206" t="s">
        <v>411</v>
      </c>
      <c r="E67" s="200">
        <v>1700000000</v>
      </c>
      <c r="F67" s="200">
        <v>0</v>
      </c>
      <c r="G67" s="292">
        <v>1700000000</v>
      </c>
      <c r="H67" s="200">
        <f t="shared" si="1"/>
        <v>0</v>
      </c>
      <c r="I67" s="201">
        <v>6.5</v>
      </c>
      <c r="J67" s="202" t="s">
        <v>232</v>
      </c>
    </row>
    <row r="68" spans="1:10" ht="14.25" customHeight="1">
      <c r="A68" s="203"/>
      <c r="B68" s="204" t="s">
        <v>233</v>
      </c>
      <c r="C68" s="205" t="s">
        <v>189</v>
      </c>
      <c r="D68" s="206" t="s">
        <v>412</v>
      </c>
      <c r="E68" s="200">
        <v>200000000</v>
      </c>
      <c r="F68" s="200">
        <v>0</v>
      </c>
      <c r="G68" s="292">
        <v>200000000</v>
      </c>
      <c r="H68" s="200">
        <f t="shared" si="1"/>
        <v>0</v>
      </c>
      <c r="I68" s="201">
        <v>6.7</v>
      </c>
      <c r="J68" s="202" t="s">
        <v>234</v>
      </c>
    </row>
    <row r="69" spans="1:10" ht="14.25" customHeight="1">
      <c r="A69" s="203"/>
      <c r="B69" s="204" t="s">
        <v>233</v>
      </c>
      <c r="C69" s="205" t="s">
        <v>189</v>
      </c>
      <c r="D69" s="206" t="s">
        <v>412</v>
      </c>
      <c r="E69" s="200">
        <v>600000000</v>
      </c>
      <c r="F69" s="200">
        <v>0</v>
      </c>
      <c r="G69" s="292">
        <v>600000000</v>
      </c>
      <c r="H69" s="200">
        <f t="shared" si="1"/>
        <v>0</v>
      </c>
      <c r="I69" s="201">
        <v>6.7</v>
      </c>
      <c r="J69" s="202" t="s">
        <v>234</v>
      </c>
    </row>
    <row r="70" spans="1:10" ht="14.25" customHeight="1">
      <c r="A70" s="203"/>
      <c r="B70" s="204" t="s">
        <v>233</v>
      </c>
      <c r="C70" s="205" t="s">
        <v>185</v>
      </c>
      <c r="D70" s="206" t="s">
        <v>413</v>
      </c>
      <c r="E70" s="200">
        <v>1560000000</v>
      </c>
      <c r="F70" s="200">
        <v>0</v>
      </c>
      <c r="G70" s="292">
        <v>1560000000</v>
      </c>
      <c r="H70" s="200">
        <f t="shared" si="1"/>
        <v>0</v>
      </c>
      <c r="I70" s="201">
        <v>6.5</v>
      </c>
      <c r="J70" s="202" t="s">
        <v>235</v>
      </c>
    </row>
    <row r="71" spans="1:10" ht="14.25" customHeight="1">
      <c r="A71" s="203"/>
      <c r="B71" s="204" t="s">
        <v>233</v>
      </c>
      <c r="C71" s="205" t="s">
        <v>180</v>
      </c>
      <c r="D71" s="206" t="s">
        <v>414</v>
      </c>
      <c r="E71" s="200">
        <v>240000000</v>
      </c>
      <c r="F71" s="200">
        <v>0</v>
      </c>
      <c r="G71" s="292">
        <v>240000000</v>
      </c>
      <c r="H71" s="200">
        <f t="shared" si="1"/>
        <v>0</v>
      </c>
      <c r="I71" s="201">
        <v>7.1</v>
      </c>
      <c r="J71" s="202" t="s">
        <v>209</v>
      </c>
    </row>
    <row r="72" spans="1:10" ht="14.25" customHeight="1">
      <c r="A72" s="203"/>
      <c r="B72" s="204" t="s">
        <v>236</v>
      </c>
      <c r="C72" s="205" t="s">
        <v>189</v>
      </c>
      <c r="D72" s="206" t="s">
        <v>415</v>
      </c>
      <c r="E72" s="200">
        <v>108000000</v>
      </c>
      <c r="F72" s="200">
        <v>0</v>
      </c>
      <c r="G72" s="292">
        <v>108000000</v>
      </c>
      <c r="H72" s="200">
        <f t="shared" si="1"/>
        <v>0</v>
      </c>
      <c r="I72" s="201">
        <v>6.7</v>
      </c>
      <c r="J72" s="202" t="s">
        <v>237</v>
      </c>
    </row>
    <row r="73" spans="1:10" ht="14.25" customHeight="1">
      <c r="A73" s="203"/>
      <c r="B73" s="204" t="s">
        <v>236</v>
      </c>
      <c r="C73" s="205" t="s">
        <v>189</v>
      </c>
      <c r="D73" s="206" t="s">
        <v>416</v>
      </c>
      <c r="E73" s="200">
        <v>90000000</v>
      </c>
      <c r="F73" s="200">
        <v>0</v>
      </c>
      <c r="G73" s="292">
        <v>90000000</v>
      </c>
      <c r="H73" s="200">
        <f t="shared" si="1"/>
        <v>0</v>
      </c>
      <c r="I73" s="201">
        <v>6.7</v>
      </c>
      <c r="J73" s="202" t="s">
        <v>237</v>
      </c>
    </row>
    <row r="74" spans="1:10" ht="14.25" customHeight="1">
      <c r="A74" s="203"/>
      <c r="B74" s="204" t="s">
        <v>236</v>
      </c>
      <c r="C74" s="205" t="s">
        <v>180</v>
      </c>
      <c r="D74" s="206" t="s">
        <v>416</v>
      </c>
      <c r="E74" s="200">
        <v>50000000</v>
      </c>
      <c r="F74" s="200">
        <v>0</v>
      </c>
      <c r="G74" s="292">
        <v>50000000</v>
      </c>
      <c r="H74" s="200">
        <f t="shared" si="1"/>
        <v>0</v>
      </c>
      <c r="I74" s="201">
        <v>7.1</v>
      </c>
      <c r="J74" s="202" t="s">
        <v>238</v>
      </c>
    </row>
    <row r="75" spans="1:10" ht="14.25" customHeight="1">
      <c r="A75" s="203"/>
      <c r="B75" s="204" t="s">
        <v>236</v>
      </c>
      <c r="C75" s="205" t="s">
        <v>180</v>
      </c>
      <c r="D75" s="206" t="s">
        <v>417</v>
      </c>
      <c r="E75" s="200">
        <v>100000000</v>
      </c>
      <c r="F75" s="200">
        <v>0</v>
      </c>
      <c r="G75" s="292">
        <v>100000000</v>
      </c>
      <c r="H75" s="200">
        <f t="shared" si="1"/>
        <v>0</v>
      </c>
      <c r="I75" s="201">
        <v>6.9</v>
      </c>
      <c r="J75" s="202" t="s">
        <v>238</v>
      </c>
    </row>
    <row r="76" spans="1:10" ht="14.25" customHeight="1">
      <c r="A76" s="203"/>
      <c r="B76" s="204" t="s">
        <v>236</v>
      </c>
      <c r="C76" s="205" t="s">
        <v>185</v>
      </c>
      <c r="D76" s="206" t="s">
        <v>418</v>
      </c>
      <c r="E76" s="200">
        <v>232000000</v>
      </c>
      <c r="F76" s="200">
        <v>0</v>
      </c>
      <c r="G76" s="292">
        <v>232000000</v>
      </c>
      <c r="H76" s="200">
        <f t="shared" si="1"/>
        <v>0</v>
      </c>
      <c r="I76" s="201">
        <v>6.5</v>
      </c>
      <c r="J76" s="202" t="s">
        <v>239</v>
      </c>
    </row>
    <row r="77" spans="1:10" ht="14.25" customHeight="1">
      <c r="A77" s="276"/>
      <c r="B77" s="277" t="s">
        <v>236</v>
      </c>
      <c r="C77" s="293" t="s">
        <v>180</v>
      </c>
      <c r="D77" s="279" t="s">
        <v>418</v>
      </c>
      <c r="E77" s="280">
        <v>100000000</v>
      </c>
      <c r="F77" s="200">
        <v>0</v>
      </c>
      <c r="G77" s="292">
        <v>100000000</v>
      </c>
      <c r="H77" s="200">
        <f t="shared" si="1"/>
        <v>0</v>
      </c>
      <c r="I77" s="208">
        <v>6.8</v>
      </c>
      <c r="J77" s="294" t="s">
        <v>212</v>
      </c>
    </row>
    <row r="78" spans="1:10" ht="17.25" customHeight="1">
      <c r="A78" s="219" t="s">
        <v>376</v>
      </c>
      <c r="B78" s="220" t="s">
        <v>173</v>
      </c>
      <c r="C78" s="221" t="s">
        <v>173</v>
      </c>
      <c r="D78" s="222" t="s">
        <v>173</v>
      </c>
      <c r="E78" s="245">
        <f>SUM(E44:E55,E60:E77)</f>
        <v>14495000000</v>
      </c>
      <c r="F78" s="245">
        <f>SUM(F44:F55,F60:F77)</f>
        <v>0</v>
      </c>
      <c r="G78" s="245">
        <f>SUM(G44:G55,G60:G77)</f>
        <v>14495000000</v>
      </c>
      <c r="H78" s="245">
        <f>SUM(H44:H55,H60:H77)</f>
        <v>0</v>
      </c>
      <c r="I78" s="223"/>
      <c r="J78" s="224" t="s">
        <v>173</v>
      </c>
    </row>
    <row r="79" spans="1:10" ht="14.25" customHeight="1">
      <c r="A79" s="209" t="s">
        <v>240</v>
      </c>
      <c r="B79" s="211" t="s">
        <v>419</v>
      </c>
      <c r="C79" s="249" t="s">
        <v>189</v>
      </c>
      <c r="D79" s="211" t="s">
        <v>420</v>
      </c>
      <c r="E79" s="250">
        <v>150000000</v>
      </c>
      <c r="F79" s="200">
        <v>0</v>
      </c>
      <c r="G79" s="292">
        <v>150000000</v>
      </c>
      <c r="H79" s="200">
        <f t="shared" si="1"/>
        <v>0</v>
      </c>
      <c r="I79" s="213">
        <v>6.7</v>
      </c>
      <c r="J79" s="214" t="s">
        <v>237</v>
      </c>
    </row>
    <row r="80" spans="1:10" ht="14.25" customHeight="1">
      <c r="A80" s="203" t="s">
        <v>182</v>
      </c>
      <c r="B80" s="204" t="s">
        <v>236</v>
      </c>
      <c r="C80" s="205" t="s">
        <v>189</v>
      </c>
      <c r="D80" s="206" t="s">
        <v>416</v>
      </c>
      <c r="E80" s="200">
        <v>482714000</v>
      </c>
      <c r="F80" s="200">
        <v>0</v>
      </c>
      <c r="G80" s="292">
        <v>482714000</v>
      </c>
      <c r="H80" s="200">
        <f t="shared" si="1"/>
        <v>0</v>
      </c>
      <c r="I80" s="201">
        <v>6.7</v>
      </c>
      <c r="J80" s="202" t="s">
        <v>237</v>
      </c>
    </row>
    <row r="81" spans="1:10" ht="14.25" customHeight="1">
      <c r="A81" s="203"/>
      <c r="B81" s="204" t="s">
        <v>236</v>
      </c>
      <c r="C81" s="263" t="s">
        <v>180</v>
      </c>
      <c r="D81" s="206" t="s">
        <v>417</v>
      </c>
      <c r="E81" s="200">
        <v>200000000</v>
      </c>
      <c r="F81" s="200">
        <v>0</v>
      </c>
      <c r="G81" s="292">
        <v>200000000</v>
      </c>
      <c r="H81" s="200">
        <f t="shared" si="1"/>
        <v>0</v>
      </c>
      <c r="I81" s="201">
        <v>6.9</v>
      </c>
      <c r="J81" s="202" t="s">
        <v>238</v>
      </c>
    </row>
    <row r="82" spans="1:10" ht="14.25" customHeight="1">
      <c r="A82" s="203"/>
      <c r="B82" s="204" t="s">
        <v>236</v>
      </c>
      <c r="C82" s="205" t="s">
        <v>189</v>
      </c>
      <c r="D82" s="206" t="s">
        <v>421</v>
      </c>
      <c r="E82" s="200">
        <v>125000000</v>
      </c>
      <c r="F82" s="200">
        <v>0</v>
      </c>
      <c r="G82" s="292">
        <v>125000000</v>
      </c>
      <c r="H82" s="200">
        <f t="shared" si="1"/>
        <v>0</v>
      </c>
      <c r="I82" s="201">
        <v>6.7</v>
      </c>
      <c r="J82" s="202" t="s">
        <v>237</v>
      </c>
    </row>
    <row r="83" spans="1:10" ht="14.25" customHeight="1">
      <c r="A83" s="203"/>
      <c r="B83" s="204" t="s">
        <v>236</v>
      </c>
      <c r="C83" s="263" t="s">
        <v>180</v>
      </c>
      <c r="D83" s="206" t="s">
        <v>422</v>
      </c>
      <c r="E83" s="200">
        <v>500000000</v>
      </c>
      <c r="F83" s="200">
        <v>0</v>
      </c>
      <c r="G83" s="292">
        <v>500000000</v>
      </c>
      <c r="H83" s="200">
        <f t="shared" si="1"/>
        <v>0</v>
      </c>
      <c r="I83" s="201">
        <v>6.8</v>
      </c>
      <c r="J83" s="202" t="s">
        <v>238</v>
      </c>
    </row>
    <row r="84" spans="1:10" ht="14.25" customHeight="1">
      <c r="A84" s="203"/>
      <c r="B84" s="204" t="s">
        <v>236</v>
      </c>
      <c r="C84" s="263" t="s">
        <v>180</v>
      </c>
      <c r="D84" s="206" t="s">
        <v>418</v>
      </c>
      <c r="E84" s="200">
        <v>200000000</v>
      </c>
      <c r="F84" s="200">
        <v>0</v>
      </c>
      <c r="G84" s="292">
        <v>200000000</v>
      </c>
      <c r="H84" s="200">
        <f t="shared" si="1"/>
        <v>0</v>
      </c>
      <c r="I84" s="201">
        <v>6.8</v>
      </c>
      <c r="J84" s="202" t="s">
        <v>212</v>
      </c>
    </row>
    <row r="85" spans="1:10" ht="14.25" customHeight="1">
      <c r="A85" s="203"/>
      <c r="B85" s="204" t="s">
        <v>236</v>
      </c>
      <c r="C85" s="205" t="s">
        <v>185</v>
      </c>
      <c r="D85" s="206" t="s">
        <v>423</v>
      </c>
      <c r="E85" s="200">
        <v>2114870889</v>
      </c>
      <c r="F85" s="200">
        <v>0</v>
      </c>
      <c r="G85" s="292">
        <v>2114870889</v>
      </c>
      <c r="H85" s="200">
        <f t="shared" si="1"/>
        <v>0</v>
      </c>
      <c r="I85" s="201">
        <v>6.5</v>
      </c>
      <c r="J85" s="202" t="s">
        <v>239</v>
      </c>
    </row>
    <row r="86" spans="1:10" ht="14.25" customHeight="1">
      <c r="A86" s="203"/>
      <c r="B86" s="204" t="s">
        <v>236</v>
      </c>
      <c r="C86" s="263" t="s">
        <v>180</v>
      </c>
      <c r="D86" s="206" t="s">
        <v>423</v>
      </c>
      <c r="E86" s="200">
        <v>300000000</v>
      </c>
      <c r="F86" s="200">
        <v>0</v>
      </c>
      <c r="G86" s="292">
        <v>300000000</v>
      </c>
      <c r="H86" s="200">
        <f t="shared" si="1"/>
        <v>0</v>
      </c>
      <c r="I86" s="201">
        <v>6.8</v>
      </c>
      <c r="J86" s="202" t="s">
        <v>212</v>
      </c>
    </row>
    <row r="87" spans="1:10" ht="14.25" customHeight="1">
      <c r="A87" s="203"/>
      <c r="B87" s="204" t="s">
        <v>241</v>
      </c>
      <c r="C87" s="205" t="s">
        <v>189</v>
      </c>
      <c r="D87" s="206" t="s">
        <v>424</v>
      </c>
      <c r="E87" s="200">
        <v>700000000</v>
      </c>
      <c r="F87" s="200">
        <v>0</v>
      </c>
      <c r="G87" s="292">
        <v>700000000</v>
      </c>
      <c r="H87" s="200">
        <f t="shared" si="1"/>
        <v>0</v>
      </c>
      <c r="I87" s="201">
        <v>6.4</v>
      </c>
      <c r="J87" s="202" t="s">
        <v>219</v>
      </c>
    </row>
    <row r="88" spans="1:10" ht="14.25" customHeight="1">
      <c r="A88" s="215"/>
      <c r="B88" s="206">
        <v>47</v>
      </c>
      <c r="C88" s="205" t="s">
        <v>189</v>
      </c>
      <c r="D88" s="206" t="s">
        <v>425</v>
      </c>
      <c r="E88" s="200">
        <v>1361276000</v>
      </c>
      <c r="F88" s="200">
        <v>0</v>
      </c>
      <c r="G88" s="292">
        <v>1361276000</v>
      </c>
      <c r="H88" s="200">
        <f t="shared" si="1"/>
        <v>0</v>
      </c>
      <c r="I88" s="201">
        <v>6.4</v>
      </c>
      <c r="J88" s="202" t="s">
        <v>219</v>
      </c>
    </row>
    <row r="89" spans="1:10" ht="14.25" customHeight="1">
      <c r="A89" s="203"/>
      <c r="B89" s="204" t="s">
        <v>241</v>
      </c>
      <c r="C89" s="263" t="s">
        <v>180</v>
      </c>
      <c r="D89" s="206" t="s">
        <v>426</v>
      </c>
      <c r="E89" s="200">
        <v>130000000</v>
      </c>
      <c r="F89" s="200">
        <v>0</v>
      </c>
      <c r="G89" s="292">
        <v>130000000</v>
      </c>
      <c r="H89" s="200">
        <f t="shared" si="1"/>
        <v>0</v>
      </c>
      <c r="I89" s="201">
        <v>6.8</v>
      </c>
      <c r="J89" s="202" t="s">
        <v>212</v>
      </c>
    </row>
    <row r="90" spans="1:10" ht="14.25" customHeight="1">
      <c r="A90" s="203"/>
      <c r="B90" s="204" t="s">
        <v>241</v>
      </c>
      <c r="C90" s="263" t="s">
        <v>180</v>
      </c>
      <c r="D90" s="206" t="s">
        <v>427</v>
      </c>
      <c r="E90" s="200">
        <v>1280000000</v>
      </c>
      <c r="F90" s="200">
        <v>0</v>
      </c>
      <c r="G90" s="292">
        <v>1280000000</v>
      </c>
      <c r="H90" s="200">
        <f t="shared" si="1"/>
        <v>0</v>
      </c>
      <c r="I90" s="201">
        <v>7</v>
      </c>
      <c r="J90" s="202" t="s">
        <v>188</v>
      </c>
    </row>
    <row r="91" spans="1:10" ht="14.25" customHeight="1">
      <c r="A91" s="203"/>
      <c r="B91" s="204" t="s">
        <v>241</v>
      </c>
      <c r="C91" s="205" t="s">
        <v>185</v>
      </c>
      <c r="D91" s="206" t="s">
        <v>428</v>
      </c>
      <c r="E91" s="200">
        <v>3053639000</v>
      </c>
      <c r="F91" s="200">
        <v>0</v>
      </c>
      <c r="G91" s="292">
        <v>3053639000</v>
      </c>
      <c r="H91" s="200">
        <f t="shared" si="1"/>
        <v>0</v>
      </c>
      <c r="I91" s="201">
        <v>6.75</v>
      </c>
      <c r="J91" s="202" t="s">
        <v>242</v>
      </c>
    </row>
    <row r="92" spans="1:10" ht="14.25" customHeight="1">
      <c r="A92" s="203"/>
      <c r="B92" s="204" t="s">
        <v>243</v>
      </c>
      <c r="C92" s="205" t="s">
        <v>189</v>
      </c>
      <c r="D92" s="206" t="s">
        <v>429</v>
      </c>
      <c r="E92" s="200">
        <v>921935000</v>
      </c>
      <c r="F92" s="200">
        <v>0</v>
      </c>
      <c r="G92" s="292">
        <v>921935000</v>
      </c>
      <c r="H92" s="200">
        <f t="shared" si="1"/>
        <v>0</v>
      </c>
      <c r="I92" s="201">
        <v>7.7</v>
      </c>
      <c r="J92" s="202" t="s">
        <v>228</v>
      </c>
    </row>
    <row r="93" spans="1:10" ht="14.25" customHeight="1">
      <c r="A93" s="203"/>
      <c r="B93" s="204" t="s">
        <v>243</v>
      </c>
      <c r="C93" s="205" t="s">
        <v>189</v>
      </c>
      <c r="D93" s="206" t="s">
        <v>430</v>
      </c>
      <c r="E93" s="200">
        <v>565354000</v>
      </c>
      <c r="F93" s="200">
        <v>0</v>
      </c>
      <c r="G93" s="292">
        <v>565354000</v>
      </c>
      <c r="H93" s="200">
        <f t="shared" si="1"/>
        <v>0</v>
      </c>
      <c r="I93" s="201">
        <v>7.7</v>
      </c>
      <c r="J93" s="202" t="s">
        <v>228</v>
      </c>
    </row>
    <row r="94" spans="1:10" ht="14.25" customHeight="1">
      <c r="A94" s="203"/>
      <c r="B94" s="204" t="s">
        <v>243</v>
      </c>
      <c r="C94" s="205" t="s">
        <v>189</v>
      </c>
      <c r="D94" s="206" t="s">
        <v>431</v>
      </c>
      <c r="E94" s="200">
        <v>500000000</v>
      </c>
      <c r="F94" s="200">
        <v>0</v>
      </c>
      <c r="G94" s="292">
        <v>500000000</v>
      </c>
      <c r="H94" s="200">
        <f t="shared" si="1"/>
        <v>0</v>
      </c>
      <c r="I94" s="201">
        <v>7.7</v>
      </c>
      <c r="J94" s="202" t="s">
        <v>228</v>
      </c>
    </row>
    <row r="95" spans="1:10" ht="14.25" customHeight="1">
      <c r="A95" s="203"/>
      <c r="B95" s="204" t="s">
        <v>243</v>
      </c>
      <c r="C95" s="263" t="s">
        <v>180</v>
      </c>
      <c r="D95" s="206" t="s">
        <v>432</v>
      </c>
      <c r="E95" s="200">
        <v>1546000000</v>
      </c>
      <c r="F95" s="200">
        <v>0</v>
      </c>
      <c r="G95" s="292">
        <v>1546000000</v>
      </c>
      <c r="H95" s="200">
        <f t="shared" si="1"/>
        <v>0</v>
      </c>
      <c r="I95" s="201">
        <v>8.5</v>
      </c>
      <c r="J95" s="202" t="s">
        <v>194</v>
      </c>
    </row>
    <row r="96" spans="1:10" ht="14.25" customHeight="1">
      <c r="A96" s="203"/>
      <c r="B96" s="204" t="s">
        <v>243</v>
      </c>
      <c r="C96" s="205" t="s">
        <v>185</v>
      </c>
      <c r="D96" s="206" t="s">
        <v>433</v>
      </c>
      <c r="E96" s="200">
        <v>4283722000</v>
      </c>
      <c r="F96" s="200">
        <v>0</v>
      </c>
      <c r="G96" s="292">
        <v>4283722000</v>
      </c>
      <c r="H96" s="200">
        <f t="shared" si="1"/>
        <v>0</v>
      </c>
      <c r="I96" s="201">
        <v>8</v>
      </c>
      <c r="J96" s="202" t="s">
        <v>244</v>
      </c>
    </row>
    <row r="97" spans="1:10" ht="14.25" customHeight="1">
      <c r="A97" s="203"/>
      <c r="B97" s="204" t="s">
        <v>245</v>
      </c>
      <c r="C97" s="205" t="s">
        <v>189</v>
      </c>
      <c r="D97" s="206" t="s">
        <v>434</v>
      </c>
      <c r="E97" s="200">
        <v>1341938000</v>
      </c>
      <c r="F97" s="200">
        <v>0</v>
      </c>
      <c r="G97" s="292">
        <v>1341938000</v>
      </c>
      <c r="H97" s="200">
        <f t="shared" si="1"/>
        <v>0</v>
      </c>
      <c r="I97" s="201">
        <v>8.1999999999999993</v>
      </c>
      <c r="J97" s="202" t="s">
        <v>242</v>
      </c>
    </row>
    <row r="98" spans="1:10" ht="14.25" customHeight="1">
      <c r="A98" s="215"/>
      <c r="B98" s="204" t="s">
        <v>245</v>
      </c>
      <c r="C98" s="263" t="s">
        <v>180</v>
      </c>
      <c r="D98" s="206" t="s">
        <v>435</v>
      </c>
      <c r="E98" s="200">
        <v>1000000000</v>
      </c>
      <c r="F98" s="200">
        <v>0</v>
      </c>
      <c r="G98" s="292">
        <v>1000000000</v>
      </c>
      <c r="H98" s="200">
        <f t="shared" si="1"/>
        <v>0</v>
      </c>
      <c r="I98" s="201">
        <v>9.1</v>
      </c>
      <c r="J98" s="202" t="s">
        <v>198</v>
      </c>
    </row>
    <row r="99" spans="1:10" ht="14.25" customHeight="1">
      <c r="A99" s="203"/>
      <c r="B99" s="204" t="s">
        <v>245</v>
      </c>
      <c r="C99" s="205" t="s">
        <v>189</v>
      </c>
      <c r="D99" s="206" t="s">
        <v>436</v>
      </c>
      <c r="E99" s="200">
        <v>1030000000</v>
      </c>
      <c r="F99" s="200">
        <v>0</v>
      </c>
      <c r="G99" s="292">
        <v>1030000000</v>
      </c>
      <c r="H99" s="200">
        <f t="shared" si="1"/>
        <v>0</v>
      </c>
      <c r="I99" s="201">
        <v>8.1999999999999993</v>
      </c>
      <c r="J99" s="202" t="s">
        <v>242</v>
      </c>
    </row>
    <row r="100" spans="1:10" ht="14.25" customHeight="1">
      <c r="A100" s="215"/>
      <c r="B100" s="206" t="s">
        <v>437</v>
      </c>
      <c r="C100" s="263" t="s">
        <v>180</v>
      </c>
      <c r="D100" s="206" t="s">
        <v>142</v>
      </c>
      <c r="E100" s="200">
        <v>600000000</v>
      </c>
      <c r="F100" s="200">
        <v>0</v>
      </c>
      <c r="G100" s="292">
        <v>600000000</v>
      </c>
      <c r="H100" s="200">
        <f t="shared" si="1"/>
        <v>0</v>
      </c>
      <c r="I100" s="201">
        <v>9.1</v>
      </c>
      <c r="J100" s="202" t="s">
        <v>198</v>
      </c>
    </row>
    <row r="101" spans="1:10" ht="14.25" customHeight="1">
      <c r="A101" s="215"/>
      <c r="B101" s="204">
        <v>49</v>
      </c>
      <c r="C101" s="205" t="s">
        <v>189</v>
      </c>
      <c r="D101" s="206" t="s">
        <v>439</v>
      </c>
      <c r="E101" s="200">
        <v>416040000</v>
      </c>
      <c r="F101" s="200">
        <v>0</v>
      </c>
      <c r="G101" s="292">
        <v>416040000</v>
      </c>
      <c r="H101" s="200">
        <f t="shared" si="1"/>
        <v>0</v>
      </c>
      <c r="I101" s="201">
        <v>8.1999999999999993</v>
      </c>
      <c r="J101" s="202" t="s">
        <v>242</v>
      </c>
    </row>
    <row r="102" spans="1:10" ht="14.25" customHeight="1">
      <c r="A102" s="203"/>
      <c r="B102" s="204" t="s">
        <v>245</v>
      </c>
      <c r="C102" s="263" t="s">
        <v>180</v>
      </c>
      <c r="D102" s="206" t="s">
        <v>440</v>
      </c>
      <c r="E102" s="200">
        <v>310000000</v>
      </c>
      <c r="F102" s="200">
        <v>0</v>
      </c>
      <c r="G102" s="292">
        <v>310000000</v>
      </c>
      <c r="H102" s="200">
        <f t="shared" si="1"/>
        <v>0</v>
      </c>
      <c r="I102" s="201">
        <v>9.1</v>
      </c>
      <c r="J102" s="202" t="s">
        <v>201</v>
      </c>
    </row>
    <row r="103" spans="1:10" ht="14.25" customHeight="1">
      <c r="A103" s="203"/>
      <c r="B103" s="204" t="s">
        <v>245</v>
      </c>
      <c r="C103" s="263" t="s">
        <v>180</v>
      </c>
      <c r="D103" s="206" t="s">
        <v>441</v>
      </c>
      <c r="E103" s="200">
        <v>2000000000</v>
      </c>
      <c r="F103" s="200">
        <v>0</v>
      </c>
      <c r="G103" s="292">
        <v>2000000000</v>
      </c>
      <c r="H103" s="200">
        <f t="shared" si="1"/>
        <v>0</v>
      </c>
      <c r="I103" s="201">
        <v>8.6</v>
      </c>
      <c r="J103" s="202" t="s">
        <v>201</v>
      </c>
    </row>
    <row r="104" spans="1:10" ht="14.25" customHeight="1">
      <c r="A104" s="203"/>
      <c r="B104" s="204" t="s">
        <v>245</v>
      </c>
      <c r="C104" s="263" t="s">
        <v>180</v>
      </c>
      <c r="D104" s="206" t="s">
        <v>442</v>
      </c>
      <c r="E104" s="200">
        <v>1000000000</v>
      </c>
      <c r="F104" s="200">
        <v>0</v>
      </c>
      <c r="G104" s="292">
        <v>1000000000</v>
      </c>
      <c r="H104" s="200">
        <f t="shared" si="1"/>
        <v>0</v>
      </c>
      <c r="I104" s="201">
        <v>8.6</v>
      </c>
      <c r="J104" s="202" t="s">
        <v>201</v>
      </c>
    </row>
    <row r="105" spans="1:10" ht="14.25" customHeight="1">
      <c r="A105" s="203"/>
      <c r="B105" s="204">
        <v>50</v>
      </c>
      <c r="C105" s="205" t="s">
        <v>189</v>
      </c>
      <c r="D105" s="206" t="s">
        <v>443</v>
      </c>
      <c r="E105" s="200">
        <v>1422752000</v>
      </c>
      <c r="F105" s="200">
        <v>0</v>
      </c>
      <c r="G105" s="292">
        <v>1422752000</v>
      </c>
      <c r="H105" s="200">
        <f t="shared" si="1"/>
        <v>0</v>
      </c>
      <c r="I105" s="201">
        <v>7.7</v>
      </c>
      <c r="J105" s="216" t="s">
        <v>246</v>
      </c>
    </row>
    <row r="106" spans="1:10" ht="14.25" customHeight="1">
      <c r="A106" s="218"/>
      <c r="B106" s="204">
        <v>49</v>
      </c>
      <c r="C106" s="205" t="s">
        <v>185</v>
      </c>
      <c r="D106" s="206" t="s">
        <v>712</v>
      </c>
      <c r="E106" s="200">
        <v>13759150000</v>
      </c>
      <c r="F106" s="200">
        <v>0</v>
      </c>
      <c r="G106" s="200">
        <v>13759150000</v>
      </c>
      <c r="H106" s="200">
        <f t="shared" si="1"/>
        <v>0</v>
      </c>
      <c r="I106" s="201">
        <v>7.5</v>
      </c>
      <c r="J106" s="295" t="s">
        <v>247</v>
      </c>
    </row>
    <row r="107" spans="1:10" ht="14.25" customHeight="1">
      <c r="A107" s="218"/>
      <c r="B107" s="204">
        <v>50</v>
      </c>
      <c r="C107" s="205" t="s">
        <v>189</v>
      </c>
      <c r="D107" s="206" t="s">
        <v>324</v>
      </c>
      <c r="E107" s="200">
        <v>1878457000</v>
      </c>
      <c r="F107" s="200">
        <v>0</v>
      </c>
      <c r="G107" s="200">
        <v>1878457000</v>
      </c>
      <c r="H107" s="200">
        <f t="shared" si="1"/>
        <v>0</v>
      </c>
      <c r="I107" s="201">
        <v>7.7</v>
      </c>
      <c r="J107" s="295" t="s">
        <v>246</v>
      </c>
    </row>
    <row r="108" spans="1:10" ht="14.25" customHeight="1">
      <c r="A108" s="218"/>
      <c r="B108" s="204" t="s">
        <v>248</v>
      </c>
      <c r="C108" s="205" t="s">
        <v>189</v>
      </c>
      <c r="D108" s="206" t="s">
        <v>325</v>
      </c>
      <c r="E108" s="200">
        <v>2740000000</v>
      </c>
      <c r="F108" s="200">
        <v>0</v>
      </c>
      <c r="G108" s="200">
        <v>2740000000</v>
      </c>
      <c r="H108" s="200">
        <f t="shared" si="1"/>
        <v>0</v>
      </c>
      <c r="I108" s="201">
        <v>7.7</v>
      </c>
      <c r="J108" s="295" t="s">
        <v>246</v>
      </c>
    </row>
    <row r="109" spans="1:10" ht="14.25" customHeight="1">
      <c r="A109" s="218"/>
      <c r="B109" s="204" t="s">
        <v>248</v>
      </c>
      <c r="C109" s="205" t="s">
        <v>185</v>
      </c>
      <c r="D109" s="206" t="s">
        <v>326</v>
      </c>
      <c r="E109" s="200">
        <v>7512771000</v>
      </c>
      <c r="F109" s="200">
        <v>0</v>
      </c>
      <c r="G109" s="200">
        <v>7512771000</v>
      </c>
      <c r="H109" s="200">
        <f t="shared" si="1"/>
        <v>0</v>
      </c>
      <c r="I109" s="201">
        <v>7.5</v>
      </c>
      <c r="J109" s="295" t="s">
        <v>249</v>
      </c>
    </row>
    <row r="110" spans="1:10" ht="14.25" customHeight="1">
      <c r="A110" s="218"/>
      <c r="B110" s="204" t="s">
        <v>250</v>
      </c>
      <c r="C110" s="205" t="s">
        <v>189</v>
      </c>
      <c r="D110" s="206" t="s">
        <v>327</v>
      </c>
      <c r="E110" s="200">
        <v>2103702000</v>
      </c>
      <c r="F110" s="200">
        <v>0</v>
      </c>
      <c r="G110" s="200">
        <v>2103702000</v>
      </c>
      <c r="H110" s="200">
        <f t="shared" si="1"/>
        <v>0</v>
      </c>
      <c r="I110" s="201">
        <v>7.7</v>
      </c>
      <c r="J110" s="295" t="s">
        <v>244</v>
      </c>
    </row>
    <row r="111" spans="1:10" ht="14.25" customHeight="1" thickBot="1">
      <c r="A111" s="284"/>
      <c r="B111" s="285" t="s">
        <v>250</v>
      </c>
      <c r="C111" s="286" t="s">
        <v>189</v>
      </c>
      <c r="D111" s="287" t="s">
        <v>328</v>
      </c>
      <c r="E111" s="268">
        <v>1485841000</v>
      </c>
      <c r="F111" s="268">
        <v>0</v>
      </c>
      <c r="G111" s="268">
        <v>1485841000</v>
      </c>
      <c r="H111" s="200">
        <f t="shared" si="1"/>
        <v>0</v>
      </c>
      <c r="I111" s="288">
        <v>7.7</v>
      </c>
      <c r="J111" s="296" t="s">
        <v>244</v>
      </c>
    </row>
    <row r="112" spans="1:10" ht="9.75" customHeight="1" thickBot="1">
      <c r="A112" s="297"/>
      <c r="B112" s="272"/>
      <c r="C112" s="257"/>
      <c r="D112" s="258"/>
      <c r="E112" s="259"/>
      <c r="F112" s="259"/>
      <c r="G112" s="259"/>
      <c r="H112" s="259"/>
      <c r="I112" s="260"/>
      <c r="J112" s="270"/>
    </row>
    <row r="113" spans="1:10">
      <c r="A113" s="479" t="s">
        <v>26</v>
      </c>
      <c r="B113" s="481" t="s">
        <v>311</v>
      </c>
      <c r="C113" s="483" t="s">
        <v>27</v>
      </c>
      <c r="D113" s="481" t="s">
        <v>312</v>
      </c>
      <c r="E113" s="485" t="s">
        <v>28</v>
      </c>
      <c r="F113" s="487" t="s">
        <v>29</v>
      </c>
      <c r="G113" s="493"/>
      <c r="H113" s="489" t="s">
        <v>174</v>
      </c>
      <c r="I113" s="491" t="s">
        <v>30</v>
      </c>
      <c r="J113" s="477" t="s">
        <v>313</v>
      </c>
    </row>
    <row r="114" spans="1:10">
      <c r="A114" s="480"/>
      <c r="B114" s="482"/>
      <c r="C114" s="484"/>
      <c r="D114" s="482"/>
      <c r="E114" s="486"/>
      <c r="F114" s="207" t="s">
        <v>176</v>
      </c>
      <c r="G114" s="207" t="s">
        <v>305</v>
      </c>
      <c r="H114" s="490"/>
      <c r="I114" s="492"/>
      <c r="J114" s="478"/>
    </row>
    <row r="115" spans="1:10">
      <c r="A115" s="209"/>
      <c r="B115" s="210"/>
      <c r="C115" s="210"/>
      <c r="D115" s="211" t="s">
        <v>177</v>
      </c>
      <c r="E115" s="212" t="s">
        <v>178</v>
      </c>
      <c r="F115" s="212" t="s">
        <v>172</v>
      </c>
      <c r="G115" s="212" t="s">
        <v>178</v>
      </c>
      <c r="H115" s="212" t="s">
        <v>178</v>
      </c>
      <c r="I115" s="213" t="s">
        <v>31</v>
      </c>
      <c r="J115" s="214" t="s">
        <v>175</v>
      </c>
    </row>
    <row r="116" spans="1:10" ht="14.25" customHeight="1">
      <c r="A116" s="215" t="s">
        <v>240</v>
      </c>
      <c r="B116" s="204" t="s">
        <v>329</v>
      </c>
      <c r="C116" s="205" t="s">
        <v>189</v>
      </c>
      <c r="D116" s="206" t="s">
        <v>691</v>
      </c>
      <c r="E116" s="200">
        <v>4952879000</v>
      </c>
      <c r="F116" s="200">
        <v>0</v>
      </c>
      <c r="G116" s="200">
        <v>4952879000</v>
      </c>
      <c r="H116" s="200">
        <f t="shared" ref="H116:H169" si="2">E116-G116</f>
        <v>0</v>
      </c>
      <c r="I116" s="201">
        <v>7.7</v>
      </c>
      <c r="J116" s="202" t="s">
        <v>244</v>
      </c>
    </row>
    <row r="117" spans="1:10" ht="14.25" customHeight="1">
      <c r="A117" s="203" t="s">
        <v>182</v>
      </c>
      <c r="B117" s="204" t="s">
        <v>250</v>
      </c>
      <c r="C117" s="205" t="s">
        <v>189</v>
      </c>
      <c r="D117" s="206" t="s">
        <v>444</v>
      </c>
      <c r="E117" s="200">
        <v>700000000</v>
      </c>
      <c r="F117" s="200">
        <v>0</v>
      </c>
      <c r="G117" s="200">
        <v>700000000</v>
      </c>
      <c r="H117" s="200">
        <f t="shared" si="2"/>
        <v>0</v>
      </c>
      <c r="I117" s="201">
        <v>6.95</v>
      </c>
      <c r="J117" s="202" t="s">
        <v>244</v>
      </c>
    </row>
    <row r="118" spans="1:10" ht="14.25" customHeight="1">
      <c r="A118" s="203"/>
      <c r="B118" s="204" t="s">
        <v>250</v>
      </c>
      <c r="C118" s="205" t="s">
        <v>189</v>
      </c>
      <c r="D118" s="206" t="s">
        <v>445</v>
      </c>
      <c r="E118" s="200">
        <v>700000000</v>
      </c>
      <c r="F118" s="200">
        <v>0</v>
      </c>
      <c r="G118" s="200">
        <v>700000000</v>
      </c>
      <c r="H118" s="200">
        <f t="shared" si="2"/>
        <v>0</v>
      </c>
      <c r="I118" s="201">
        <v>6.95</v>
      </c>
      <c r="J118" s="202" t="s">
        <v>244</v>
      </c>
    </row>
    <row r="119" spans="1:10" ht="14.25" customHeight="1">
      <c r="A119" s="203"/>
      <c r="B119" s="204" t="s">
        <v>250</v>
      </c>
      <c r="C119" s="205" t="s">
        <v>189</v>
      </c>
      <c r="D119" s="206" t="s">
        <v>446</v>
      </c>
      <c r="E119" s="200">
        <v>2000000000</v>
      </c>
      <c r="F119" s="200">
        <v>0</v>
      </c>
      <c r="G119" s="200">
        <v>2000000000</v>
      </c>
      <c r="H119" s="200">
        <f t="shared" si="2"/>
        <v>0</v>
      </c>
      <c r="I119" s="201">
        <v>6.95</v>
      </c>
      <c r="J119" s="202" t="s">
        <v>244</v>
      </c>
    </row>
    <row r="120" spans="1:10" ht="14.25" customHeight="1">
      <c r="A120" s="203"/>
      <c r="B120" s="204" t="s">
        <v>250</v>
      </c>
      <c r="C120" s="205" t="s">
        <v>189</v>
      </c>
      <c r="D120" s="206" t="s">
        <v>447</v>
      </c>
      <c r="E120" s="200">
        <v>410000000</v>
      </c>
      <c r="F120" s="200">
        <v>0</v>
      </c>
      <c r="G120" s="200">
        <v>410000000</v>
      </c>
      <c r="H120" s="200">
        <f t="shared" si="2"/>
        <v>0</v>
      </c>
      <c r="I120" s="201">
        <v>6.95</v>
      </c>
      <c r="J120" s="202" t="s">
        <v>247</v>
      </c>
    </row>
    <row r="121" spans="1:10" ht="14.25" customHeight="1">
      <c r="A121" s="203"/>
      <c r="B121" s="204">
        <v>52</v>
      </c>
      <c r="C121" s="205" t="s">
        <v>189</v>
      </c>
      <c r="D121" s="206" t="s">
        <v>448</v>
      </c>
      <c r="E121" s="200">
        <v>906331000</v>
      </c>
      <c r="F121" s="200">
        <v>0</v>
      </c>
      <c r="G121" s="200">
        <v>906331000</v>
      </c>
      <c r="H121" s="200">
        <f t="shared" si="2"/>
        <v>0</v>
      </c>
      <c r="I121" s="201">
        <v>6.7</v>
      </c>
      <c r="J121" s="216" t="s">
        <v>247</v>
      </c>
    </row>
    <row r="122" spans="1:10" ht="14.25" customHeight="1">
      <c r="A122" s="203"/>
      <c r="B122" s="204" t="s">
        <v>250</v>
      </c>
      <c r="C122" s="205" t="s">
        <v>185</v>
      </c>
      <c r="D122" s="206" t="s">
        <v>449</v>
      </c>
      <c r="E122" s="200">
        <v>3969362000</v>
      </c>
      <c r="F122" s="200">
        <v>0</v>
      </c>
      <c r="G122" s="200">
        <v>3969362000</v>
      </c>
      <c r="H122" s="200">
        <f t="shared" si="2"/>
        <v>0</v>
      </c>
      <c r="I122" s="201">
        <v>6.5</v>
      </c>
      <c r="J122" s="202" t="s">
        <v>251</v>
      </c>
    </row>
    <row r="123" spans="1:10" ht="14.25" customHeight="1">
      <c r="A123" s="203"/>
      <c r="B123" s="204" t="s">
        <v>252</v>
      </c>
      <c r="C123" s="205" t="s">
        <v>189</v>
      </c>
      <c r="D123" s="206" t="s">
        <v>450</v>
      </c>
      <c r="E123" s="200">
        <v>1480274000</v>
      </c>
      <c r="F123" s="200">
        <v>0</v>
      </c>
      <c r="G123" s="200">
        <v>1480274000</v>
      </c>
      <c r="H123" s="200">
        <f t="shared" si="2"/>
        <v>0</v>
      </c>
      <c r="I123" s="201">
        <v>6.7</v>
      </c>
      <c r="J123" s="202" t="s">
        <v>247</v>
      </c>
    </row>
    <row r="124" spans="1:10" ht="14.25" customHeight="1">
      <c r="A124" s="203"/>
      <c r="B124" s="204" t="s">
        <v>252</v>
      </c>
      <c r="C124" s="205" t="s">
        <v>189</v>
      </c>
      <c r="D124" s="206" t="s">
        <v>451</v>
      </c>
      <c r="E124" s="200">
        <v>700000000</v>
      </c>
      <c r="F124" s="200">
        <v>0</v>
      </c>
      <c r="G124" s="200">
        <v>700000000</v>
      </c>
      <c r="H124" s="200">
        <f t="shared" si="2"/>
        <v>0</v>
      </c>
      <c r="I124" s="201">
        <v>6.25</v>
      </c>
      <c r="J124" s="202" t="s">
        <v>247</v>
      </c>
    </row>
    <row r="125" spans="1:10" ht="14.25" customHeight="1">
      <c r="A125" s="203"/>
      <c r="B125" s="204" t="s">
        <v>252</v>
      </c>
      <c r="C125" s="205" t="s">
        <v>189</v>
      </c>
      <c r="D125" s="206" t="s">
        <v>452</v>
      </c>
      <c r="E125" s="200">
        <v>2000000000</v>
      </c>
      <c r="F125" s="200">
        <v>0</v>
      </c>
      <c r="G125" s="200">
        <v>2000000000</v>
      </c>
      <c r="H125" s="200">
        <f t="shared" si="2"/>
        <v>0</v>
      </c>
      <c r="I125" s="201">
        <v>6.25</v>
      </c>
      <c r="J125" s="202" t="s">
        <v>247</v>
      </c>
    </row>
    <row r="126" spans="1:10" ht="14.25" customHeight="1">
      <c r="A126" s="203"/>
      <c r="B126" s="204" t="s">
        <v>252</v>
      </c>
      <c r="C126" s="205" t="s">
        <v>189</v>
      </c>
      <c r="D126" s="206" t="s">
        <v>453</v>
      </c>
      <c r="E126" s="200">
        <v>800000000</v>
      </c>
      <c r="F126" s="200">
        <v>0</v>
      </c>
      <c r="G126" s="200">
        <v>800000000</v>
      </c>
      <c r="H126" s="200">
        <f t="shared" si="2"/>
        <v>0</v>
      </c>
      <c r="I126" s="201">
        <v>6.25</v>
      </c>
      <c r="J126" s="202" t="s">
        <v>247</v>
      </c>
    </row>
    <row r="127" spans="1:10" ht="14.25" customHeight="1">
      <c r="A127" s="203"/>
      <c r="B127" s="204" t="s">
        <v>252</v>
      </c>
      <c r="C127" s="205" t="s">
        <v>189</v>
      </c>
      <c r="D127" s="206" t="s">
        <v>454</v>
      </c>
      <c r="E127" s="200">
        <v>2100000000</v>
      </c>
      <c r="F127" s="200">
        <v>0</v>
      </c>
      <c r="G127" s="200">
        <v>2100000000</v>
      </c>
      <c r="H127" s="200">
        <f t="shared" si="2"/>
        <v>0</v>
      </c>
      <c r="I127" s="201">
        <v>6.25</v>
      </c>
      <c r="J127" s="202" t="s">
        <v>249</v>
      </c>
    </row>
    <row r="128" spans="1:10" ht="14.25" customHeight="1">
      <c r="A128" s="203"/>
      <c r="B128" s="204" t="s">
        <v>252</v>
      </c>
      <c r="C128" s="205" t="s">
        <v>189</v>
      </c>
      <c r="D128" s="206" t="s">
        <v>455</v>
      </c>
      <c r="E128" s="200">
        <v>800000000</v>
      </c>
      <c r="F128" s="200">
        <v>0</v>
      </c>
      <c r="G128" s="200">
        <v>800000000</v>
      </c>
      <c r="H128" s="200">
        <f t="shared" si="2"/>
        <v>0</v>
      </c>
      <c r="I128" s="201">
        <v>6.25</v>
      </c>
      <c r="J128" s="202" t="s">
        <v>249</v>
      </c>
    </row>
    <row r="129" spans="1:10" ht="14.25" customHeight="1">
      <c r="A129" s="203"/>
      <c r="B129" s="204" t="s">
        <v>252</v>
      </c>
      <c r="C129" s="205" t="s">
        <v>185</v>
      </c>
      <c r="D129" s="206" t="s">
        <v>456</v>
      </c>
      <c r="E129" s="200">
        <v>1257999000</v>
      </c>
      <c r="F129" s="200">
        <v>0</v>
      </c>
      <c r="G129" s="200">
        <v>1257999000</v>
      </c>
      <c r="H129" s="200">
        <f t="shared" si="2"/>
        <v>0</v>
      </c>
      <c r="I129" s="201">
        <v>6.05</v>
      </c>
      <c r="J129" s="202" t="s">
        <v>253</v>
      </c>
    </row>
    <row r="130" spans="1:10" ht="14.25" customHeight="1">
      <c r="A130" s="203"/>
      <c r="B130" s="204" t="s">
        <v>252</v>
      </c>
      <c r="C130" s="205" t="s">
        <v>189</v>
      </c>
      <c r="D130" s="206" t="s">
        <v>456</v>
      </c>
      <c r="E130" s="200">
        <v>1525000000</v>
      </c>
      <c r="F130" s="200">
        <v>0</v>
      </c>
      <c r="G130" s="200">
        <v>1525000000</v>
      </c>
      <c r="H130" s="200">
        <f t="shared" si="2"/>
        <v>0</v>
      </c>
      <c r="I130" s="201">
        <v>6.25</v>
      </c>
      <c r="J130" s="202" t="s">
        <v>249</v>
      </c>
    </row>
    <row r="131" spans="1:10" ht="14.25" customHeight="1">
      <c r="A131" s="203"/>
      <c r="B131" s="204" t="s">
        <v>254</v>
      </c>
      <c r="C131" s="205" t="s">
        <v>189</v>
      </c>
      <c r="D131" s="206" t="s">
        <v>457</v>
      </c>
      <c r="E131" s="200">
        <v>1000000000</v>
      </c>
      <c r="F131" s="200">
        <v>0</v>
      </c>
      <c r="G131" s="200">
        <v>1000000000</v>
      </c>
      <c r="H131" s="200">
        <f t="shared" si="2"/>
        <v>0</v>
      </c>
      <c r="I131" s="201">
        <v>6.25</v>
      </c>
      <c r="J131" s="202" t="s">
        <v>249</v>
      </c>
    </row>
    <row r="132" spans="1:10" ht="14.25" customHeight="1">
      <c r="A132" s="215"/>
      <c r="B132" s="206" t="s">
        <v>255</v>
      </c>
      <c r="C132" s="205" t="s">
        <v>189</v>
      </c>
      <c r="D132" s="206" t="s">
        <v>458</v>
      </c>
      <c r="E132" s="200">
        <v>1000000000</v>
      </c>
      <c r="F132" s="200">
        <v>0</v>
      </c>
      <c r="G132" s="200">
        <v>1000000000</v>
      </c>
      <c r="H132" s="200">
        <f t="shared" si="2"/>
        <v>0</v>
      </c>
      <c r="I132" s="201">
        <v>6.25</v>
      </c>
      <c r="J132" s="202" t="s">
        <v>249</v>
      </c>
    </row>
    <row r="133" spans="1:10" ht="14.25" customHeight="1">
      <c r="A133" s="203"/>
      <c r="B133" s="204" t="s">
        <v>254</v>
      </c>
      <c r="C133" s="205" t="s">
        <v>189</v>
      </c>
      <c r="D133" s="206" t="s">
        <v>459</v>
      </c>
      <c r="E133" s="200">
        <v>1000000000</v>
      </c>
      <c r="F133" s="200">
        <v>0</v>
      </c>
      <c r="G133" s="200">
        <v>1000000000</v>
      </c>
      <c r="H133" s="200">
        <f t="shared" si="2"/>
        <v>0</v>
      </c>
      <c r="I133" s="201">
        <v>6.15</v>
      </c>
      <c r="J133" s="202" t="s">
        <v>249</v>
      </c>
    </row>
    <row r="134" spans="1:10" ht="14.25" customHeight="1">
      <c r="A134" s="203"/>
      <c r="B134" s="204" t="s">
        <v>254</v>
      </c>
      <c r="C134" s="205" t="s">
        <v>189</v>
      </c>
      <c r="D134" s="206" t="s">
        <v>460</v>
      </c>
      <c r="E134" s="200">
        <v>1000000000</v>
      </c>
      <c r="F134" s="200">
        <v>0</v>
      </c>
      <c r="G134" s="200">
        <v>1000000000</v>
      </c>
      <c r="H134" s="200">
        <f t="shared" si="2"/>
        <v>0</v>
      </c>
      <c r="I134" s="201">
        <v>6.75</v>
      </c>
      <c r="J134" s="202" t="s">
        <v>249</v>
      </c>
    </row>
    <row r="135" spans="1:10" ht="14.25" customHeight="1">
      <c r="A135" s="203"/>
      <c r="B135" s="204" t="s">
        <v>254</v>
      </c>
      <c r="C135" s="205" t="s">
        <v>189</v>
      </c>
      <c r="D135" s="206" t="s">
        <v>461</v>
      </c>
      <c r="E135" s="200">
        <v>3722000000</v>
      </c>
      <c r="F135" s="200">
        <v>0</v>
      </c>
      <c r="G135" s="200">
        <v>3722000000</v>
      </c>
      <c r="H135" s="200">
        <f t="shared" si="2"/>
        <v>0</v>
      </c>
      <c r="I135" s="201">
        <v>7.25</v>
      </c>
      <c r="J135" s="202" t="s">
        <v>251</v>
      </c>
    </row>
    <row r="136" spans="1:10" ht="14.25" customHeight="1">
      <c r="A136" s="203"/>
      <c r="B136" s="204" t="s">
        <v>254</v>
      </c>
      <c r="C136" s="205" t="s">
        <v>185</v>
      </c>
      <c r="D136" s="206" t="s">
        <v>462</v>
      </c>
      <c r="E136" s="200">
        <v>2078000000</v>
      </c>
      <c r="F136" s="200">
        <v>0</v>
      </c>
      <c r="G136" s="200">
        <v>2078000000</v>
      </c>
      <c r="H136" s="200">
        <f t="shared" si="2"/>
        <v>0</v>
      </c>
      <c r="I136" s="201">
        <v>7.15</v>
      </c>
      <c r="J136" s="202" t="s">
        <v>256</v>
      </c>
    </row>
    <row r="137" spans="1:10" ht="14.25" customHeight="1">
      <c r="A137" s="203"/>
      <c r="B137" s="204" t="s">
        <v>257</v>
      </c>
      <c r="C137" s="205" t="s">
        <v>189</v>
      </c>
      <c r="D137" s="206" t="s">
        <v>463</v>
      </c>
      <c r="E137" s="200">
        <v>3300000000</v>
      </c>
      <c r="F137" s="200">
        <v>0</v>
      </c>
      <c r="G137" s="200">
        <v>3300000000</v>
      </c>
      <c r="H137" s="200">
        <f t="shared" si="2"/>
        <v>0</v>
      </c>
      <c r="I137" s="201">
        <v>7.25</v>
      </c>
      <c r="J137" s="202" t="s">
        <v>251</v>
      </c>
    </row>
    <row r="138" spans="1:10" ht="14.25" customHeight="1">
      <c r="A138" s="203"/>
      <c r="B138" s="204" t="s">
        <v>257</v>
      </c>
      <c r="C138" s="205" t="s">
        <v>189</v>
      </c>
      <c r="D138" s="206" t="s">
        <v>464</v>
      </c>
      <c r="E138" s="200">
        <v>1000000000</v>
      </c>
      <c r="F138" s="200">
        <v>0</v>
      </c>
      <c r="G138" s="200">
        <v>1000000000</v>
      </c>
      <c r="H138" s="200">
        <f t="shared" si="2"/>
        <v>0</v>
      </c>
      <c r="I138" s="201">
        <v>8.6</v>
      </c>
      <c r="J138" s="202" t="s">
        <v>465</v>
      </c>
    </row>
    <row r="139" spans="1:10" ht="14.25" customHeight="1">
      <c r="A139" s="203"/>
      <c r="B139" s="204" t="s">
        <v>257</v>
      </c>
      <c r="C139" s="205" t="s">
        <v>189</v>
      </c>
      <c r="D139" s="206" t="s">
        <v>466</v>
      </c>
      <c r="E139" s="200">
        <v>2500000000</v>
      </c>
      <c r="F139" s="200">
        <v>0</v>
      </c>
      <c r="G139" s="200">
        <v>2500000000</v>
      </c>
      <c r="H139" s="200">
        <f t="shared" si="2"/>
        <v>0</v>
      </c>
      <c r="I139" s="201">
        <v>8.6</v>
      </c>
      <c r="J139" s="202" t="s">
        <v>143</v>
      </c>
    </row>
    <row r="140" spans="1:10" ht="14.25" customHeight="1">
      <c r="A140" s="203"/>
      <c r="B140" s="204" t="s">
        <v>257</v>
      </c>
      <c r="C140" s="205" t="s">
        <v>185</v>
      </c>
      <c r="D140" s="206" t="s">
        <v>468</v>
      </c>
      <c r="E140" s="200">
        <v>1550704816</v>
      </c>
      <c r="F140" s="200">
        <v>0</v>
      </c>
      <c r="G140" s="200">
        <v>1550704816</v>
      </c>
      <c r="H140" s="200">
        <f t="shared" si="2"/>
        <v>0</v>
      </c>
      <c r="I140" s="201">
        <v>8</v>
      </c>
      <c r="J140" s="202" t="s">
        <v>469</v>
      </c>
    </row>
    <row r="141" spans="1:10" ht="14.25" customHeight="1">
      <c r="A141" s="203"/>
      <c r="B141" s="204" t="s">
        <v>257</v>
      </c>
      <c r="C141" s="205" t="s">
        <v>189</v>
      </c>
      <c r="D141" s="206" t="s">
        <v>470</v>
      </c>
      <c r="E141" s="200">
        <v>2579000000</v>
      </c>
      <c r="F141" s="200">
        <v>0</v>
      </c>
      <c r="G141" s="200">
        <v>2579000000</v>
      </c>
      <c r="H141" s="200">
        <f t="shared" si="2"/>
        <v>0</v>
      </c>
      <c r="I141" s="201">
        <v>8.1</v>
      </c>
      <c r="J141" s="202" t="s">
        <v>253</v>
      </c>
    </row>
    <row r="142" spans="1:10" ht="14.25" customHeight="1">
      <c r="A142" s="203"/>
      <c r="B142" s="204" t="s">
        <v>258</v>
      </c>
      <c r="C142" s="205" t="s">
        <v>189</v>
      </c>
      <c r="D142" s="206" t="s">
        <v>471</v>
      </c>
      <c r="E142" s="200">
        <v>3500000000</v>
      </c>
      <c r="F142" s="200">
        <v>0</v>
      </c>
      <c r="G142" s="200">
        <v>3500000000</v>
      </c>
      <c r="H142" s="200">
        <f t="shared" si="2"/>
        <v>0</v>
      </c>
      <c r="I142" s="201">
        <v>8.1</v>
      </c>
      <c r="J142" s="202" t="s">
        <v>465</v>
      </c>
    </row>
    <row r="143" spans="1:10" ht="14.25" customHeight="1">
      <c r="A143" s="203"/>
      <c r="B143" s="204" t="s">
        <v>258</v>
      </c>
      <c r="C143" s="205" t="s">
        <v>189</v>
      </c>
      <c r="D143" s="206" t="s">
        <v>472</v>
      </c>
      <c r="E143" s="200">
        <v>1000000000</v>
      </c>
      <c r="F143" s="200">
        <v>0</v>
      </c>
      <c r="G143" s="200">
        <v>1000000000</v>
      </c>
      <c r="H143" s="200">
        <f t="shared" si="2"/>
        <v>0</v>
      </c>
      <c r="I143" s="201">
        <v>7.6</v>
      </c>
      <c r="J143" s="202" t="s">
        <v>253</v>
      </c>
    </row>
    <row r="144" spans="1:10" ht="14.25" customHeight="1">
      <c r="A144" s="203"/>
      <c r="B144" s="204" t="s">
        <v>258</v>
      </c>
      <c r="C144" s="205" t="s">
        <v>189</v>
      </c>
      <c r="D144" s="206" t="s">
        <v>473</v>
      </c>
      <c r="E144" s="200">
        <v>882000000</v>
      </c>
      <c r="F144" s="200">
        <v>0</v>
      </c>
      <c r="G144" s="200">
        <v>882000000</v>
      </c>
      <c r="H144" s="200">
        <f t="shared" si="2"/>
        <v>0</v>
      </c>
      <c r="I144" s="201">
        <v>7.6</v>
      </c>
      <c r="J144" s="202" t="s">
        <v>256</v>
      </c>
    </row>
    <row r="145" spans="1:10" ht="14.25" customHeight="1">
      <c r="A145" s="203"/>
      <c r="B145" s="204" t="s">
        <v>258</v>
      </c>
      <c r="C145" s="205" t="s">
        <v>185</v>
      </c>
      <c r="D145" s="206" t="s">
        <v>474</v>
      </c>
      <c r="E145" s="200">
        <v>2385295998</v>
      </c>
      <c r="F145" s="200">
        <v>0</v>
      </c>
      <c r="G145" s="200">
        <v>2385295998</v>
      </c>
      <c r="H145" s="200">
        <f t="shared" si="2"/>
        <v>0</v>
      </c>
      <c r="I145" s="201">
        <v>7.5</v>
      </c>
      <c r="J145" s="202" t="s">
        <v>469</v>
      </c>
    </row>
    <row r="146" spans="1:10" ht="14.25" customHeight="1">
      <c r="A146" s="203"/>
      <c r="B146" s="204" t="s">
        <v>259</v>
      </c>
      <c r="C146" s="205" t="s">
        <v>189</v>
      </c>
      <c r="D146" s="206" t="s">
        <v>475</v>
      </c>
      <c r="E146" s="200">
        <v>3800000000</v>
      </c>
      <c r="F146" s="200">
        <v>0</v>
      </c>
      <c r="G146" s="200">
        <v>3800000000</v>
      </c>
      <c r="H146" s="200">
        <f t="shared" si="2"/>
        <v>0</v>
      </c>
      <c r="I146" s="201">
        <v>7.4</v>
      </c>
      <c r="J146" s="202" t="s">
        <v>65</v>
      </c>
    </row>
    <row r="147" spans="1:10" ht="14.25" customHeight="1">
      <c r="A147" s="215"/>
      <c r="B147" s="206" t="s">
        <v>145</v>
      </c>
      <c r="C147" s="205" t="s">
        <v>189</v>
      </c>
      <c r="D147" s="206" t="s">
        <v>146</v>
      </c>
      <c r="E147" s="200">
        <v>527000000</v>
      </c>
      <c r="F147" s="200">
        <v>0</v>
      </c>
      <c r="G147" s="200">
        <v>527000000</v>
      </c>
      <c r="H147" s="200">
        <f t="shared" si="2"/>
        <v>0</v>
      </c>
      <c r="I147" s="201">
        <v>7.4</v>
      </c>
      <c r="J147" s="202" t="s">
        <v>61</v>
      </c>
    </row>
    <row r="148" spans="1:10" ht="14.25" customHeight="1">
      <c r="A148" s="203"/>
      <c r="B148" s="204" t="s">
        <v>259</v>
      </c>
      <c r="C148" s="205" t="s">
        <v>185</v>
      </c>
      <c r="D148" s="206" t="s">
        <v>480</v>
      </c>
      <c r="E148" s="200">
        <v>2101596178</v>
      </c>
      <c r="F148" s="200">
        <v>0</v>
      </c>
      <c r="G148" s="200">
        <v>2101596178</v>
      </c>
      <c r="H148" s="200">
        <f t="shared" si="2"/>
        <v>0</v>
      </c>
      <c r="I148" s="201">
        <v>7.3</v>
      </c>
      <c r="J148" s="202" t="s">
        <v>469</v>
      </c>
    </row>
    <row r="149" spans="1:10" ht="14.25" customHeight="1">
      <c r="A149" s="203"/>
      <c r="B149" s="301">
        <v>54</v>
      </c>
      <c r="C149" s="205" t="s">
        <v>163</v>
      </c>
      <c r="D149" s="206" t="s">
        <v>321</v>
      </c>
      <c r="E149" s="200">
        <v>1020295184</v>
      </c>
      <c r="F149" s="200">
        <v>0</v>
      </c>
      <c r="G149" s="200">
        <v>1020295184</v>
      </c>
      <c r="H149" s="200">
        <f t="shared" si="2"/>
        <v>0</v>
      </c>
      <c r="I149" s="201">
        <v>8</v>
      </c>
      <c r="J149" s="202" t="s">
        <v>638</v>
      </c>
    </row>
    <row r="150" spans="1:10" ht="14.25" customHeight="1">
      <c r="A150" s="203"/>
      <c r="B150" s="301">
        <v>55</v>
      </c>
      <c r="C150" s="205" t="s">
        <v>163</v>
      </c>
      <c r="D150" s="206" t="s">
        <v>639</v>
      </c>
      <c r="E150" s="200">
        <v>1862704002</v>
      </c>
      <c r="F150" s="200">
        <v>0</v>
      </c>
      <c r="G150" s="200">
        <v>1862704002</v>
      </c>
      <c r="H150" s="200">
        <f t="shared" si="2"/>
        <v>0</v>
      </c>
      <c r="I150" s="201">
        <v>7.5</v>
      </c>
      <c r="J150" s="202" t="s">
        <v>638</v>
      </c>
    </row>
    <row r="151" spans="1:10" ht="14.25" customHeight="1">
      <c r="A151" s="215"/>
      <c r="B151" s="204">
        <v>56</v>
      </c>
      <c r="C151" s="205" t="s">
        <v>163</v>
      </c>
      <c r="D151" s="204" t="s">
        <v>639</v>
      </c>
      <c r="E151" s="200">
        <v>1944403822</v>
      </c>
      <c r="F151" s="200">
        <v>0</v>
      </c>
      <c r="G151" s="200">
        <v>1944403822</v>
      </c>
      <c r="H151" s="200">
        <f t="shared" si="2"/>
        <v>0</v>
      </c>
      <c r="I151" s="201">
        <v>7.3</v>
      </c>
      <c r="J151" s="202" t="s">
        <v>638</v>
      </c>
    </row>
    <row r="152" spans="1:10" ht="14.25" customHeight="1">
      <c r="A152" s="203"/>
      <c r="B152" s="302" t="s">
        <v>147</v>
      </c>
      <c r="C152" s="205" t="s">
        <v>189</v>
      </c>
      <c r="D152" s="204" t="s">
        <v>640</v>
      </c>
      <c r="E152" s="200">
        <v>215000000</v>
      </c>
      <c r="F152" s="200">
        <v>0</v>
      </c>
      <c r="G152" s="200">
        <v>215000000</v>
      </c>
      <c r="H152" s="200">
        <f t="shared" si="2"/>
        <v>0</v>
      </c>
      <c r="I152" s="201">
        <v>2.0499999999999998</v>
      </c>
      <c r="J152" s="202" t="s">
        <v>60</v>
      </c>
    </row>
    <row r="153" spans="1:10" ht="14.25" customHeight="1">
      <c r="A153" s="203"/>
      <c r="B153" s="206">
        <v>17</v>
      </c>
      <c r="C153" s="205" t="s">
        <v>189</v>
      </c>
      <c r="D153" s="204" t="s">
        <v>640</v>
      </c>
      <c r="E153" s="200">
        <v>634000000</v>
      </c>
      <c r="F153" s="200">
        <v>0</v>
      </c>
      <c r="G153" s="200">
        <v>634000000</v>
      </c>
      <c r="H153" s="200">
        <f t="shared" si="2"/>
        <v>0</v>
      </c>
      <c r="I153" s="201">
        <v>2.0499999999999998</v>
      </c>
      <c r="J153" s="202" t="s">
        <v>60</v>
      </c>
    </row>
    <row r="154" spans="1:10" ht="14.25" customHeight="1">
      <c r="A154" s="203"/>
      <c r="B154" s="206">
        <v>17</v>
      </c>
      <c r="C154" s="205" t="s">
        <v>189</v>
      </c>
      <c r="D154" s="204" t="s">
        <v>640</v>
      </c>
      <c r="E154" s="200">
        <v>596000000</v>
      </c>
      <c r="F154" s="200">
        <v>0</v>
      </c>
      <c r="G154" s="200">
        <v>596000000</v>
      </c>
      <c r="H154" s="200">
        <f t="shared" si="2"/>
        <v>0</v>
      </c>
      <c r="I154" s="201">
        <v>2.0499999999999998</v>
      </c>
      <c r="J154" s="202" t="s">
        <v>60</v>
      </c>
    </row>
    <row r="155" spans="1:10" ht="14.25" customHeight="1">
      <c r="A155" s="203"/>
      <c r="B155" s="206">
        <v>17</v>
      </c>
      <c r="C155" s="205" t="s">
        <v>189</v>
      </c>
      <c r="D155" s="204" t="s">
        <v>640</v>
      </c>
      <c r="E155" s="200">
        <v>981000000</v>
      </c>
      <c r="F155" s="200">
        <v>0</v>
      </c>
      <c r="G155" s="200">
        <v>981000000</v>
      </c>
      <c r="H155" s="200">
        <f t="shared" si="2"/>
        <v>0</v>
      </c>
      <c r="I155" s="201">
        <v>2.0499999999999998</v>
      </c>
      <c r="J155" s="202" t="s">
        <v>61</v>
      </c>
    </row>
    <row r="156" spans="1:10" ht="14.25" customHeight="1">
      <c r="A156" s="203"/>
      <c r="B156" s="206">
        <v>18</v>
      </c>
      <c r="C156" s="205" t="s">
        <v>189</v>
      </c>
      <c r="D156" s="204" t="s">
        <v>64</v>
      </c>
      <c r="E156" s="200">
        <v>26300000</v>
      </c>
      <c r="F156" s="200">
        <v>0</v>
      </c>
      <c r="G156" s="200">
        <v>26300000</v>
      </c>
      <c r="H156" s="200">
        <f t="shared" si="2"/>
        <v>0</v>
      </c>
      <c r="I156" s="201">
        <v>2.5499999999999998</v>
      </c>
      <c r="J156" s="202" t="s">
        <v>642</v>
      </c>
    </row>
    <row r="157" spans="1:10" ht="14.25" customHeight="1">
      <c r="A157" s="203"/>
      <c r="B157" s="206">
        <v>18</v>
      </c>
      <c r="C157" s="205" t="s">
        <v>189</v>
      </c>
      <c r="D157" s="204" t="s">
        <v>64</v>
      </c>
      <c r="E157" s="200">
        <v>201100000</v>
      </c>
      <c r="F157" s="200">
        <v>0</v>
      </c>
      <c r="G157" s="200">
        <v>201100000</v>
      </c>
      <c r="H157" s="200">
        <f t="shared" si="2"/>
        <v>0</v>
      </c>
      <c r="I157" s="201">
        <v>2.5499999999999998</v>
      </c>
      <c r="J157" s="202" t="s">
        <v>642</v>
      </c>
    </row>
    <row r="158" spans="1:10" ht="14.25" customHeight="1">
      <c r="A158" s="203"/>
      <c r="B158" s="206">
        <v>18</v>
      </c>
      <c r="C158" s="205" t="s">
        <v>189</v>
      </c>
      <c r="D158" s="204" t="s">
        <v>351</v>
      </c>
      <c r="E158" s="200">
        <v>209100000</v>
      </c>
      <c r="F158" s="200">
        <v>0</v>
      </c>
      <c r="G158" s="200">
        <v>209100000</v>
      </c>
      <c r="H158" s="200">
        <f t="shared" si="2"/>
        <v>0</v>
      </c>
      <c r="I158" s="201">
        <v>2.5499999999999998</v>
      </c>
      <c r="J158" s="202" t="s">
        <v>256</v>
      </c>
    </row>
    <row r="159" spans="1:10" ht="14.25" customHeight="1">
      <c r="A159" s="203"/>
      <c r="B159" s="206">
        <v>19</v>
      </c>
      <c r="C159" s="205" t="s">
        <v>495</v>
      </c>
      <c r="D159" s="204" t="s">
        <v>67</v>
      </c>
      <c r="E159" s="200">
        <v>544100000</v>
      </c>
      <c r="F159" s="200">
        <v>0</v>
      </c>
      <c r="G159" s="200">
        <v>544100000</v>
      </c>
      <c r="H159" s="200">
        <f t="shared" si="2"/>
        <v>0</v>
      </c>
      <c r="I159" s="201">
        <v>2.4</v>
      </c>
      <c r="J159" s="202" t="s">
        <v>65</v>
      </c>
    </row>
    <row r="160" spans="1:10" ht="14.25" customHeight="1">
      <c r="A160" s="203"/>
      <c r="B160" s="206">
        <v>19</v>
      </c>
      <c r="C160" s="205" t="s">
        <v>495</v>
      </c>
      <c r="D160" s="204" t="s">
        <v>67</v>
      </c>
      <c r="E160" s="200">
        <v>92100000</v>
      </c>
      <c r="F160" s="200">
        <v>0</v>
      </c>
      <c r="G160" s="200">
        <v>92100000</v>
      </c>
      <c r="H160" s="200">
        <f t="shared" si="2"/>
        <v>0</v>
      </c>
      <c r="I160" s="201">
        <v>2.4</v>
      </c>
      <c r="J160" s="202" t="s">
        <v>69</v>
      </c>
    </row>
    <row r="161" spans="1:10" ht="17.25" customHeight="1">
      <c r="A161" s="219" t="s">
        <v>376</v>
      </c>
      <c r="B161" s="220"/>
      <c r="C161" s="221"/>
      <c r="D161" s="222"/>
      <c r="E161" s="245">
        <f>SUM(E79:E111,E116:E160)</f>
        <v>124568706889</v>
      </c>
      <c r="F161" s="245">
        <f>SUM(F79:F111,F116:F160)</f>
        <v>0</v>
      </c>
      <c r="G161" s="245">
        <f>SUM(G79:G111,G116:G160)</f>
        <v>124568706889</v>
      </c>
      <c r="H161" s="245">
        <f>SUM(H79:H111,H116:H160)</f>
        <v>0</v>
      </c>
      <c r="I161" s="223"/>
      <c r="J161" s="224"/>
    </row>
    <row r="162" spans="1:10" ht="14.25" customHeight="1">
      <c r="A162" s="215" t="s">
        <v>481</v>
      </c>
      <c r="B162" s="206" t="s">
        <v>643</v>
      </c>
      <c r="C162" s="263" t="s">
        <v>184</v>
      </c>
      <c r="D162" s="206" t="s">
        <v>644</v>
      </c>
      <c r="E162" s="200">
        <v>60000000</v>
      </c>
      <c r="F162" s="200">
        <v>0</v>
      </c>
      <c r="G162" s="200">
        <v>60000000</v>
      </c>
      <c r="H162" s="200">
        <f t="shared" si="2"/>
        <v>0</v>
      </c>
      <c r="I162" s="201">
        <v>7.1</v>
      </c>
      <c r="J162" s="202" t="s">
        <v>209</v>
      </c>
    </row>
    <row r="163" spans="1:10" ht="14.25" customHeight="1">
      <c r="A163" s="203" t="s">
        <v>482</v>
      </c>
      <c r="B163" s="204">
        <v>45</v>
      </c>
      <c r="C163" s="205" t="s">
        <v>185</v>
      </c>
      <c r="D163" s="206" t="s">
        <v>645</v>
      </c>
      <c r="E163" s="200">
        <v>340000000</v>
      </c>
      <c r="F163" s="200">
        <v>0</v>
      </c>
      <c r="G163" s="200">
        <v>340000000</v>
      </c>
      <c r="H163" s="200">
        <f t="shared" si="2"/>
        <v>0</v>
      </c>
      <c r="I163" s="201">
        <v>6.5</v>
      </c>
      <c r="J163" s="202" t="s">
        <v>235</v>
      </c>
    </row>
    <row r="164" spans="1:10" ht="14.25" customHeight="1">
      <c r="A164" s="203"/>
      <c r="B164" s="204">
        <v>46</v>
      </c>
      <c r="C164" s="205" t="s">
        <v>189</v>
      </c>
      <c r="D164" s="206" t="s">
        <v>416</v>
      </c>
      <c r="E164" s="200">
        <v>100000000</v>
      </c>
      <c r="F164" s="200">
        <v>0</v>
      </c>
      <c r="G164" s="200">
        <v>100000000</v>
      </c>
      <c r="H164" s="200">
        <f t="shared" si="2"/>
        <v>0</v>
      </c>
      <c r="I164" s="201">
        <v>6.7</v>
      </c>
      <c r="J164" s="202" t="s">
        <v>237</v>
      </c>
    </row>
    <row r="165" spans="1:10" ht="14.25" customHeight="1">
      <c r="A165" s="203"/>
      <c r="B165" s="204">
        <v>46</v>
      </c>
      <c r="C165" s="205" t="s">
        <v>189</v>
      </c>
      <c r="D165" s="206" t="s">
        <v>732</v>
      </c>
      <c r="E165" s="200">
        <v>107000000</v>
      </c>
      <c r="F165" s="200">
        <v>0</v>
      </c>
      <c r="G165" s="200">
        <v>107000000</v>
      </c>
      <c r="H165" s="200">
        <f t="shared" si="2"/>
        <v>0</v>
      </c>
      <c r="I165" s="201">
        <v>6.7</v>
      </c>
      <c r="J165" s="202" t="s">
        <v>237</v>
      </c>
    </row>
    <row r="166" spans="1:10" ht="14.25" customHeight="1">
      <c r="A166" s="203"/>
      <c r="B166" s="204">
        <v>46</v>
      </c>
      <c r="C166" s="205" t="s">
        <v>185</v>
      </c>
      <c r="D166" s="206" t="s">
        <v>331</v>
      </c>
      <c r="E166" s="200">
        <v>238000000</v>
      </c>
      <c r="F166" s="200">
        <v>0</v>
      </c>
      <c r="G166" s="200">
        <v>238000000</v>
      </c>
      <c r="H166" s="200">
        <f t="shared" si="2"/>
        <v>0</v>
      </c>
      <c r="I166" s="201">
        <v>6.5</v>
      </c>
      <c r="J166" s="202" t="s">
        <v>239</v>
      </c>
    </row>
    <row r="167" spans="1:10" ht="14.25" customHeight="1">
      <c r="A167" s="203"/>
      <c r="B167" s="204">
        <v>46</v>
      </c>
      <c r="C167" s="205" t="s">
        <v>180</v>
      </c>
      <c r="D167" s="206" t="s">
        <v>331</v>
      </c>
      <c r="E167" s="200">
        <v>250000000</v>
      </c>
      <c r="F167" s="200">
        <v>0</v>
      </c>
      <c r="G167" s="200">
        <v>250000000</v>
      </c>
      <c r="H167" s="200">
        <f t="shared" si="2"/>
        <v>0</v>
      </c>
      <c r="I167" s="201">
        <v>6.8</v>
      </c>
      <c r="J167" s="202" t="s">
        <v>212</v>
      </c>
    </row>
    <row r="168" spans="1:10" ht="14.25" customHeight="1">
      <c r="A168" s="203"/>
      <c r="B168" s="204">
        <v>47</v>
      </c>
      <c r="C168" s="205" t="s">
        <v>189</v>
      </c>
      <c r="D168" s="206" t="s">
        <v>332</v>
      </c>
      <c r="E168" s="200">
        <v>280000000</v>
      </c>
      <c r="F168" s="200">
        <v>0</v>
      </c>
      <c r="G168" s="200">
        <v>280000000</v>
      </c>
      <c r="H168" s="200">
        <f t="shared" si="2"/>
        <v>0</v>
      </c>
      <c r="I168" s="201">
        <v>6.4</v>
      </c>
      <c r="J168" s="202" t="s">
        <v>219</v>
      </c>
    </row>
    <row r="169" spans="1:10" ht="14.25" customHeight="1" thickBot="1">
      <c r="A169" s="269"/>
      <c r="B169" s="285">
        <v>47</v>
      </c>
      <c r="C169" s="286" t="s">
        <v>180</v>
      </c>
      <c r="D169" s="287" t="s">
        <v>333</v>
      </c>
      <c r="E169" s="268">
        <v>340000000</v>
      </c>
      <c r="F169" s="268">
        <v>0</v>
      </c>
      <c r="G169" s="268">
        <v>340000000</v>
      </c>
      <c r="H169" s="200">
        <f t="shared" si="2"/>
        <v>0</v>
      </c>
      <c r="I169" s="288">
        <v>7</v>
      </c>
      <c r="J169" s="298" t="s">
        <v>188</v>
      </c>
    </row>
    <row r="170" spans="1:10" ht="9.75" customHeight="1" thickBot="1">
      <c r="A170" s="257"/>
      <c r="B170" s="272"/>
      <c r="C170" s="257"/>
      <c r="D170" s="258"/>
      <c r="E170" s="259"/>
      <c r="F170" s="259"/>
      <c r="G170" s="259"/>
      <c r="H170" s="259"/>
      <c r="I170" s="260"/>
      <c r="J170" s="270"/>
    </row>
    <row r="171" spans="1:10">
      <c r="A171" s="479" t="s">
        <v>26</v>
      </c>
      <c r="B171" s="481" t="s">
        <v>311</v>
      </c>
      <c r="C171" s="483" t="s">
        <v>27</v>
      </c>
      <c r="D171" s="481" t="s">
        <v>312</v>
      </c>
      <c r="E171" s="485" t="s">
        <v>28</v>
      </c>
      <c r="F171" s="487" t="s">
        <v>29</v>
      </c>
      <c r="G171" s="493"/>
      <c r="H171" s="489" t="s">
        <v>174</v>
      </c>
      <c r="I171" s="491" t="s">
        <v>30</v>
      </c>
      <c r="J171" s="477" t="s">
        <v>313</v>
      </c>
    </row>
    <row r="172" spans="1:10">
      <c r="A172" s="480"/>
      <c r="B172" s="482"/>
      <c r="C172" s="484"/>
      <c r="D172" s="482"/>
      <c r="E172" s="486"/>
      <c r="F172" s="207" t="s">
        <v>176</v>
      </c>
      <c r="G172" s="207" t="s">
        <v>305</v>
      </c>
      <c r="H172" s="490"/>
      <c r="I172" s="492"/>
      <c r="J172" s="478"/>
    </row>
    <row r="173" spans="1:10">
      <c r="A173" s="209"/>
      <c r="B173" s="210"/>
      <c r="C173" s="210"/>
      <c r="D173" s="211" t="s">
        <v>177</v>
      </c>
      <c r="E173" s="212" t="s">
        <v>178</v>
      </c>
      <c r="F173" s="212" t="s">
        <v>172</v>
      </c>
      <c r="G173" s="212" t="s">
        <v>178</v>
      </c>
      <c r="H173" s="212" t="s">
        <v>178</v>
      </c>
      <c r="I173" s="213" t="s">
        <v>31</v>
      </c>
      <c r="J173" s="214" t="s">
        <v>175</v>
      </c>
    </row>
    <row r="174" spans="1:10" ht="14.25" customHeight="1">
      <c r="A174" s="215" t="s">
        <v>481</v>
      </c>
      <c r="B174" s="204" t="s">
        <v>340</v>
      </c>
      <c r="C174" s="205" t="s">
        <v>185</v>
      </c>
      <c r="D174" s="206" t="s">
        <v>692</v>
      </c>
      <c r="E174" s="200">
        <v>500000000</v>
      </c>
      <c r="F174" s="200">
        <v>0</v>
      </c>
      <c r="G174" s="200">
        <v>500000000</v>
      </c>
      <c r="H174" s="200">
        <f t="shared" ref="H174:H226" si="3">E174-G174</f>
        <v>0</v>
      </c>
      <c r="I174" s="201">
        <v>6.75</v>
      </c>
      <c r="J174" s="202" t="s">
        <v>242</v>
      </c>
    </row>
    <row r="175" spans="1:10" ht="14.25" customHeight="1">
      <c r="A175" s="203" t="s">
        <v>482</v>
      </c>
      <c r="B175" s="204">
        <v>48</v>
      </c>
      <c r="C175" s="205" t="s">
        <v>189</v>
      </c>
      <c r="D175" s="206" t="s">
        <v>483</v>
      </c>
      <c r="E175" s="200">
        <v>300000000</v>
      </c>
      <c r="F175" s="200">
        <v>0</v>
      </c>
      <c r="G175" s="200">
        <v>300000000</v>
      </c>
      <c r="H175" s="200">
        <f t="shared" si="3"/>
        <v>0</v>
      </c>
      <c r="I175" s="201">
        <v>7.7</v>
      </c>
      <c r="J175" s="202" t="s">
        <v>228</v>
      </c>
    </row>
    <row r="176" spans="1:10" ht="14.25" customHeight="1">
      <c r="A176" s="203"/>
      <c r="B176" s="204">
        <v>48</v>
      </c>
      <c r="C176" s="205" t="s">
        <v>189</v>
      </c>
      <c r="D176" s="206" t="s">
        <v>430</v>
      </c>
      <c r="E176" s="200">
        <v>140000000</v>
      </c>
      <c r="F176" s="200">
        <v>0</v>
      </c>
      <c r="G176" s="200">
        <v>140000000</v>
      </c>
      <c r="H176" s="200">
        <f t="shared" si="3"/>
        <v>0</v>
      </c>
      <c r="I176" s="201">
        <v>7.7</v>
      </c>
      <c r="J176" s="202" t="s">
        <v>228</v>
      </c>
    </row>
    <row r="177" spans="1:10" ht="14.25" customHeight="1">
      <c r="A177" s="203"/>
      <c r="B177" s="204">
        <v>48</v>
      </c>
      <c r="C177" s="263" t="s">
        <v>180</v>
      </c>
      <c r="D177" s="206" t="s">
        <v>484</v>
      </c>
      <c r="E177" s="200">
        <v>379000000</v>
      </c>
      <c r="F177" s="200">
        <v>0</v>
      </c>
      <c r="G177" s="200">
        <v>379000000</v>
      </c>
      <c r="H177" s="200">
        <f t="shared" si="3"/>
        <v>0</v>
      </c>
      <c r="I177" s="201">
        <v>8.5</v>
      </c>
      <c r="J177" s="202" t="s">
        <v>194</v>
      </c>
    </row>
    <row r="178" spans="1:10" ht="14.25" customHeight="1">
      <c r="A178" s="203"/>
      <c r="B178" s="204">
        <v>48</v>
      </c>
      <c r="C178" s="205" t="s">
        <v>185</v>
      </c>
      <c r="D178" s="206" t="s">
        <v>433</v>
      </c>
      <c r="E178" s="200">
        <v>981000000</v>
      </c>
      <c r="F178" s="200">
        <v>0</v>
      </c>
      <c r="G178" s="200">
        <v>981000000</v>
      </c>
      <c r="H178" s="200">
        <f t="shared" si="3"/>
        <v>0</v>
      </c>
      <c r="I178" s="201">
        <v>8</v>
      </c>
      <c r="J178" s="202" t="s">
        <v>244</v>
      </c>
    </row>
    <row r="179" spans="1:10" ht="14.25" customHeight="1">
      <c r="A179" s="203"/>
      <c r="B179" s="204">
        <v>49</v>
      </c>
      <c r="C179" s="205" t="s">
        <v>189</v>
      </c>
      <c r="D179" s="206" t="s">
        <v>436</v>
      </c>
      <c r="E179" s="200">
        <v>150000000</v>
      </c>
      <c r="F179" s="200">
        <v>0</v>
      </c>
      <c r="G179" s="200">
        <v>150000000</v>
      </c>
      <c r="H179" s="200">
        <f t="shared" si="3"/>
        <v>0</v>
      </c>
      <c r="I179" s="201">
        <v>8.1999999999999993</v>
      </c>
      <c r="J179" s="202" t="s">
        <v>242</v>
      </c>
    </row>
    <row r="180" spans="1:10" ht="14.25" customHeight="1">
      <c r="A180" s="203"/>
      <c r="B180" s="204">
        <v>49</v>
      </c>
      <c r="C180" s="263" t="s">
        <v>180</v>
      </c>
      <c r="D180" s="206" t="s">
        <v>485</v>
      </c>
      <c r="E180" s="200">
        <v>150000000</v>
      </c>
      <c r="F180" s="200">
        <v>0</v>
      </c>
      <c r="G180" s="200">
        <v>150000000</v>
      </c>
      <c r="H180" s="200">
        <f t="shared" si="3"/>
        <v>0</v>
      </c>
      <c r="I180" s="201">
        <v>9.1</v>
      </c>
      <c r="J180" s="202" t="s">
        <v>198</v>
      </c>
    </row>
    <row r="181" spans="1:10" ht="14.25" customHeight="1">
      <c r="A181" s="203"/>
      <c r="B181" s="204">
        <v>49</v>
      </c>
      <c r="C181" s="205" t="s">
        <v>185</v>
      </c>
      <c r="D181" s="206" t="s">
        <v>486</v>
      </c>
      <c r="E181" s="200">
        <v>700000000</v>
      </c>
      <c r="F181" s="200">
        <v>0</v>
      </c>
      <c r="G181" s="200">
        <v>700000000</v>
      </c>
      <c r="H181" s="200">
        <f t="shared" si="3"/>
        <v>0</v>
      </c>
      <c r="I181" s="201">
        <v>8</v>
      </c>
      <c r="J181" s="202" t="s">
        <v>244</v>
      </c>
    </row>
    <row r="182" spans="1:10" ht="14.25" customHeight="1">
      <c r="A182" s="203"/>
      <c r="B182" s="204">
        <v>50</v>
      </c>
      <c r="C182" s="205" t="s">
        <v>189</v>
      </c>
      <c r="D182" s="206" t="s">
        <v>487</v>
      </c>
      <c r="E182" s="200">
        <v>300000000</v>
      </c>
      <c r="F182" s="200">
        <v>0</v>
      </c>
      <c r="G182" s="200">
        <v>300000000</v>
      </c>
      <c r="H182" s="200">
        <f t="shared" si="3"/>
        <v>0</v>
      </c>
      <c r="I182" s="201">
        <v>7.7</v>
      </c>
      <c r="J182" s="202" t="s">
        <v>246</v>
      </c>
    </row>
    <row r="183" spans="1:10" ht="14.25" customHeight="1">
      <c r="A183" s="203"/>
      <c r="B183" s="204">
        <v>50</v>
      </c>
      <c r="C183" s="205" t="s">
        <v>185</v>
      </c>
      <c r="D183" s="206" t="s">
        <v>488</v>
      </c>
      <c r="E183" s="200">
        <v>700000000</v>
      </c>
      <c r="F183" s="200">
        <v>0</v>
      </c>
      <c r="G183" s="200">
        <v>700000000</v>
      </c>
      <c r="H183" s="200">
        <f t="shared" si="3"/>
        <v>0</v>
      </c>
      <c r="I183" s="201">
        <v>7.5</v>
      </c>
      <c r="J183" s="202" t="s">
        <v>249</v>
      </c>
    </row>
    <row r="184" spans="1:10" ht="14.25" customHeight="1">
      <c r="A184" s="203"/>
      <c r="B184" s="204">
        <v>51</v>
      </c>
      <c r="C184" s="205" t="s">
        <v>189</v>
      </c>
      <c r="D184" s="206" t="s">
        <v>446</v>
      </c>
      <c r="E184" s="200">
        <v>400000000</v>
      </c>
      <c r="F184" s="200">
        <v>0</v>
      </c>
      <c r="G184" s="200">
        <v>400000000</v>
      </c>
      <c r="H184" s="200">
        <f t="shared" si="3"/>
        <v>0</v>
      </c>
      <c r="I184" s="201">
        <v>6.95</v>
      </c>
      <c r="J184" s="202" t="s">
        <v>244</v>
      </c>
    </row>
    <row r="185" spans="1:10" ht="14.25" customHeight="1">
      <c r="A185" s="203"/>
      <c r="B185" s="204">
        <v>51</v>
      </c>
      <c r="C185" s="205" t="s">
        <v>189</v>
      </c>
      <c r="D185" s="206" t="s">
        <v>489</v>
      </c>
      <c r="E185" s="200">
        <v>440000000</v>
      </c>
      <c r="F185" s="200">
        <v>0</v>
      </c>
      <c r="G185" s="200">
        <v>440000000</v>
      </c>
      <c r="H185" s="200">
        <f t="shared" si="3"/>
        <v>0</v>
      </c>
      <c r="I185" s="201">
        <v>6.7</v>
      </c>
      <c r="J185" s="202" t="s">
        <v>247</v>
      </c>
    </row>
    <row r="186" spans="1:10" ht="14.25" customHeight="1">
      <c r="A186" s="203"/>
      <c r="B186" s="204">
        <v>52</v>
      </c>
      <c r="C186" s="205" t="s">
        <v>189</v>
      </c>
      <c r="D186" s="206" t="s">
        <v>458</v>
      </c>
      <c r="E186" s="200">
        <v>400000000</v>
      </c>
      <c r="F186" s="200">
        <v>0</v>
      </c>
      <c r="G186" s="200">
        <v>400000000</v>
      </c>
      <c r="H186" s="200">
        <f t="shared" si="3"/>
        <v>0</v>
      </c>
      <c r="I186" s="201">
        <v>6.25</v>
      </c>
      <c r="J186" s="202" t="s">
        <v>249</v>
      </c>
    </row>
    <row r="187" spans="1:10" ht="14.25" customHeight="1">
      <c r="A187" s="203"/>
      <c r="B187" s="204">
        <v>53</v>
      </c>
      <c r="C187" s="205" t="s">
        <v>189</v>
      </c>
      <c r="D187" s="206" t="s">
        <v>490</v>
      </c>
      <c r="E187" s="200">
        <v>209000000</v>
      </c>
      <c r="F187" s="200">
        <v>0</v>
      </c>
      <c r="G187" s="200">
        <v>209000000</v>
      </c>
      <c r="H187" s="200">
        <f t="shared" si="3"/>
        <v>0</v>
      </c>
      <c r="I187" s="201">
        <v>7.25</v>
      </c>
      <c r="J187" s="202" t="s">
        <v>251</v>
      </c>
    </row>
    <row r="188" spans="1:10" ht="14.25" customHeight="1">
      <c r="A188" s="203"/>
      <c r="B188" s="204">
        <v>54</v>
      </c>
      <c r="C188" s="205" t="s">
        <v>189</v>
      </c>
      <c r="D188" s="206" t="s">
        <v>463</v>
      </c>
      <c r="E188" s="200">
        <v>44000000</v>
      </c>
      <c r="F188" s="200">
        <v>0</v>
      </c>
      <c r="G188" s="200">
        <v>44000000</v>
      </c>
      <c r="H188" s="200">
        <f t="shared" si="3"/>
        <v>0</v>
      </c>
      <c r="I188" s="201">
        <v>7.25</v>
      </c>
      <c r="J188" s="202" t="s">
        <v>251</v>
      </c>
    </row>
    <row r="189" spans="1:10" ht="14.25" customHeight="1">
      <c r="A189" s="203"/>
      <c r="B189" s="204">
        <v>54</v>
      </c>
      <c r="C189" s="205" t="s">
        <v>189</v>
      </c>
      <c r="D189" s="206" t="s">
        <v>464</v>
      </c>
      <c r="E189" s="200">
        <v>40000000</v>
      </c>
      <c r="F189" s="200">
        <v>0</v>
      </c>
      <c r="G189" s="200">
        <v>40000000</v>
      </c>
      <c r="H189" s="200">
        <f t="shared" si="3"/>
        <v>0</v>
      </c>
      <c r="I189" s="201">
        <v>8.6</v>
      </c>
      <c r="J189" s="202" t="s">
        <v>465</v>
      </c>
    </row>
    <row r="190" spans="1:10" ht="14.25" customHeight="1">
      <c r="A190" s="203"/>
      <c r="B190" s="204">
        <v>55</v>
      </c>
      <c r="C190" s="205" t="s">
        <v>189</v>
      </c>
      <c r="D190" s="206" t="s">
        <v>491</v>
      </c>
      <c r="E190" s="200">
        <v>30000000</v>
      </c>
      <c r="F190" s="200">
        <v>0</v>
      </c>
      <c r="G190" s="200">
        <v>30000000</v>
      </c>
      <c r="H190" s="200">
        <f t="shared" si="3"/>
        <v>0</v>
      </c>
      <c r="I190" s="201">
        <v>8.1</v>
      </c>
      <c r="J190" s="202" t="s">
        <v>465</v>
      </c>
    </row>
    <row r="191" spans="1:10" ht="14.25" customHeight="1">
      <c r="A191" s="203"/>
      <c r="B191" s="204">
        <v>55</v>
      </c>
      <c r="C191" s="205" t="s">
        <v>189</v>
      </c>
      <c r="D191" s="206" t="s">
        <v>475</v>
      </c>
      <c r="E191" s="200">
        <v>20000000</v>
      </c>
      <c r="F191" s="200">
        <v>0</v>
      </c>
      <c r="G191" s="200">
        <v>20000000</v>
      </c>
      <c r="H191" s="200">
        <f t="shared" si="3"/>
        <v>0</v>
      </c>
      <c r="I191" s="201">
        <v>7.4</v>
      </c>
      <c r="J191" s="202" t="s">
        <v>60</v>
      </c>
    </row>
    <row r="192" spans="1:10" ht="14.25" customHeight="1">
      <c r="A192" s="203"/>
      <c r="B192" s="206" t="s">
        <v>147</v>
      </c>
      <c r="C192" s="205" t="s">
        <v>189</v>
      </c>
      <c r="D192" s="206" t="s">
        <v>148</v>
      </c>
      <c r="E192" s="200">
        <v>8000000</v>
      </c>
      <c r="F192" s="200">
        <v>0</v>
      </c>
      <c r="G192" s="200">
        <v>8000000</v>
      </c>
      <c r="H192" s="200">
        <f t="shared" si="3"/>
        <v>0</v>
      </c>
      <c r="I192" s="201">
        <v>2.0499999999999998</v>
      </c>
      <c r="J192" s="202" t="s">
        <v>60</v>
      </c>
    </row>
    <row r="193" spans="1:10" ht="14.25" customHeight="1">
      <c r="A193" s="203"/>
      <c r="B193" s="206">
        <v>17</v>
      </c>
      <c r="C193" s="205" t="s">
        <v>189</v>
      </c>
      <c r="D193" s="206" t="s">
        <v>349</v>
      </c>
      <c r="E193" s="200">
        <v>8000000</v>
      </c>
      <c r="F193" s="200">
        <v>0</v>
      </c>
      <c r="G193" s="200">
        <v>8000000</v>
      </c>
      <c r="H193" s="200">
        <f t="shared" si="3"/>
        <v>0</v>
      </c>
      <c r="I193" s="201">
        <v>2.0499999999999998</v>
      </c>
      <c r="J193" s="202" t="s">
        <v>260</v>
      </c>
    </row>
    <row r="194" spans="1:10" ht="14.25" customHeight="1">
      <c r="A194" s="203"/>
      <c r="B194" s="206">
        <v>19</v>
      </c>
      <c r="C194" s="205" t="s">
        <v>495</v>
      </c>
      <c r="D194" s="204" t="s">
        <v>67</v>
      </c>
      <c r="E194" s="200">
        <v>2900000</v>
      </c>
      <c r="F194" s="200">
        <v>0</v>
      </c>
      <c r="G194" s="200">
        <v>2900000</v>
      </c>
      <c r="H194" s="200">
        <f t="shared" si="3"/>
        <v>0</v>
      </c>
      <c r="I194" s="201">
        <v>2.4</v>
      </c>
      <c r="J194" s="202" t="s">
        <v>65</v>
      </c>
    </row>
    <row r="195" spans="1:10" ht="17.25" customHeight="1">
      <c r="A195" s="219" t="s">
        <v>376</v>
      </c>
      <c r="B195" s="220" t="s">
        <v>173</v>
      </c>
      <c r="C195" s="221" t="s">
        <v>173</v>
      </c>
      <c r="D195" s="222" t="s">
        <v>173</v>
      </c>
      <c r="E195" s="245">
        <f>SUM(E162:E169,E174:E194)</f>
        <v>7616900000</v>
      </c>
      <c r="F195" s="245">
        <f>SUM(F162:F169,F174:F194)</f>
        <v>0</v>
      </c>
      <c r="G195" s="245">
        <f>SUM(G162:G169,G174:G194)</f>
        <v>7616900000</v>
      </c>
      <c r="H195" s="245">
        <f>SUM(H162:H169,H174:H194)</f>
        <v>0</v>
      </c>
      <c r="I195" s="223"/>
      <c r="J195" s="224" t="s">
        <v>173</v>
      </c>
    </row>
    <row r="196" spans="1:10" ht="14.25" customHeight="1">
      <c r="A196" s="215" t="s">
        <v>497</v>
      </c>
      <c r="B196" s="206" t="s">
        <v>149</v>
      </c>
      <c r="C196" s="205" t="s">
        <v>189</v>
      </c>
      <c r="D196" s="206" t="s">
        <v>150</v>
      </c>
      <c r="E196" s="200">
        <v>1473000000</v>
      </c>
      <c r="F196" s="250">
        <v>0</v>
      </c>
      <c r="G196" s="200">
        <v>1473000000</v>
      </c>
      <c r="H196" s="200">
        <f t="shared" si="3"/>
        <v>0</v>
      </c>
      <c r="I196" s="201">
        <v>7.4</v>
      </c>
      <c r="J196" s="216" t="s">
        <v>260</v>
      </c>
    </row>
    <row r="197" spans="1:10" ht="14.25" customHeight="1">
      <c r="A197" s="203" t="s">
        <v>182</v>
      </c>
      <c r="B197" s="204">
        <v>57</v>
      </c>
      <c r="C197" s="205" t="s">
        <v>189</v>
      </c>
      <c r="D197" s="206" t="s">
        <v>500</v>
      </c>
      <c r="E197" s="200">
        <v>1848000000</v>
      </c>
      <c r="F197" s="200">
        <v>0</v>
      </c>
      <c r="G197" s="200">
        <v>1848000000</v>
      </c>
      <c r="H197" s="200">
        <f t="shared" si="3"/>
        <v>0</v>
      </c>
      <c r="I197" s="201">
        <v>7.4</v>
      </c>
      <c r="J197" s="216" t="s">
        <v>260</v>
      </c>
    </row>
    <row r="198" spans="1:10" ht="14.25" customHeight="1">
      <c r="A198" s="299"/>
      <c r="B198" s="204">
        <v>57</v>
      </c>
      <c r="C198" s="205" t="s">
        <v>185</v>
      </c>
      <c r="D198" s="206" t="s">
        <v>501</v>
      </c>
      <c r="E198" s="200">
        <v>2386413639</v>
      </c>
      <c r="F198" s="200">
        <v>0</v>
      </c>
      <c r="G198" s="200">
        <v>2386413639</v>
      </c>
      <c r="H198" s="200">
        <f t="shared" si="3"/>
        <v>0</v>
      </c>
      <c r="I198" s="201">
        <v>7.3</v>
      </c>
      <c r="J198" s="202" t="s">
        <v>469</v>
      </c>
    </row>
    <row r="199" spans="1:10" ht="14.25" customHeight="1">
      <c r="A199" s="203"/>
      <c r="B199" s="204">
        <v>58</v>
      </c>
      <c r="C199" s="205" t="s">
        <v>189</v>
      </c>
      <c r="D199" s="206" t="s">
        <v>502</v>
      </c>
      <c r="E199" s="200">
        <v>1485000000</v>
      </c>
      <c r="F199" s="200">
        <v>0</v>
      </c>
      <c r="G199" s="200">
        <v>1485000000</v>
      </c>
      <c r="H199" s="200">
        <f t="shared" si="3"/>
        <v>0</v>
      </c>
      <c r="I199" s="201">
        <v>7.2</v>
      </c>
      <c r="J199" s="202" t="s">
        <v>263</v>
      </c>
    </row>
    <row r="200" spans="1:10" ht="14.25" customHeight="1">
      <c r="A200" s="203"/>
      <c r="B200" s="204">
        <v>58</v>
      </c>
      <c r="C200" s="205" t="s">
        <v>189</v>
      </c>
      <c r="D200" s="206" t="s">
        <v>503</v>
      </c>
      <c r="E200" s="200">
        <v>1370000000</v>
      </c>
      <c r="F200" s="200">
        <v>0</v>
      </c>
      <c r="G200" s="200">
        <v>1370000000</v>
      </c>
      <c r="H200" s="200">
        <f t="shared" si="3"/>
        <v>0</v>
      </c>
      <c r="I200" s="201">
        <v>7.2</v>
      </c>
      <c r="J200" s="202" t="s">
        <v>66</v>
      </c>
    </row>
    <row r="201" spans="1:10" ht="14.25" customHeight="1">
      <c r="A201" s="203"/>
      <c r="B201" s="204">
        <v>58</v>
      </c>
      <c r="C201" s="205" t="s">
        <v>189</v>
      </c>
      <c r="D201" s="206" t="s">
        <v>0</v>
      </c>
      <c r="E201" s="200">
        <v>763000000</v>
      </c>
      <c r="F201" s="200">
        <v>0</v>
      </c>
      <c r="G201" s="200">
        <v>763000000</v>
      </c>
      <c r="H201" s="200">
        <f t="shared" si="3"/>
        <v>0</v>
      </c>
      <c r="I201" s="201">
        <v>7.2</v>
      </c>
      <c r="J201" s="202" t="s">
        <v>264</v>
      </c>
    </row>
    <row r="202" spans="1:10" ht="14.25" customHeight="1">
      <c r="A202" s="203"/>
      <c r="B202" s="204">
        <v>58</v>
      </c>
      <c r="C202" s="205" t="s">
        <v>185</v>
      </c>
      <c r="D202" s="206" t="s">
        <v>506</v>
      </c>
      <c r="E202" s="200">
        <v>301471</v>
      </c>
      <c r="F202" s="200">
        <v>0</v>
      </c>
      <c r="G202" s="200">
        <v>301471</v>
      </c>
      <c r="H202" s="200">
        <f t="shared" si="3"/>
        <v>0</v>
      </c>
      <c r="I202" s="201">
        <v>7.1</v>
      </c>
      <c r="J202" s="202" t="s">
        <v>210</v>
      </c>
    </row>
    <row r="203" spans="1:10" ht="14.25" customHeight="1">
      <c r="A203" s="203"/>
      <c r="B203" s="204">
        <v>59</v>
      </c>
      <c r="C203" s="205" t="s">
        <v>189</v>
      </c>
      <c r="D203" s="206" t="s">
        <v>1</v>
      </c>
      <c r="E203" s="200">
        <v>200000000</v>
      </c>
      <c r="F203" s="200">
        <v>0</v>
      </c>
      <c r="G203" s="200">
        <v>200000000</v>
      </c>
      <c r="H203" s="200">
        <f t="shared" si="3"/>
        <v>0</v>
      </c>
      <c r="I203" s="201">
        <v>7.2</v>
      </c>
      <c r="J203" s="202" t="s">
        <v>264</v>
      </c>
    </row>
    <row r="204" spans="1:10" ht="14.25" customHeight="1">
      <c r="A204" s="203"/>
      <c r="B204" s="204">
        <v>59</v>
      </c>
      <c r="C204" s="205" t="s">
        <v>266</v>
      </c>
      <c r="D204" s="206" t="s">
        <v>508</v>
      </c>
      <c r="E204" s="200">
        <v>1000000000</v>
      </c>
      <c r="F204" s="200">
        <v>0</v>
      </c>
      <c r="G204" s="200">
        <v>1000000000</v>
      </c>
      <c r="H204" s="200">
        <f t="shared" si="3"/>
        <v>0</v>
      </c>
      <c r="I204" s="201">
        <v>6.9</v>
      </c>
      <c r="J204" s="202" t="s">
        <v>237</v>
      </c>
    </row>
    <row r="205" spans="1:10" ht="14.25" customHeight="1">
      <c r="A205" s="203"/>
      <c r="B205" s="204">
        <v>59</v>
      </c>
      <c r="C205" s="205" t="s">
        <v>189</v>
      </c>
      <c r="D205" s="206" t="s">
        <v>509</v>
      </c>
      <c r="E205" s="200">
        <v>923000000</v>
      </c>
      <c r="F205" s="200">
        <v>0</v>
      </c>
      <c r="G205" s="200">
        <v>923000000</v>
      </c>
      <c r="H205" s="200">
        <f t="shared" si="3"/>
        <v>0</v>
      </c>
      <c r="I205" s="201">
        <v>7.2</v>
      </c>
      <c r="J205" s="202" t="s">
        <v>264</v>
      </c>
    </row>
    <row r="206" spans="1:10" ht="14.25" customHeight="1">
      <c r="A206" s="203"/>
      <c r="B206" s="204">
        <v>59</v>
      </c>
      <c r="C206" s="205" t="s">
        <v>189</v>
      </c>
      <c r="D206" s="206" t="s">
        <v>3</v>
      </c>
      <c r="E206" s="200">
        <v>389000000</v>
      </c>
      <c r="F206" s="200">
        <v>0</v>
      </c>
      <c r="G206" s="200">
        <v>389000000</v>
      </c>
      <c r="H206" s="200">
        <f t="shared" si="3"/>
        <v>0</v>
      </c>
      <c r="I206" s="201">
        <v>6.9</v>
      </c>
      <c r="J206" s="202" t="s">
        <v>267</v>
      </c>
    </row>
    <row r="207" spans="1:10" ht="14.25" customHeight="1">
      <c r="A207" s="215"/>
      <c r="B207" s="204">
        <v>59</v>
      </c>
      <c r="C207" s="205" t="s">
        <v>185</v>
      </c>
      <c r="D207" s="206" t="s">
        <v>5</v>
      </c>
      <c r="E207" s="200">
        <v>1147273396</v>
      </c>
      <c r="F207" s="200">
        <v>0</v>
      </c>
      <c r="G207" s="200">
        <v>1147273396</v>
      </c>
      <c r="H207" s="200">
        <f t="shared" si="3"/>
        <v>0</v>
      </c>
      <c r="I207" s="201">
        <v>6.3</v>
      </c>
      <c r="J207" s="202" t="s">
        <v>469</v>
      </c>
    </row>
    <row r="208" spans="1:10" ht="14.25" customHeight="1">
      <c r="A208" s="203"/>
      <c r="B208" s="204">
        <v>60</v>
      </c>
      <c r="C208" s="205" t="s">
        <v>266</v>
      </c>
      <c r="D208" s="206" t="s">
        <v>5</v>
      </c>
      <c r="E208" s="200">
        <v>1000000000</v>
      </c>
      <c r="F208" s="200">
        <v>0</v>
      </c>
      <c r="G208" s="200">
        <v>1000000000</v>
      </c>
      <c r="H208" s="200">
        <f t="shared" si="3"/>
        <v>0</v>
      </c>
      <c r="I208" s="201">
        <v>5.8</v>
      </c>
      <c r="J208" s="202" t="s">
        <v>219</v>
      </c>
    </row>
    <row r="209" spans="1:10" ht="14.25" customHeight="1">
      <c r="A209" s="203"/>
      <c r="B209" s="204">
        <v>60</v>
      </c>
      <c r="C209" s="205" t="s">
        <v>189</v>
      </c>
      <c r="D209" s="206" t="s">
        <v>512</v>
      </c>
      <c r="E209" s="200">
        <v>805000000</v>
      </c>
      <c r="F209" s="200">
        <v>0</v>
      </c>
      <c r="G209" s="200">
        <v>805000000</v>
      </c>
      <c r="H209" s="200">
        <f t="shared" si="3"/>
        <v>0</v>
      </c>
      <c r="I209" s="201">
        <v>6.4</v>
      </c>
      <c r="J209" s="202" t="s">
        <v>267</v>
      </c>
    </row>
    <row r="210" spans="1:10" ht="14.25" customHeight="1">
      <c r="A210" s="203"/>
      <c r="B210" s="204">
        <v>60</v>
      </c>
      <c r="C210" s="205" t="s">
        <v>185</v>
      </c>
      <c r="D210" s="206" t="s">
        <v>513</v>
      </c>
      <c r="E210" s="200">
        <v>527791158</v>
      </c>
      <c r="F210" s="200">
        <v>0</v>
      </c>
      <c r="G210" s="200">
        <v>527791158</v>
      </c>
      <c r="H210" s="200">
        <f t="shared" si="3"/>
        <v>0</v>
      </c>
      <c r="I210" s="201">
        <v>5.2</v>
      </c>
      <c r="J210" s="202" t="s">
        <v>469</v>
      </c>
    </row>
    <row r="211" spans="1:10" ht="14.25" customHeight="1">
      <c r="A211" s="215"/>
      <c r="B211" s="206">
        <v>60</v>
      </c>
      <c r="C211" s="205" t="s">
        <v>189</v>
      </c>
      <c r="D211" s="206" t="s">
        <v>9</v>
      </c>
      <c r="E211" s="200">
        <v>355000000</v>
      </c>
      <c r="F211" s="200">
        <v>0</v>
      </c>
      <c r="G211" s="200">
        <v>355000000</v>
      </c>
      <c r="H211" s="200">
        <f t="shared" si="3"/>
        <v>0</v>
      </c>
      <c r="I211" s="201">
        <v>5.4</v>
      </c>
      <c r="J211" s="147" t="s">
        <v>1709</v>
      </c>
    </row>
    <row r="212" spans="1:10" ht="14.25" customHeight="1">
      <c r="A212" s="203"/>
      <c r="B212" s="204">
        <v>61</v>
      </c>
      <c r="C212" s="205" t="s">
        <v>189</v>
      </c>
      <c r="D212" s="206" t="s">
        <v>513</v>
      </c>
      <c r="E212" s="200">
        <v>390000000</v>
      </c>
      <c r="F212" s="200">
        <v>0</v>
      </c>
      <c r="G212" s="200">
        <v>390000000</v>
      </c>
      <c r="H212" s="200">
        <f t="shared" si="3"/>
        <v>0</v>
      </c>
      <c r="I212" s="201">
        <v>5.4</v>
      </c>
      <c r="J212" s="147" t="s">
        <v>1709</v>
      </c>
    </row>
    <row r="213" spans="1:10" ht="14.25" customHeight="1">
      <c r="A213" s="203"/>
      <c r="B213" s="204">
        <v>61</v>
      </c>
      <c r="C213" s="205" t="s">
        <v>266</v>
      </c>
      <c r="D213" s="206" t="s">
        <v>513</v>
      </c>
      <c r="E213" s="200">
        <v>2000000000</v>
      </c>
      <c r="F213" s="200">
        <v>0</v>
      </c>
      <c r="G213" s="200">
        <v>2000000000</v>
      </c>
      <c r="H213" s="200">
        <f t="shared" si="3"/>
        <v>0</v>
      </c>
      <c r="I213" s="201">
        <v>5.0999999999999996</v>
      </c>
      <c r="J213" s="202" t="s">
        <v>221</v>
      </c>
    </row>
    <row r="214" spans="1:10" ht="14.25" customHeight="1">
      <c r="A214" s="203"/>
      <c r="B214" s="204">
        <v>61</v>
      </c>
      <c r="C214" s="205" t="s">
        <v>189</v>
      </c>
      <c r="D214" s="206" t="s">
        <v>10</v>
      </c>
      <c r="E214" s="200">
        <v>464000000</v>
      </c>
      <c r="F214" s="200">
        <v>0</v>
      </c>
      <c r="G214" s="200">
        <v>464000000</v>
      </c>
      <c r="H214" s="200">
        <f t="shared" si="3"/>
        <v>0</v>
      </c>
      <c r="I214" s="201">
        <v>4.7</v>
      </c>
      <c r="J214" s="147" t="s">
        <v>1709</v>
      </c>
    </row>
    <row r="215" spans="1:10" ht="14.25" customHeight="1">
      <c r="A215" s="215"/>
      <c r="B215" s="206">
        <v>58</v>
      </c>
      <c r="C215" s="205" t="s">
        <v>185</v>
      </c>
      <c r="D215" s="206" t="s">
        <v>516</v>
      </c>
      <c r="E215" s="200">
        <v>2435157074</v>
      </c>
      <c r="F215" s="200">
        <v>0</v>
      </c>
      <c r="G215" s="200">
        <v>2435157074</v>
      </c>
      <c r="H215" s="200">
        <f t="shared" si="3"/>
        <v>0</v>
      </c>
      <c r="I215" s="201">
        <v>7.1</v>
      </c>
      <c r="J215" s="202" t="s">
        <v>469</v>
      </c>
    </row>
    <row r="216" spans="1:10" ht="14.25" customHeight="1">
      <c r="A216" s="203"/>
      <c r="B216" s="204">
        <v>61</v>
      </c>
      <c r="C216" s="205" t="s">
        <v>189</v>
      </c>
      <c r="D216" s="206" t="s">
        <v>517</v>
      </c>
      <c r="E216" s="200">
        <v>80000000</v>
      </c>
      <c r="F216" s="200">
        <v>0</v>
      </c>
      <c r="G216" s="200">
        <v>80000000</v>
      </c>
      <c r="H216" s="200">
        <f t="shared" si="3"/>
        <v>0</v>
      </c>
      <c r="I216" s="201">
        <v>5.3</v>
      </c>
      <c r="J216" s="147" t="s">
        <v>1709</v>
      </c>
    </row>
    <row r="217" spans="1:10" ht="14.25" customHeight="1">
      <c r="A217" s="203"/>
      <c r="B217" s="204">
        <v>62</v>
      </c>
      <c r="C217" s="205" t="s">
        <v>273</v>
      </c>
      <c r="D217" s="206" t="s">
        <v>518</v>
      </c>
      <c r="E217" s="200">
        <v>229513000</v>
      </c>
      <c r="F217" s="200">
        <v>0</v>
      </c>
      <c r="G217" s="200">
        <v>229513000</v>
      </c>
      <c r="H217" s="200">
        <f t="shared" si="3"/>
        <v>0</v>
      </c>
      <c r="I217" s="201" t="s">
        <v>274</v>
      </c>
      <c r="J217" s="283" t="s">
        <v>225</v>
      </c>
    </row>
    <row r="218" spans="1:10" ht="14.25" customHeight="1">
      <c r="A218" s="203"/>
      <c r="B218" s="206">
        <v>61</v>
      </c>
      <c r="C218" s="205" t="s">
        <v>185</v>
      </c>
      <c r="D218" s="206" t="s">
        <v>519</v>
      </c>
      <c r="E218" s="200">
        <v>340191842</v>
      </c>
      <c r="F218" s="200">
        <v>0</v>
      </c>
      <c r="G218" s="200">
        <v>340191842</v>
      </c>
      <c r="H218" s="200">
        <f t="shared" si="3"/>
        <v>0</v>
      </c>
      <c r="I218" s="201">
        <v>5</v>
      </c>
      <c r="J218" s="202" t="s">
        <v>469</v>
      </c>
    </row>
    <row r="219" spans="1:10" ht="14.25" customHeight="1">
      <c r="A219" s="203"/>
      <c r="B219" s="206">
        <v>62</v>
      </c>
      <c r="C219" s="205" t="s">
        <v>266</v>
      </c>
      <c r="D219" s="206" t="s">
        <v>519</v>
      </c>
      <c r="E219" s="200">
        <v>1000000000</v>
      </c>
      <c r="F219" s="200">
        <v>0</v>
      </c>
      <c r="G219" s="200">
        <v>1000000000</v>
      </c>
      <c r="H219" s="200">
        <f t="shared" si="3"/>
        <v>0</v>
      </c>
      <c r="I219" s="201">
        <v>4.8</v>
      </c>
      <c r="J219" s="216" t="s">
        <v>225</v>
      </c>
    </row>
    <row r="220" spans="1:10" ht="14.25" customHeight="1">
      <c r="A220" s="203"/>
      <c r="B220" s="206">
        <v>63</v>
      </c>
      <c r="C220" s="205" t="s">
        <v>273</v>
      </c>
      <c r="D220" s="206" t="s">
        <v>735</v>
      </c>
      <c r="E220" s="200">
        <v>88343000</v>
      </c>
      <c r="F220" s="200">
        <v>0</v>
      </c>
      <c r="G220" s="200">
        <v>88343000</v>
      </c>
      <c r="H220" s="200">
        <f t="shared" si="3"/>
        <v>0</v>
      </c>
      <c r="I220" s="201" t="s">
        <v>274</v>
      </c>
      <c r="J220" s="216" t="s">
        <v>228</v>
      </c>
    </row>
    <row r="221" spans="1:10" ht="14.25" customHeight="1">
      <c r="A221" s="203"/>
      <c r="B221" s="206">
        <v>63</v>
      </c>
      <c r="C221" s="205" t="s">
        <v>273</v>
      </c>
      <c r="D221" s="206" t="s">
        <v>334</v>
      </c>
      <c r="E221" s="200">
        <v>138400000</v>
      </c>
      <c r="F221" s="200">
        <v>0</v>
      </c>
      <c r="G221" s="200">
        <v>138400000</v>
      </c>
      <c r="H221" s="200">
        <f t="shared" si="3"/>
        <v>0</v>
      </c>
      <c r="I221" s="201" t="s">
        <v>274</v>
      </c>
      <c r="J221" s="216" t="s">
        <v>228</v>
      </c>
    </row>
    <row r="222" spans="1:10" ht="14.25" customHeight="1">
      <c r="A222" s="203"/>
      <c r="B222" s="206">
        <v>62</v>
      </c>
      <c r="C222" s="205" t="s">
        <v>189</v>
      </c>
      <c r="D222" s="206" t="s">
        <v>335</v>
      </c>
      <c r="E222" s="200">
        <v>837000000</v>
      </c>
      <c r="F222" s="200">
        <v>0</v>
      </c>
      <c r="G222" s="200">
        <v>837000000</v>
      </c>
      <c r="H222" s="200">
        <f t="shared" si="3"/>
        <v>0</v>
      </c>
      <c r="I222" s="201">
        <v>4.95</v>
      </c>
      <c r="J222" s="126" t="s">
        <v>1709</v>
      </c>
    </row>
    <row r="223" spans="1:10" ht="14.25" customHeight="1">
      <c r="A223" s="203"/>
      <c r="B223" s="206">
        <v>62</v>
      </c>
      <c r="C223" s="205" t="s">
        <v>185</v>
      </c>
      <c r="D223" s="206" t="s">
        <v>336</v>
      </c>
      <c r="E223" s="200">
        <v>308504686</v>
      </c>
      <c r="F223" s="200">
        <v>0</v>
      </c>
      <c r="G223" s="200">
        <v>308504686</v>
      </c>
      <c r="H223" s="200">
        <f t="shared" si="3"/>
        <v>0</v>
      </c>
      <c r="I223" s="201">
        <v>4.8499999999999996</v>
      </c>
      <c r="J223" s="202" t="s">
        <v>689</v>
      </c>
    </row>
    <row r="224" spans="1:10" ht="14.25" customHeight="1">
      <c r="A224" s="203"/>
      <c r="B224" s="206">
        <v>63</v>
      </c>
      <c r="C224" s="205" t="s">
        <v>273</v>
      </c>
      <c r="D224" s="206" t="s">
        <v>336</v>
      </c>
      <c r="E224" s="200">
        <v>617596000</v>
      </c>
      <c r="F224" s="200">
        <v>0</v>
      </c>
      <c r="G224" s="200">
        <v>617596000</v>
      </c>
      <c r="H224" s="200">
        <f t="shared" si="3"/>
        <v>0</v>
      </c>
      <c r="I224" s="201" t="s">
        <v>274</v>
      </c>
      <c r="J224" s="216" t="s">
        <v>228</v>
      </c>
    </row>
    <row r="225" spans="1:10" ht="14.25" customHeight="1">
      <c r="A225" s="203"/>
      <c r="B225" s="206">
        <v>63</v>
      </c>
      <c r="C225" s="205" t="s">
        <v>180</v>
      </c>
      <c r="D225" s="206" t="s">
        <v>337</v>
      </c>
      <c r="E225" s="200">
        <v>2000000000</v>
      </c>
      <c r="F225" s="200">
        <v>0</v>
      </c>
      <c r="G225" s="200">
        <v>2000000000</v>
      </c>
      <c r="H225" s="200">
        <f t="shared" si="3"/>
        <v>0</v>
      </c>
      <c r="I225" s="201">
        <v>4.8</v>
      </c>
      <c r="J225" s="216" t="s">
        <v>219</v>
      </c>
    </row>
    <row r="226" spans="1:10" ht="14.25" customHeight="1" thickBot="1">
      <c r="A226" s="269"/>
      <c r="B226" s="287" t="s">
        <v>338</v>
      </c>
      <c r="C226" s="286" t="s">
        <v>273</v>
      </c>
      <c r="D226" s="287" t="s">
        <v>339</v>
      </c>
      <c r="E226" s="268">
        <v>59345000</v>
      </c>
      <c r="F226" s="268">
        <v>0</v>
      </c>
      <c r="G226" s="268">
        <v>59345000</v>
      </c>
      <c r="H226" s="200">
        <f t="shared" si="3"/>
        <v>0</v>
      </c>
      <c r="I226" s="288" t="s">
        <v>274</v>
      </c>
      <c r="J226" s="300" t="s">
        <v>232</v>
      </c>
    </row>
    <row r="227" spans="1:10" ht="9.75" customHeight="1" thickBot="1">
      <c r="A227" s="257"/>
      <c r="B227" s="258"/>
      <c r="C227" s="257"/>
      <c r="D227" s="258"/>
      <c r="E227" s="259"/>
      <c r="F227" s="259"/>
      <c r="G227" s="259"/>
      <c r="H227" s="259"/>
      <c r="I227" s="260"/>
      <c r="J227" s="261"/>
    </row>
    <row r="228" spans="1:10">
      <c r="A228" s="479" t="s">
        <v>26</v>
      </c>
      <c r="B228" s="481" t="s">
        <v>311</v>
      </c>
      <c r="C228" s="483" t="s">
        <v>27</v>
      </c>
      <c r="D228" s="481" t="s">
        <v>312</v>
      </c>
      <c r="E228" s="485" t="s">
        <v>28</v>
      </c>
      <c r="F228" s="487" t="s">
        <v>29</v>
      </c>
      <c r="G228" s="493"/>
      <c r="H228" s="489" t="s">
        <v>174</v>
      </c>
      <c r="I228" s="491" t="s">
        <v>30</v>
      </c>
      <c r="J228" s="477" t="s">
        <v>313</v>
      </c>
    </row>
    <row r="229" spans="1:10">
      <c r="A229" s="480"/>
      <c r="B229" s="482"/>
      <c r="C229" s="484"/>
      <c r="D229" s="482"/>
      <c r="E229" s="486"/>
      <c r="F229" s="207" t="s">
        <v>176</v>
      </c>
      <c r="G229" s="207" t="s">
        <v>305</v>
      </c>
      <c r="H229" s="490"/>
      <c r="I229" s="492"/>
      <c r="J229" s="478"/>
    </row>
    <row r="230" spans="1:10">
      <c r="A230" s="209"/>
      <c r="B230" s="210"/>
      <c r="C230" s="210"/>
      <c r="D230" s="211" t="s">
        <v>177</v>
      </c>
      <c r="E230" s="212" t="s">
        <v>178</v>
      </c>
      <c r="F230" s="212" t="s">
        <v>172</v>
      </c>
      <c r="G230" s="212" t="s">
        <v>178</v>
      </c>
      <c r="H230" s="212" t="s">
        <v>178</v>
      </c>
      <c r="I230" s="213" t="s">
        <v>31</v>
      </c>
      <c r="J230" s="214" t="s">
        <v>175</v>
      </c>
    </row>
    <row r="231" spans="1:10" ht="14.25" customHeight="1">
      <c r="A231" s="215" t="s">
        <v>497</v>
      </c>
      <c r="B231" s="206" t="s">
        <v>520</v>
      </c>
      <c r="C231" s="205" t="s">
        <v>189</v>
      </c>
      <c r="D231" s="204" t="s">
        <v>693</v>
      </c>
      <c r="E231" s="200">
        <v>496000000</v>
      </c>
      <c r="F231" s="200">
        <v>0</v>
      </c>
      <c r="G231" s="200">
        <v>496000000</v>
      </c>
      <c r="H231" s="200">
        <f t="shared" ref="H231:H286" si="4">E231-G231</f>
        <v>0</v>
      </c>
      <c r="I231" s="201">
        <v>5.2</v>
      </c>
      <c r="J231" s="147" t="s">
        <v>1709</v>
      </c>
    </row>
    <row r="232" spans="1:10" ht="14.25" customHeight="1">
      <c r="A232" s="203" t="s">
        <v>182</v>
      </c>
      <c r="B232" s="206" t="s">
        <v>17</v>
      </c>
      <c r="C232" s="205" t="s">
        <v>273</v>
      </c>
      <c r="D232" s="206" t="s">
        <v>522</v>
      </c>
      <c r="E232" s="200">
        <v>107596000</v>
      </c>
      <c r="F232" s="200">
        <v>0</v>
      </c>
      <c r="G232" s="200">
        <v>107596000</v>
      </c>
      <c r="H232" s="200">
        <f t="shared" si="4"/>
        <v>0</v>
      </c>
      <c r="I232" s="201" t="s">
        <v>274</v>
      </c>
      <c r="J232" s="202" t="s">
        <v>232</v>
      </c>
    </row>
    <row r="233" spans="1:10" ht="14.25" customHeight="1">
      <c r="A233" s="203"/>
      <c r="B233" s="206" t="s">
        <v>520</v>
      </c>
      <c r="C233" s="205" t="s">
        <v>185</v>
      </c>
      <c r="D233" s="206" t="s">
        <v>523</v>
      </c>
      <c r="E233" s="200">
        <v>198703790</v>
      </c>
      <c r="F233" s="200">
        <v>0</v>
      </c>
      <c r="G233" s="200">
        <v>198703790</v>
      </c>
      <c r="H233" s="200">
        <f t="shared" si="4"/>
        <v>0</v>
      </c>
      <c r="I233" s="201">
        <v>5.4</v>
      </c>
      <c r="J233" s="202" t="s">
        <v>1044</v>
      </c>
    </row>
    <row r="234" spans="1:10" ht="14.25" customHeight="1">
      <c r="A234" s="203"/>
      <c r="B234" s="204">
        <v>63</v>
      </c>
      <c r="C234" s="205" t="s">
        <v>273</v>
      </c>
      <c r="D234" s="206" t="s">
        <v>524</v>
      </c>
      <c r="E234" s="200">
        <v>19261000</v>
      </c>
      <c r="F234" s="200">
        <v>0</v>
      </c>
      <c r="G234" s="200">
        <v>19261000</v>
      </c>
      <c r="H234" s="200">
        <f t="shared" si="4"/>
        <v>0</v>
      </c>
      <c r="I234" s="201" t="s">
        <v>274</v>
      </c>
      <c r="J234" s="202" t="s">
        <v>228</v>
      </c>
    </row>
    <row r="235" spans="1:10" ht="14.25" customHeight="1">
      <c r="A235" s="203"/>
      <c r="B235" s="206" t="s">
        <v>17</v>
      </c>
      <c r="C235" s="205" t="s">
        <v>266</v>
      </c>
      <c r="D235" s="206" t="s">
        <v>525</v>
      </c>
      <c r="E235" s="200">
        <v>1000000000</v>
      </c>
      <c r="F235" s="200">
        <v>0</v>
      </c>
      <c r="G235" s="200">
        <v>1000000000</v>
      </c>
      <c r="H235" s="200">
        <f t="shared" si="4"/>
        <v>0</v>
      </c>
      <c r="I235" s="201">
        <v>6.6</v>
      </c>
      <c r="J235" s="202" t="s">
        <v>232</v>
      </c>
    </row>
    <row r="236" spans="1:10" ht="14.25" customHeight="1">
      <c r="A236" s="203"/>
      <c r="B236" s="204" t="s">
        <v>278</v>
      </c>
      <c r="C236" s="205" t="s">
        <v>273</v>
      </c>
      <c r="D236" s="206" t="s">
        <v>525</v>
      </c>
      <c r="E236" s="200">
        <v>282931000</v>
      </c>
      <c r="F236" s="200">
        <v>0</v>
      </c>
      <c r="G236" s="200">
        <v>282931000</v>
      </c>
      <c r="H236" s="200">
        <f t="shared" si="4"/>
        <v>0</v>
      </c>
      <c r="I236" s="201" t="s">
        <v>274</v>
      </c>
      <c r="J236" s="202" t="s">
        <v>232</v>
      </c>
    </row>
    <row r="237" spans="1:10" ht="14.25" customHeight="1">
      <c r="A237" s="203"/>
      <c r="B237" s="204" t="s">
        <v>278</v>
      </c>
      <c r="C237" s="205" t="s">
        <v>189</v>
      </c>
      <c r="D237" s="206" t="s">
        <v>526</v>
      </c>
      <c r="E237" s="200">
        <v>350000000</v>
      </c>
      <c r="F237" s="200">
        <v>0</v>
      </c>
      <c r="G237" s="200">
        <v>350000000</v>
      </c>
      <c r="H237" s="200">
        <f t="shared" si="4"/>
        <v>0</v>
      </c>
      <c r="I237" s="201">
        <v>6.3</v>
      </c>
      <c r="J237" s="202" t="s">
        <v>277</v>
      </c>
    </row>
    <row r="238" spans="1:10" ht="14.25" customHeight="1">
      <c r="A238" s="203"/>
      <c r="B238" s="204" t="s">
        <v>278</v>
      </c>
      <c r="C238" s="205" t="s">
        <v>273</v>
      </c>
      <c r="D238" s="206" t="s">
        <v>527</v>
      </c>
      <c r="E238" s="200">
        <v>276396000</v>
      </c>
      <c r="F238" s="200">
        <v>0</v>
      </c>
      <c r="G238" s="200">
        <v>276396000</v>
      </c>
      <c r="H238" s="200">
        <f t="shared" si="4"/>
        <v>0</v>
      </c>
      <c r="I238" s="201" t="s">
        <v>274</v>
      </c>
      <c r="J238" s="202" t="s">
        <v>232</v>
      </c>
    </row>
    <row r="239" spans="1:10" ht="14.25" customHeight="1">
      <c r="A239" s="203"/>
      <c r="B239" s="206">
        <v>2</v>
      </c>
      <c r="C239" s="205" t="s">
        <v>273</v>
      </c>
      <c r="D239" s="206" t="s">
        <v>528</v>
      </c>
      <c r="E239" s="200">
        <v>10779000</v>
      </c>
      <c r="F239" s="200">
        <v>0</v>
      </c>
      <c r="G239" s="200">
        <v>10779000</v>
      </c>
      <c r="H239" s="200">
        <f t="shared" si="4"/>
        <v>0</v>
      </c>
      <c r="I239" s="201" t="s">
        <v>274</v>
      </c>
      <c r="J239" s="202" t="s">
        <v>235</v>
      </c>
    </row>
    <row r="240" spans="1:10" ht="14.25" customHeight="1">
      <c r="A240" s="203"/>
      <c r="B240" s="204" t="s">
        <v>278</v>
      </c>
      <c r="C240" s="205" t="s">
        <v>185</v>
      </c>
      <c r="D240" s="206" t="s">
        <v>529</v>
      </c>
      <c r="E240" s="200">
        <v>341106218</v>
      </c>
      <c r="F240" s="200">
        <v>0</v>
      </c>
      <c r="G240" s="200">
        <v>341106218</v>
      </c>
      <c r="H240" s="200">
        <f t="shared" si="4"/>
        <v>0</v>
      </c>
      <c r="I240" s="201">
        <v>6.6</v>
      </c>
      <c r="J240" s="216" t="s">
        <v>469</v>
      </c>
    </row>
    <row r="241" spans="1:11" ht="14.25" customHeight="1">
      <c r="A241" s="203"/>
      <c r="B241" s="206">
        <v>2</v>
      </c>
      <c r="C241" s="205" t="s">
        <v>266</v>
      </c>
      <c r="D241" s="206" t="s">
        <v>529</v>
      </c>
      <c r="E241" s="200">
        <v>400000000</v>
      </c>
      <c r="F241" s="200">
        <v>0</v>
      </c>
      <c r="G241" s="200">
        <v>400000000</v>
      </c>
      <c r="H241" s="200">
        <f t="shared" si="4"/>
        <v>0</v>
      </c>
      <c r="I241" s="201">
        <v>6.4</v>
      </c>
      <c r="J241" s="202" t="s">
        <v>235</v>
      </c>
    </row>
    <row r="242" spans="1:11" ht="14.25" customHeight="1">
      <c r="A242" s="203"/>
      <c r="B242" s="204" t="s">
        <v>278</v>
      </c>
      <c r="C242" s="205" t="s">
        <v>273</v>
      </c>
      <c r="D242" s="206" t="s">
        <v>530</v>
      </c>
      <c r="E242" s="200">
        <v>46394000</v>
      </c>
      <c r="F242" s="200">
        <v>0</v>
      </c>
      <c r="G242" s="200">
        <v>46394000</v>
      </c>
      <c r="H242" s="200">
        <f t="shared" si="4"/>
        <v>0</v>
      </c>
      <c r="I242" s="201" t="s">
        <v>274</v>
      </c>
      <c r="J242" s="202" t="s">
        <v>232</v>
      </c>
    </row>
    <row r="243" spans="1:11" ht="14.25" customHeight="1">
      <c r="A243" s="203"/>
      <c r="B243" s="204" t="s">
        <v>278</v>
      </c>
      <c r="C243" s="205" t="s">
        <v>189</v>
      </c>
      <c r="D243" s="206" t="s">
        <v>22</v>
      </c>
      <c r="E243" s="200">
        <v>574000000</v>
      </c>
      <c r="F243" s="200">
        <v>0</v>
      </c>
      <c r="G243" s="200">
        <v>574000000</v>
      </c>
      <c r="H243" s="200">
        <f t="shared" si="4"/>
        <v>0</v>
      </c>
      <c r="I243" s="201">
        <v>6.7</v>
      </c>
      <c r="J243" s="202" t="s">
        <v>280</v>
      </c>
    </row>
    <row r="244" spans="1:11" ht="14.25" customHeight="1">
      <c r="A244" s="203"/>
      <c r="B244" s="206">
        <v>2</v>
      </c>
      <c r="C244" s="205" t="s">
        <v>189</v>
      </c>
      <c r="D244" s="206" t="s">
        <v>22</v>
      </c>
      <c r="E244" s="200">
        <v>1200000000</v>
      </c>
      <c r="F244" s="200">
        <v>0</v>
      </c>
      <c r="G244" s="200">
        <v>1200000000</v>
      </c>
      <c r="H244" s="200">
        <f t="shared" si="4"/>
        <v>0</v>
      </c>
      <c r="I244" s="201">
        <v>6.65</v>
      </c>
      <c r="J244" s="202" t="s">
        <v>280</v>
      </c>
    </row>
    <row r="245" spans="1:11" ht="14.25" customHeight="1">
      <c r="A245" s="203"/>
      <c r="B245" s="206">
        <v>2</v>
      </c>
      <c r="C245" s="205" t="s">
        <v>273</v>
      </c>
      <c r="D245" s="206" t="s">
        <v>532</v>
      </c>
      <c r="E245" s="200">
        <v>58974000</v>
      </c>
      <c r="F245" s="200">
        <v>0</v>
      </c>
      <c r="G245" s="200">
        <v>58974000</v>
      </c>
      <c r="H245" s="200">
        <f t="shared" si="4"/>
        <v>0</v>
      </c>
      <c r="I245" s="201" t="s">
        <v>274</v>
      </c>
      <c r="J245" s="202" t="s">
        <v>235</v>
      </c>
    </row>
    <row r="246" spans="1:11" ht="14.25" customHeight="1">
      <c r="A246" s="203"/>
      <c r="B246" s="206">
        <v>3</v>
      </c>
      <c r="C246" s="205" t="s">
        <v>273</v>
      </c>
      <c r="D246" s="206" t="s">
        <v>533</v>
      </c>
      <c r="E246" s="200">
        <v>84612000</v>
      </c>
      <c r="F246" s="200">
        <v>0</v>
      </c>
      <c r="G246" s="200">
        <v>84612000</v>
      </c>
      <c r="H246" s="200">
        <f t="shared" si="4"/>
        <v>0</v>
      </c>
      <c r="I246" s="201" t="s">
        <v>274</v>
      </c>
      <c r="J246" s="202" t="s">
        <v>239</v>
      </c>
    </row>
    <row r="247" spans="1:11" ht="14.25" customHeight="1">
      <c r="A247" s="203"/>
      <c r="B247" s="206">
        <v>2</v>
      </c>
      <c r="C247" s="205" t="s">
        <v>185</v>
      </c>
      <c r="D247" s="206" t="s">
        <v>534</v>
      </c>
      <c r="E247" s="200">
        <v>923000000</v>
      </c>
      <c r="F247" s="200">
        <v>47413138</v>
      </c>
      <c r="G247" s="200">
        <f>K247+F247</f>
        <v>577549718</v>
      </c>
      <c r="H247" s="200">
        <f t="shared" si="4"/>
        <v>345450282</v>
      </c>
      <c r="I247" s="201">
        <v>5.5</v>
      </c>
      <c r="J247" s="202" t="s">
        <v>282</v>
      </c>
      <c r="K247" s="311">
        <v>530136580</v>
      </c>
    </row>
    <row r="248" spans="1:11" ht="14.25" customHeight="1">
      <c r="A248" s="203"/>
      <c r="B248" s="206">
        <v>3</v>
      </c>
      <c r="C248" s="205" t="s">
        <v>266</v>
      </c>
      <c r="D248" s="206" t="s">
        <v>534</v>
      </c>
      <c r="E248" s="200">
        <v>400000000</v>
      </c>
      <c r="F248" s="200">
        <v>0</v>
      </c>
      <c r="G248" s="200">
        <v>400000000</v>
      </c>
      <c r="H248" s="200">
        <f t="shared" si="4"/>
        <v>0</v>
      </c>
      <c r="I248" s="201">
        <v>5.7</v>
      </c>
      <c r="J248" s="202" t="s">
        <v>239</v>
      </c>
    </row>
    <row r="249" spans="1:11" ht="14.25" customHeight="1">
      <c r="A249" s="203"/>
      <c r="B249" s="206">
        <v>2</v>
      </c>
      <c r="C249" s="205" t="s">
        <v>189</v>
      </c>
      <c r="D249" s="206" t="s">
        <v>535</v>
      </c>
      <c r="E249" s="200">
        <v>1451000000</v>
      </c>
      <c r="F249" s="200">
        <v>0</v>
      </c>
      <c r="G249" s="200">
        <v>1451000000</v>
      </c>
      <c r="H249" s="200">
        <f t="shared" si="4"/>
        <v>0</v>
      </c>
      <c r="I249" s="201">
        <v>5.6</v>
      </c>
      <c r="J249" s="147" t="s">
        <v>1710</v>
      </c>
    </row>
    <row r="250" spans="1:11" ht="14.25" customHeight="1">
      <c r="A250" s="203"/>
      <c r="B250" s="206">
        <v>3</v>
      </c>
      <c r="C250" s="205" t="s">
        <v>189</v>
      </c>
      <c r="D250" s="206" t="s">
        <v>535</v>
      </c>
      <c r="E250" s="200">
        <v>2000000000</v>
      </c>
      <c r="F250" s="200">
        <v>0</v>
      </c>
      <c r="G250" s="200">
        <v>2000000000</v>
      </c>
      <c r="H250" s="200">
        <f t="shared" si="4"/>
        <v>0</v>
      </c>
      <c r="I250" s="201">
        <v>5.6</v>
      </c>
      <c r="J250" s="147" t="s">
        <v>1710</v>
      </c>
    </row>
    <row r="251" spans="1:11" ht="14.25" customHeight="1">
      <c r="A251" s="203"/>
      <c r="B251" s="206">
        <v>2</v>
      </c>
      <c r="C251" s="205" t="s">
        <v>273</v>
      </c>
      <c r="D251" s="206" t="s">
        <v>536</v>
      </c>
      <c r="E251" s="200">
        <v>11224000</v>
      </c>
      <c r="F251" s="200">
        <v>0</v>
      </c>
      <c r="G251" s="200">
        <v>11224000</v>
      </c>
      <c r="H251" s="200">
        <f t="shared" si="4"/>
        <v>0</v>
      </c>
      <c r="I251" s="201" t="s">
        <v>274</v>
      </c>
      <c r="J251" s="202" t="s">
        <v>235</v>
      </c>
    </row>
    <row r="252" spans="1:11" ht="14.25" customHeight="1">
      <c r="A252" s="203"/>
      <c r="B252" s="206">
        <v>3</v>
      </c>
      <c r="C252" s="205" t="s">
        <v>273</v>
      </c>
      <c r="D252" s="206" t="s">
        <v>536</v>
      </c>
      <c r="E252" s="200">
        <v>224672000</v>
      </c>
      <c r="F252" s="200">
        <v>0</v>
      </c>
      <c r="G252" s="200">
        <v>224672000</v>
      </c>
      <c r="H252" s="200">
        <f t="shared" si="4"/>
        <v>0</v>
      </c>
      <c r="I252" s="201" t="s">
        <v>274</v>
      </c>
      <c r="J252" s="202" t="s">
        <v>239</v>
      </c>
    </row>
    <row r="253" spans="1:11" ht="14.25" customHeight="1">
      <c r="A253" s="203"/>
      <c r="B253" s="206">
        <v>4</v>
      </c>
      <c r="C253" s="205" t="s">
        <v>266</v>
      </c>
      <c r="D253" s="206" t="s">
        <v>537</v>
      </c>
      <c r="E253" s="200">
        <v>567000000</v>
      </c>
      <c r="F253" s="200">
        <v>0</v>
      </c>
      <c r="G253" s="200">
        <v>567000000</v>
      </c>
      <c r="H253" s="200">
        <f t="shared" si="4"/>
        <v>0</v>
      </c>
      <c r="I253" s="201">
        <v>4.3</v>
      </c>
      <c r="J253" s="202" t="s">
        <v>242</v>
      </c>
    </row>
    <row r="254" spans="1:11" ht="14.25" customHeight="1">
      <c r="A254" s="203"/>
      <c r="B254" s="206">
        <v>3</v>
      </c>
      <c r="C254" s="205" t="s">
        <v>185</v>
      </c>
      <c r="D254" s="206" t="s">
        <v>538</v>
      </c>
      <c r="E254" s="200">
        <v>1920000000</v>
      </c>
      <c r="F254" s="200">
        <v>90926072</v>
      </c>
      <c r="G254" s="200">
        <f>K254+F254</f>
        <v>1159607778</v>
      </c>
      <c r="H254" s="200">
        <f t="shared" si="4"/>
        <v>760392222</v>
      </c>
      <c r="I254" s="201">
        <v>4.4000000000000004</v>
      </c>
      <c r="J254" s="202" t="s">
        <v>284</v>
      </c>
      <c r="K254" s="311">
        <v>1068681706</v>
      </c>
    </row>
    <row r="255" spans="1:11" ht="14.25" customHeight="1">
      <c r="A255" s="203"/>
      <c r="B255" s="206">
        <v>3</v>
      </c>
      <c r="C255" s="205" t="s">
        <v>189</v>
      </c>
      <c r="D255" s="206" t="s">
        <v>539</v>
      </c>
      <c r="E255" s="200">
        <v>560000000</v>
      </c>
      <c r="F255" s="200">
        <v>0</v>
      </c>
      <c r="G255" s="200">
        <v>560000000</v>
      </c>
      <c r="H255" s="200">
        <f t="shared" si="4"/>
        <v>0</v>
      </c>
      <c r="I255" s="201">
        <v>4.45</v>
      </c>
      <c r="J255" s="147" t="s">
        <v>1710</v>
      </c>
    </row>
    <row r="256" spans="1:11" ht="14.25" customHeight="1">
      <c r="A256" s="203"/>
      <c r="B256" s="206">
        <v>4</v>
      </c>
      <c r="C256" s="205" t="s">
        <v>189</v>
      </c>
      <c r="D256" s="206" t="s">
        <v>539</v>
      </c>
      <c r="E256" s="200">
        <v>1000000</v>
      </c>
      <c r="F256" s="200">
        <v>0</v>
      </c>
      <c r="G256" s="200">
        <v>1000000</v>
      </c>
      <c r="H256" s="200">
        <f t="shared" si="4"/>
        <v>0</v>
      </c>
      <c r="I256" s="201">
        <v>4.5</v>
      </c>
      <c r="J256" s="147" t="s">
        <v>1710</v>
      </c>
    </row>
    <row r="257" spans="1:11" ht="14.25" customHeight="1">
      <c r="A257" s="215"/>
      <c r="B257" s="206">
        <v>4</v>
      </c>
      <c r="C257" s="205" t="s">
        <v>189</v>
      </c>
      <c r="D257" s="206" t="s">
        <v>539</v>
      </c>
      <c r="E257" s="200">
        <v>4498000000</v>
      </c>
      <c r="F257" s="200">
        <v>0</v>
      </c>
      <c r="G257" s="200">
        <v>4498000000</v>
      </c>
      <c r="H257" s="200">
        <f t="shared" si="4"/>
        <v>0</v>
      </c>
      <c r="I257" s="201">
        <v>4.45</v>
      </c>
      <c r="J257" s="147" t="s">
        <v>1710</v>
      </c>
    </row>
    <row r="258" spans="1:11" ht="14.25" customHeight="1">
      <c r="A258" s="203"/>
      <c r="B258" s="206">
        <v>4</v>
      </c>
      <c r="C258" s="205" t="s">
        <v>185</v>
      </c>
      <c r="D258" s="206" t="s">
        <v>540</v>
      </c>
      <c r="E258" s="200">
        <v>8780000000</v>
      </c>
      <c r="F258" s="200">
        <v>392388356</v>
      </c>
      <c r="G258" s="200">
        <f>K258+F258</f>
        <v>5073309327</v>
      </c>
      <c r="H258" s="200">
        <f t="shared" si="4"/>
        <v>3706690673</v>
      </c>
      <c r="I258" s="201">
        <v>3.65</v>
      </c>
      <c r="J258" s="202" t="s">
        <v>286</v>
      </c>
      <c r="K258" s="311">
        <v>4680920971</v>
      </c>
    </row>
    <row r="259" spans="1:11" ht="14.25" customHeight="1">
      <c r="A259" s="203"/>
      <c r="B259" s="206">
        <v>4</v>
      </c>
      <c r="C259" s="205" t="s">
        <v>189</v>
      </c>
      <c r="D259" s="206" t="s">
        <v>540</v>
      </c>
      <c r="E259" s="200">
        <v>1354000000</v>
      </c>
      <c r="F259" s="200">
        <v>68664840</v>
      </c>
      <c r="G259" s="200">
        <f>K259+F259</f>
        <v>884685662</v>
      </c>
      <c r="H259" s="200">
        <f t="shared" si="4"/>
        <v>469314338</v>
      </c>
      <c r="I259" s="201">
        <v>3.7</v>
      </c>
      <c r="J259" s="202" t="s">
        <v>282</v>
      </c>
      <c r="K259" s="311">
        <v>816020822</v>
      </c>
    </row>
    <row r="260" spans="1:11" ht="14.25" customHeight="1">
      <c r="A260" s="215"/>
      <c r="B260" s="206">
        <v>5</v>
      </c>
      <c r="C260" s="205" t="s">
        <v>189</v>
      </c>
      <c r="D260" s="206" t="s">
        <v>540</v>
      </c>
      <c r="E260" s="200">
        <v>3928000000</v>
      </c>
      <c r="F260" s="200">
        <v>199199034</v>
      </c>
      <c r="G260" s="200">
        <f>K260+F260</f>
        <v>2566503161</v>
      </c>
      <c r="H260" s="200">
        <f t="shared" si="4"/>
        <v>1361496839</v>
      </c>
      <c r="I260" s="201">
        <v>3.7</v>
      </c>
      <c r="J260" s="202" t="s">
        <v>282</v>
      </c>
      <c r="K260" s="311">
        <v>2367304127</v>
      </c>
    </row>
    <row r="261" spans="1:11" ht="14.25" customHeight="1">
      <c r="A261" s="203"/>
      <c r="B261" s="206">
        <v>5</v>
      </c>
      <c r="C261" s="205" t="s">
        <v>266</v>
      </c>
      <c r="D261" s="206" t="s">
        <v>541</v>
      </c>
      <c r="E261" s="200">
        <v>744000000</v>
      </c>
      <c r="F261" s="200">
        <v>0</v>
      </c>
      <c r="G261" s="200">
        <v>744000000</v>
      </c>
      <c r="H261" s="200">
        <f t="shared" si="4"/>
        <v>0</v>
      </c>
      <c r="I261" s="201">
        <v>4.4000000000000004</v>
      </c>
      <c r="J261" s="202" t="s">
        <v>246</v>
      </c>
    </row>
    <row r="262" spans="1:11" ht="14.25" customHeight="1">
      <c r="A262" s="203"/>
      <c r="B262" s="206" t="s">
        <v>33</v>
      </c>
      <c r="C262" s="205" t="s">
        <v>266</v>
      </c>
      <c r="D262" s="206" t="s">
        <v>34</v>
      </c>
      <c r="E262" s="200">
        <v>580000000</v>
      </c>
      <c r="F262" s="200">
        <v>0</v>
      </c>
      <c r="G262" s="200">
        <v>580000000</v>
      </c>
      <c r="H262" s="200">
        <f t="shared" si="4"/>
        <v>0</v>
      </c>
      <c r="I262" s="201">
        <v>4.5</v>
      </c>
      <c r="J262" s="202" t="s">
        <v>244</v>
      </c>
    </row>
    <row r="263" spans="1:11" ht="14.25" customHeight="1">
      <c r="A263" s="262"/>
      <c r="B263" s="206" t="s">
        <v>544</v>
      </c>
      <c r="C263" s="205" t="s">
        <v>185</v>
      </c>
      <c r="D263" s="206" t="s">
        <v>545</v>
      </c>
      <c r="E263" s="200">
        <v>6664000000</v>
      </c>
      <c r="F263" s="200">
        <v>289790102</v>
      </c>
      <c r="G263" s="200">
        <f>K263+F263</f>
        <v>3358797249</v>
      </c>
      <c r="H263" s="200">
        <f t="shared" si="4"/>
        <v>3305202751</v>
      </c>
      <c r="I263" s="201">
        <v>4.6500000000000004</v>
      </c>
      <c r="J263" s="202" t="s">
        <v>287</v>
      </c>
      <c r="K263" s="311">
        <v>3069007147</v>
      </c>
    </row>
    <row r="264" spans="1:11" ht="14.25" customHeight="1">
      <c r="A264" s="203"/>
      <c r="B264" s="206">
        <v>5</v>
      </c>
      <c r="C264" s="205" t="s">
        <v>189</v>
      </c>
      <c r="D264" s="206" t="s">
        <v>105</v>
      </c>
      <c r="E264" s="200">
        <v>2736000000</v>
      </c>
      <c r="F264" s="200">
        <v>0</v>
      </c>
      <c r="G264" s="200">
        <v>2736000000</v>
      </c>
      <c r="H264" s="200">
        <f t="shared" si="4"/>
        <v>0</v>
      </c>
      <c r="I264" s="201">
        <v>4.7</v>
      </c>
      <c r="J264" s="147" t="s">
        <v>1710</v>
      </c>
    </row>
    <row r="265" spans="1:11" ht="14.25" customHeight="1">
      <c r="A265" s="215"/>
      <c r="B265" s="206" t="s">
        <v>546</v>
      </c>
      <c r="C265" s="205" t="s">
        <v>266</v>
      </c>
      <c r="D265" s="206" t="s">
        <v>547</v>
      </c>
      <c r="E265" s="200">
        <v>580000000</v>
      </c>
      <c r="F265" s="200">
        <v>0</v>
      </c>
      <c r="G265" s="200">
        <v>580000000</v>
      </c>
      <c r="H265" s="200">
        <f t="shared" si="4"/>
        <v>0</v>
      </c>
      <c r="I265" s="201">
        <v>3</v>
      </c>
      <c r="J265" s="202" t="s">
        <v>247</v>
      </c>
    </row>
    <row r="266" spans="1:11" ht="14.25" customHeight="1">
      <c r="A266" s="203"/>
      <c r="B266" s="204">
        <v>63</v>
      </c>
      <c r="C266" s="263" t="s">
        <v>180</v>
      </c>
      <c r="D266" s="206" t="s">
        <v>548</v>
      </c>
      <c r="E266" s="200">
        <v>1400000000</v>
      </c>
      <c r="F266" s="200">
        <v>0</v>
      </c>
      <c r="G266" s="200">
        <v>1400000000</v>
      </c>
      <c r="H266" s="200">
        <f t="shared" si="4"/>
        <v>0</v>
      </c>
      <c r="I266" s="201">
        <v>3.3</v>
      </c>
      <c r="J266" s="202" t="s">
        <v>247</v>
      </c>
    </row>
    <row r="267" spans="1:11" ht="14.25" customHeight="1">
      <c r="A267" s="203"/>
      <c r="B267" s="204">
        <v>61</v>
      </c>
      <c r="C267" s="264" t="s">
        <v>266</v>
      </c>
      <c r="D267" s="206" t="s">
        <v>549</v>
      </c>
      <c r="E267" s="200">
        <v>1151000000</v>
      </c>
      <c r="F267" s="200">
        <v>0</v>
      </c>
      <c r="G267" s="200">
        <v>1151000000</v>
      </c>
      <c r="H267" s="200">
        <f t="shared" si="4"/>
        <v>0</v>
      </c>
      <c r="I267" s="201">
        <v>3.4</v>
      </c>
      <c r="J267" s="216" t="s">
        <v>249</v>
      </c>
    </row>
    <row r="268" spans="1:11" ht="14.25" customHeight="1">
      <c r="A268" s="203"/>
      <c r="B268" s="204">
        <v>62</v>
      </c>
      <c r="C268" s="264" t="s">
        <v>266</v>
      </c>
      <c r="D268" s="206" t="s">
        <v>550</v>
      </c>
      <c r="E268" s="200">
        <v>580000000</v>
      </c>
      <c r="F268" s="200">
        <v>0</v>
      </c>
      <c r="G268" s="200">
        <v>580000000</v>
      </c>
      <c r="H268" s="200">
        <f t="shared" si="4"/>
        <v>0</v>
      </c>
      <c r="I268" s="201">
        <v>2.5</v>
      </c>
      <c r="J268" s="216" t="s">
        <v>251</v>
      </c>
    </row>
    <row r="269" spans="1:11" ht="14.25" customHeight="1">
      <c r="A269" s="203"/>
      <c r="B269" s="206" t="s">
        <v>314</v>
      </c>
      <c r="C269" s="264" t="s">
        <v>266</v>
      </c>
      <c r="D269" s="206" t="s">
        <v>646</v>
      </c>
      <c r="E269" s="200">
        <v>579000000</v>
      </c>
      <c r="F269" s="200">
        <v>0</v>
      </c>
      <c r="G269" s="200">
        <v>579000000</v>
      </c>
      <c r="H269" s="200">
        <f t="shared" si="4"/>
        <v>0</v>
      </c>
      <c r="I269" s="201">
        <v>1.8</v>
      </c>
      <c r="J269" s="216" t="s">
        <v>60</v>
      </c>
    </row>
    <row r="270" spans="1:11" ht="14.25" customHeight="1">
      <c r="A270" s="203"/>
      <c r="B270" s="206">
        <v>4</v>
      </c>
      <c r="C270" s="264" t="s">
        <v>266</v>
      </c>
      <c r="D270" s="206" t="s">
        <v>647</v>
      </c>
      <c r="E270" s="200">
        <v>328000000</v>
      </c>
      <c r="F270" s="200">
        <v>0</v>
      </c>
      <c r="G270" s="200">
        <f>328000000+F270</f>
        <v>328000000</v>
      </c>
      <c r="H270" s="200">
        <f t="shared" si="4"/>
        <v>0</v>
      </c>
      <c r="I270" s="201">
        <v>1.3</v>
      </c>
      <c r="J270" s="216" t="s">
        <v>608</v>
      </c>
    </row>
    <row r="271" spans="1:11" ht="14.25" customHeight="1">
      <c r="A271" s="203"/>
      <c r="B271" s="206">
        <v>5</v>
      </c>
      <c r="C271" s="264" t="s">
        <v>266</v>
      </c>
      <c r="D271" s="206" t="s">
        <v>288</v>
      </c>
      <c r="E271" s="200">
        <v>431000000</v>
      </c>
      <c r="F271" s="200">
        <v>0</v>
      </c>
      <c r="G271" s="200">
        <v>431000000</v>
      </c>
      <c r="H271" s="200">
        <f t="shared" si="4"/>
        <v>0</v>
      </c>
      <c r="I271" s="201">
        <v>0.5</v>
      </c>
      <c r="J271" s="216" t="s">
        <v>267</v>
      </c>
    </row>
    <row r="272" spans="1:11" ht="14.25" customHeight="1">
      <c r="A272" s="203"/>
      <c r="B272" s="204" t="s">
        <v>315</v>
      </c>
      <c r="C272" s="264" t="s">
        <v>163</v>
      </c>
      <c r="D272" s="206" t="s">
        <v>138</v>
      </c>
      <c r="E272" s="200">
        <v>2392586361</v>
      </c>
      <c r="F272" s="200">
        <v>0</v>
      </c>
      <c r="G272" s="200">
        <v>2392586361</v>
      </c>
      <c r="H272" s="200">
        <f t="shared" si="4"/>
        <v>0</v>
      </c>
      <c r="I272" s="201">
        <v>7.3</v>
      </c>
      <c r="J272" s="216" t="s">
        <v>638</v>
      </c>
    </row>
    <row r="273" spans="1:11" ht="14.25" customHeight="1">
      <c r="A273" s="203"/>
      <c r="B273" s="206">
        <v>58</v>
      </c>
      <c r="C273" s="264" t="s">
        <v>163</v>
      </c>
      <c r="D273" s="206" t="s">
        <v>138</v>
      </c>
      <c r="E273" s="200">
        <v>3064541455</v>
      </c>
      <c r="F273" s="200">
        <v>0</v>
      </c>
      <c r="G273" s="200">
        <v>3064541455</v>
      </c>
      <c r="H273" s="200">
        <f t="shared" si="4"/>
        <v>0</v>
      </c>
      <c r="I273" s="201">
        <v>7.1</v>
      </c>
      <c r="J273" s="202" t="s">
        <v>563</v>
      </c>
    </row>
    <row r="274" spans="1:11" ht="14.25" customHeight="1">
      <c r="A274" s="203"/>
      <c r="B274" s="204">
        <v>59</v>
      </c>
      <c r="C274" s="264" t="s">
        <v>163</v>
      </c>
      <c r="D274" s="206" t="s">
        <v>138</v>
      </c>
      <c r="E274" s="200">
        <v>1613726604</v>
      </c>
      <c r="F274" s="200">
        <v>0</v>
      </c>
      <c r="G274" s="200">
        <v>1613726604</v>
      </c>
      <c r="H274" s="200">
        <f t="shared" si="4"/>
        <v>0</v>
      </c>
      <c r="I274" s="201">
        <v>6.3</v>
      </c>
      <c r="J274" s="202" t="s">
        <v>642</v>
      </c>
    </row>
    <row r="275" spans="1:11" ht="14.25" customHeight="1">
      <c r="A275" s="203"/>
      <c r="B275" s="206">
        <v>60</v>
      </c>
      <c r="C275" s="264" t="s">
        <v>163</v>
      </c>
      <c r="D275" s="206" t="s">
        <v>138</v>
      </c>
      <c r="E275" s="200">
        <v>633208842</v>
      </c>
      <c r="F275" s="200">
        <v>65447669</v>
      </c>
      <c r="G275" s="200">
        <f>K275+F275</f>
        <v>564313652</v>
      </c>
      <c r="H275" s="200">
        <f t="shared" si="4"/>
        <v>68895190</v>
      </c>
      <c r="I275" s="201">
        <v>5.2</v>
      </c>
      <c r="J275" s="202" t="s">
        <v>276</v>
      </c>
      <c r="K275" s="311">
        <v>498865983</v>
      </c>
    </row>
    <row r="276" spans="1:11" ht="14.25" customHeight="1">
      <c r="A276" s="203"/>
      <c r="B276" s="206">
        <v>61</v>
      </c>
      <c r="C276" s="264" t="s">
        <v>163</v>
      </c>
      <c r="D276" s="206" t="s">
        <v>138</v>
      </c>
      <c r="E276" s="200">
        <v>515808158</v>
      </c>
      <c r="F276" s="200">
        <v>47527702</v>
      </c>
      <c r="G276" s="200">
        <f>K276+F276</f>
        <v>413412674</v>
      </c>
      <c r="H276" s="200">
        <f t="shared" si="4"/>
        <v>102395484</v>
      </c>
      <c r="I276" s="201">
        <v>5</v>
      </c>
      <c r="J276" s="202" t="s">
        <v>277</v>
      </c>
      <c r="K276" s="311">
        <v>365884972</v>
      </c>
    </row>
    <row r="277" spans="1:11" ht="14.25" customHeight="1">
      <c r="A277" s="203"/>
      <c r="B277" s="204">
        <v>62</v>
      </c>
      <c r="C277" s="264" t="s">
        <v>163</v>
      </c>
      <c r="D277" s="206" t="s">
        <v>138</v>
      </c>
      <c r="E277" s="200">
        <v>528495314</v>
      </c>
      <c r="F277" s="200">
        <v>43820962</v>
      </c>
      <c r="G277" s="200">
        <f>K277+F277</f>
        <v>383698360</v>
      </c>
      <c r="H277" s="200">
        <f t="shared" si="4"/>
        <v>144796954</v>
      </c>
      <c r="I277" s="201">
        <v>4.8499999999999996</v>
      </c>
      <c r="J277" s="202" t="s">
        <v>648</v>
      </c>
      <c r="K277" s="311">
        <v>339877398</v>
      </c>
    </row>
    <row r="278" spans="1:11" ht="14.25" customHeight="1">
      <c r="A278" s="203"/>
      <c r="B278" s="206">
        <v>63</v>
      </c>
      <c r="C278" s="264" t="s">
        <v>163</v>
      </c>
      <c r="D278" s="206" t="s">
        <v>289</v>
      </c>
      <c r="E278" s="200">
        <v>459296210</v>
      </c>
      <c r="F278" s="200">
        <v>36748146</v>
      </c>
      <c r="G278" s="200">
        <f>K278+F278</f>
        <v>314102338</v>
      </c>
      <c r="H278" s="200">
        <f t="shared" si="4"/>
        <v>145193872</v>
      </c>
      <c r="I278" s="201">
        <v>5.4</v>
      </c>
      <c r="J278" s="202" t="s">
        <v>283</v>
      </c>
      <c r="K278" s="311">
        <v>277354192</v>
      </c>
    </row>
    <row r="279" spans="1:11" ht="14.25" customHeight="1">
      <c r="A279" s="203"/>
      <c r="B279" s="204" t="s">
        <v>316</v>
      </c>
      <c r="C279" s="264" t="s">
        <v>163</v>
      </c>
      <c r="D279" s="204" t="s">
        <v>289</v>
      </c>
      <c r="E279" s="200">
        <v>1007893782</v>
      </c>
      <c r="F279" s="200">
        <v>0</v>
      </c>
      <c r="G279" s="200">
        <v>1007893782</v>
      </c>
      <c r="H279" s="200">
        <f t="shared" si="4"/>
        <v>0</v>
      </c>
      <c r="I279" s="201">
        <v>6.6</v>
      </c>
      <c r="J279" s="202" t="s">
        <v>642</v>
      </c>
    </row>
    <row r="280" spans="1:11" ht="14.25" customHeight="1">
      <c r="A280" s="203"/>
      <c r="B280" s="204">
        <v>18</v>
      </c>
      <c r="C280" s="264" t="s">
        <v>189</v>
      </c>
      <c r="D280" s="204" t="s">
        <v>351</v>
      </c>
      <c r="E280" s="200">
        <v>447400000</v>
      </c>
      <c r="F280" s="200">
        <v>0</v>
      </c>
      <c r="G280" s="200">
        <v>447400000</v>
      </c>
      <c r="H280" s="200">
        <f t="shared" si="4"/>
        <v>0</v>
      </c>
      <c r="I280" s="201">
        <v>2.5499999999999998</v>
      </c>
      <c r="J280" s="202" t="s">
        <v>66</v>
      </c>
    </row>
    <row r="281" spans="1:11" ht="14.25" customHeight="1">
      <c r="A281" s="203"/>
      <c r="B281" s="204">
        <v>19</v>
      </c>
      <c r="C281" s="264" t="s">
        <v>495</v>
      </c>
      <c r="D281" s="204" t="s">
        <v>67</v>
      </c>
      <c r="E281" s="200">
        <v>99300000</v>
      </c>
      <c r="F281" s="200">
        <v>0</v>
      </c>
      <c r="G281" s="200">
        <v>99300000</v>
      </c>
      <c r="H281" s="200">
        <f t="shared" si="4"/>
        <v>0</v>
      </c>
      <c r="I281" s="201">
        <v>2.4</v>
      </c>
      <c r="J281" s="202" t="s">
        <v>69</v>
      </c>
    </row>
    <row r="282" spans="1:11" ht="14.25" customHeight="1">
      <c r="A282" s="203"/>
      <c r="B282" s="204">
        <v>19</v>
      </c>
      <c r="C282" s="264" t="s">
        <v>189</v>
      </c>
      <c r="D282" s="204" t="s">
        <v>350</v>
      </c>
      <c r="E282" s="200">
        <v>385700000</v>
      </c>
      <c r="F282" s="200">
        <v>0</v>
      </c>
      <c r="G282" s="200">
        <v>385700000</v>
      </c>
      <c r="H282" s="200">
        <f t="shared" si="4"/>
        <v>0</v>
      </c>
      <c r="I282" s="201">
        <v>2.4</v>
      </c>
      <c r="J282" s="202" t="s">
        <v>263</v>
      </c>
    </row>
    <row r="283" spans="1:11" ht="14.25" customHeight="1">
      <c r="A283" s="203"/>
      <c r="B283" s="204">
        <v>19</v>
      </c>
      <c r="C283" s="264" t="s">
        <v>495</v>
      </c>
      <c r="D283" s="204" t="s">
        <v>67</v>
      </c>
      <c r="E283" s="200">
        <v>355900000</v>
      </c>
      <c r="F283" s="200">
        <v>0</v>
      </c>
      <c r="G283" s="200">
        <v>355900000</v>
      </c>
      <c r="H283" s="200">
        <f t="shared" si="4"/>
        <v>0</v>
      </c>
      <c r="I283" s="201">
        <v>2.4</v>
      </c>
      <c r="J283" s="202" t="s">
        <v>66</v>
      </c>
    </row>
    <row r="284" spans="1:11" ht="14.25" customHeight="1">
      <c r="A284" s="203"/>
      <c r="B284" s="204">
        <v>19</v>
      </c>
      <c r="C284" s="264" t="s">
        <v>495</v>
      </c>
      <c r="D284" s="204" t="s">
        <v>67</v>
      </c>
      <c r="E284" s="200">
        <v>218100000</v>
      </c>
      <c r="F284" s="200">
        <v>0</v>
      </c>
      <c r="G284" s="200">
        <f>218100000+F284</f>
        <v>218100000</v>
      </c>
      <c r="H284" s="200">
        <f t="shared" si="4"/>
        <v>0</v>
      </c>
      <c r="I284" s="201">
        <v>2.4</v>
      </c>
      <c r="J284" s="202" t="s">
        <v>649</v>
      </c>
    </row>
    <row r="285" spans="1:11" ht="14.25" customHeight="1">
      <c r="A285" s="203"/>
      <c r="B285" s="204">
        <v>19</v>
      </c>
      <c r="C285" s="264" t="s">
        <v>495</v>
      </c>
      <c r="D285" s="204" t="s">
        <v>67</v>
      </c>
      <c r="E285" s="200">
        <v>61300000</v>
      </c>
      <c r="F285" s="200">
        <v>0</v>
      </c>
      <c r="G285" s="200">
        <f>61300000+F285</f>
        <v>61300000</v>
      </c>
      <c r="H285" s="200">
        <f t="shared" si="4"/>
        <v>0</v>
      </c>
      <c r="I285" s="201">
        <v>2.4</v>
      </c>
      <c r="J285" s="202" t="s">
        <v>649</v>
      </c>
    </row>
    <row r="286" spans="1:11" ht="14.25" customHeight="1">
      <c r="A286" s="203"/>
      <c r="B286" s="204">
        <v>19</v>
      </c>
      <c r="C286" s="264" t="s">
        <v>495</v>
      </c>
      <c r="D286" s="204" t="s">
        <v>67</v>
      </c>
      <c r="E286" s="200">
        <v>285700000</v>
      </c>
      <c r="F286" s="200">
        <v>0</v>
      </c>
      <c r="G286" s="200">
        <f>285700000+F286</f>
        <v>285700000</v>
      </c>
      <c r="H286" s="200">
        <f t="shared" si="4"/>
        <v>0</v>
      </c>
      <c r="I286" s="201">
        <v>2.4</v>
      </c>
      <c r="J286" s="202" t="s">
        <v>649</v>
      </c>
    </row>
    <row r="287" spans="1:11" ht="14.25" customHeight="1" thickBot="1">
      <c r="A287" s="239" t="s">
        <v>376</v>
      </c>
      <c r="B287" s="240" t="s">
        <v>173</v>
      </c>
      <c r="C287" s="241" t="s">
        <v>173</v>
      </c>
      <c r="D287" s="242" t="s">
        <v>173</v>
      </c>
      <c r="E287" s="246">
        <f>SUM(E196:E226,E231:E286)</f>
        <v>86567436000</v>
      </c>
      <c r="F287" s="246">
        <f>SUM(F196:F226,F231:F286)</f>
        <v>1281926021</v>
      </c>
      <c r="G287" s="246">
        <f>SUM(G196:G226,G231:G286)</f>
        <v>76157607395</v>
      </c>
      <c r="H287" s="246">
        <f>SUM(H196:H226,H231:H286)</f>
        <v>10409828605</v>
      </c>
      <c r="I287" s="243"/>
      <c r="J287" s="244" t="s">
        <v>173</v>
      </c>
    </row>
    <row r="288" spans="1:11" ht="9.75" customHeight="1" thickBot="1">
      <c r="A288" s="252"/>
      <c r="B288" s="265"/>
      <c r="C288" s="266"/>
      <c r="D288" s="265"/>
      <c r="E288" s="253"/>
      <c r="F288" s="253"/>
      <c r="G288" s="253"/>
      <c r="H288" s="253"/>
      <c r="I288" s="255"/>
      <c r="J288" s="251"/>
    </row>
    <row r="289" spans="1:10">
      <c r="A289" s="479" t="s">
        <v>26</v>
      </c>
      <c r="B289" s="481" t="s">
        <v>311</v>
      </c>
      <c r="C289" s="483" t="s">
        <v>27</v>
      </c>
      <c r="D289" s="481" t="s">
        <v>312</v>
      </c>
      <c r="E289" s="485" t="s">
        <v>28</v>
      </c>
      <c r="F289" s="487" t="s">
        <v>29</v>
      </c>
      <c r="G289" s="493"/>
      <c r="H289" s="489" t="s">
        <v>174</v>
      </c>
      <c r="I289" s="491" t="s">
        <v>30</v>
      </c>
      <c r="J289" s="477" t="s">
        <v>313</v>
      </c>
    </row>
    <row r="290" spans="1:10">
      <c r="A290" s="480"/>
      <c r="B290" s="482"/>
      <c r="C290" s="484"/>
      <c r="D290" s="482"/>
      <c r="E290" s="486"/>
      <c r="F290" s="207" t="s">
        <v>176</v>
      </c>
      <c r="G290" s="207" t="s">
        <v>305</v>
      </c>
      <c r="H290" s="490"/>
      <c r="I290" s="492"/>
      <c r="J290" s="478"/>
    </row>
    <row r="291" spans="1:10">
      <c r="A291" s="209"/>
      <c r="B291" s="210"/>
      <c r="C291" s="210"/>
      <c r="D291" s="211" t="s">
        <v>177</v>
      </c>
      <c r="E291" s="212" t="s">
        <v>178</v>
      </c>
      <c r="F291" s="212" t="s">
        <v>172</v>
      </c>
      <c r="G291" s="212" t="s">
        <v>178</v>
      </c>
      <c r="H291" s="212" t="s">
        <v>178</v>
      </c>
      <c r="I291" s="213" t="s">
        <v>31</v>
      </c>
      <c r="J291" s="214" t="s">
        <v>175</v>
      </c>
    </row>
    <row r="292" spans="1:10">
      <c r="A292" s="215" t="s">
        <v>290</v>
      </c>
      <c r="B292" s="206" t="s">
        <v>551</v>
      </c>
      <c r="C292" s="263" t="s">
        <v>180</v>
      </c>
      <c r="D292" s="206" t="s">
        <v>552</v>
      </c>
      <c r="E292" s="200">
        <v>500000000</v>
      </c>
      <c r="F292" s="200">
        <v>0</v>
      </c>
      <c r="G292" s="200">
        <v>500000000</v>
      </c>
      <c r="H292" s="200">
        <f t="shared" ref="H292:H344" si="5">E292-G292</f>
        <v>0</v>
      </c>
      <c r="I292" s="201">
        <v>8.5</v>
      </c>
      <c r="J292" s="202" t="s">
        <v>194</v>
      </c>
    </row>
    <row r="293" spans="1:10">
      <c r="A293" s="203" t="s">
        <v>182</v>
      </c>
      <c r="B293" s="204" t="s">
        <v>245</v>
      </c>
      <c r="C293" s="263" t="s">
        <v>180</v>
      </c>
      <c r="D293" s="206" t="s">
        <v>553</v>
      </c>
      <c r="E293" s="200">
        <v>400000000</v>
      </c>
      <c r="F293" s="200">
        <v>0</v>
      </c>
      <c r="G293" s="200">
        <v>400000000</v>
      </c>
      <c r="H293" s="200">
        <f t="shared" si="5"/>
        <v>0</v>
      </c>
      <c r="I293" s="201">
        <v>9.1</v>
      </c>
      <c r="J293" s="202" t="s">
        <v>198</v>
      </c>
    </row>
    <row r="294" spans="1:10" ht="14.25" customHeight="1">
      <c r="A294" s="215"/>
      <c r="B294" s="204">
        <v>49</v>
      </c>
      <c r="C294" s="263" t="s">
        <v>180</v>
      </c>
      <c r="D294" s="206" t="s">
        <v>440</v>
      </c>
      <c r="E294" s="200">
        <v>800000000</v>
      </c>
      <c r="F294" s="200">
        <v>0</v>
      </c>
      <c r="G294" s="200">
        <v>800000000</v>
      </c>
      <c r="H294" s="200">
        <f t="shared" si="5"/>
        <v>0</v>
      </c>
      <c r="I294" s="201">
        <v>9.1</v>
      </c>
      <c r="J294" s="202" t="s">
        <v>201</v>
      </c>
    </row>
    <row r="295" spans="1:10" ht="14.25" customHeight="1">
      <c r="A295" s="203"/>
      <c r="B295" s="204" t="s">
        <v>245</v>
      </c>
      <c r="C295" s="263" t="s">
        <v>180</v>
      </c>
      <c r="D295" s="206" t="s">
        <v>442</v>
      </c>
      <c r="E295" s="200">
        <v>200000000</v>
      </c>
      <c r="F295" s="200">
        <v>0</v>
      </c>
      <c r="G295" s="200">
        <v>200000000</v>
      </c>
      <c r="H295" s="200">
        <f t="shared" si="5"/>
        <v>0</v>
      </c>
      <c r="I295" s="201">
        <v>8.6</v>
      </c>
      <c r="J295" s="202" t="s">
        <v>201</v>
      </c>
    </row>
    <row r="296" spans="1:10" ht="14.25" customHeight="1">
      <c r="A296" s="203"/>
      <c r="B296" s="204" t="s">
        <v>248</v>
      </c>
      <c r="C296" s="205" t="s">
        <v>189</v>
      </c>
      <c r="D296" s="206" t="s">
        <v>554</v>
      </c>
      <c r="E296" s="200">
        <v>300000000</v>
      </c>
      <c r="F296" s="200">
        <v>0</v>
      </c>
      <c r="G296" s="200">
        <v>300000000</v>
      </c>
      <c r="H296" s="200">
        <f t="shared" si="5"/>
        <v>0</v>
      </c>
      <c r="I296" s="201">
        <v>7.7</v>
      </c>
      <c r="J296" s="202" t="s">
        <v>246</v>
      </c>
    </row>
    <row r="297" spans="1:10" ht="14.25" customHeight="1">
      <c r="A297" s="203"/>
      <c r="B297" s="204" t="s">
        <v>248</v>
      </c>
      <c r="C297" s="263" t="s">
        <v>180</v>
      </c>
      <c r="D297" s="206" t="s">
        <v>555</v>
      </c>
      <c r="E297" s="200">
        <v>500000000</v>
      </c>
      <c r="F297" s="200">
        <v>0</v>
      </c>
      <c r="G297" s="200">
        <v>500000000</v>
      </c>
      <c r="H297" s="200">
        <f t="shared" si="5"/>
        <v>0</v>
      </c>
      <c r="I297" s="201">
        <v>8.6</v>
      </c>
      <c r="J297" s="202" t="s">
        <v>201</v>
      </c>
    </row>
    <row r="298" spans="1:10" ht="14.25" customHeight="1">
      <c r="A298" s="203"/>
      <c r="B298" s="204" t="s">
        <v>248</v>
      </c>
      <c r="C298" s="263" t="s">
        <v>180</v>
      </c>
      <c r="D298" s="206" t="s">
        <v>556</v>
      </c>
      <c r="E298" s="200">
        <v>1000000000</v>
      </c>
      <c r="F298" s="200">
        <v>0</v>
      </c>
      <c r="G298" s="200">
        <v>1000000000</v>
      </c>
      <c r="H298" s="200">
        <f t="shared" si="5"/>
        <v>0</v>
      </c>
      <c r="I298" s="201">
        <v>8.6</v>
      </c>
      <c r="J298" s="202" t="s">
        <v>204</v>
      </c>
    </row>
    <row r="299" spans="1:10" ht="14.25" customHeight="1">
      <c r="A299" s="215"/>
      <c r="B299" s="204" t="s">
        <v>250</v>
      </c>
      <c r="C299" s="205" t="s">
        <v>189</v>
      </c>
      <c r="D299" s="206" t="s">
        <v>557</v>
      </c>
      <c r="E299" s="200">
        <v>1000000000</v>
      </c>
      <c r="F299" s="200">
        <v>0</v>
      </c>
      <c r="G299" s="200">
        <v>1000000000</v>
      </c>
      <c r="H299" s="200">
        <f t="shared" si="5"/>
        <v>0</v>
      </c>
      <c r="I299" s="201">
        <v>7.7</v>
      </c>
      <c r="J299" s="202" t="s">
        <v>244</v>
      </c>
    </row>
    <row r="300" spans="1:10" ht="14.25" customHeight="1">
      <c r="A300" s="215"/>
      <c r="B300" s="206" t="s">
        <v>291</v>
      </c>
      <c r="C300" s="205" t="s">
        <v>189</v>
      </c>
      <c r="D300" s="206" t="s">
        <v>558</v>
      </c>
      <c r="E300" s="200">
        <v>1100000000</v>
      </c>
      <c r="F300" s="200">
        <v>0</v>
      </c>
      <c r="G300" s="200">
        <v>1100000000</v>
      </c>
      <c r="H300" s="200">
        <f t="shared" si="5"/>
        <v>0</v>
      </c>
      <c r="I300" s="201">
        <v>6.7</v>
      </c>
      <c r="J300" s="202" t="s">
        <v>247</v>
      </c>
    </row>
    <row r="301" spans="1:10" ht="14.25" customHeight="1">
      <c r="A301" s="215"/>
      <c r="B301" s="204">
        <v>52</v>
      </c>
      <c r="C301" s="205" t="s">
        <v>189</v>
      </c>
      <c r="D301" s="204" t="s">
        <v>559</v>
      </c>
      <c r="E301" s="200">
        <v>1000000000</v>
      </c>
      <c r="F301" s="200">
        <v>0</v>
      </c>
      <c r="G301" s="200">
        <v>1000000000</v>
      </c>
      <c r="H301" s="200">
        <f t="shared" si="5"/>
        <v>0</v>
      </c>
      <c r="I301" s="201">
        <v>6.25</v>
      </c>
      <c r="J301" s="202" t="s">
        <v>247</v>
      </c>
    </row>
    <row r="302" spans="1:10" ht="14.25" customHeight="1">
      <c r="A302" s="203"/>
      <c r="B302" s="204" t="s">
        <v>252</v>
      </c>
      <c r="C302" s="205" t="s">
        <v>189</v>
      </c>
      <c r="D302" s="206" t="s">
        <v>560</v>
      </c>
      <c r="E302" s="200">
        <v>1207000000</v>
      </c>
      <c r="F302" s="200">
        <v>0</v>
      </c>
      <c r="G302" s="200">
        <v>1207000000</v>
      </c>
      <c r="H302" s="200">
        <f t="shared" si="5"/>
        <v>0</v>
      </c>
      <c r="I302" s="201">
        <v>6.25</v>
      </c>
      <c r="J302" s="202" t="s">
        <v>249</v>
      </c>
    </row>
    <row r="303" spans="1:10" ht="14.25" customHeight="1">
      <c r="A303" s="203"/>
      <c r="B303" s="204" t="s">
        <v>254</v>
      </c>
      <c r="C303" s="205" t="s">
        <v>189</v>
      </c>
      <c r="D303" s="206" t="s">
        <v>458</v>
      </c>
      <c r="E303" s="200">
        <v>1000000000</v>
      </c>
      <c r="F303" s="200">
        <v>0</v>
      </c>
      <c r="G303" s="200">
        <v>1000000000</v>
      </c>
      <c r="H303" s="200">
        <f t="shared" si="5"/>
        <v>0</v>
      </c>
      <c r="I303" s="201">
        <v>6.25</v>
      </c>
      <c r="J303" s="202" t="s">
        <v>249</v>
      </c>
    </row>
    <row r="304" spans="1:10" ht="14.25" customHeight="1">
      <c r="A304" s="203"/>
      <c r="B304" s="204" t="s">
        <v>252</v>
      </c>
      <c r="C304" s="205" t="s">
        <v>180</v>
      </c>
      <c r="D304" s="206" t="s">
        <v>561</v>
      </c>
      <c r="E304" s="200">
        <v>553000000</v>
      </c>
      <c r="F304" s="200">
        <v>0</v>
      </c>
      <c r="G304" s="200">
        <v>553000000</v>
      </c>
      <c r="H304" s="200">
        <f t="shared" si="5"/>
        <v>0</v>
      </c>
      <c r="I304" s="201">
        <v>6.6</v>
      </c>
      <c r="J304" s="202" t="s">
        <v>214</v>
      </c>
    </row>
    <row r="305" spans="1:10" ht="14.25" customHeight="1">
      <c r="A305" s="203"/>
      <c r="B305" s="204" t="s">
        <v>254</v>
      </c>
      <c r="C305" s="205" t="s">
        <v>189</v>
      </c>
      <c r="D305" s="206" t="s">
        <v>562</v>
      </c>
      <c r="E305" s="200">
        <v>1000000000</v>
      </c>
      <c r="F305" s="200">
        <v>0</v>
      </c>
      <c r="G305" s="200">
        <v>1000000000</v>
      </c>
      <c r="H305" s="200">
        <f t="shared" si="5"/>
        <v>0</v>
      </c>
      <c r="I305" s="201">
        <v>7.25</v>
      </c>
      <c r="J305" s="202" t="s">
        <v>251</v>
      </c>
    </row>
    <row r="306" spans="1:10" ht="14.25" customHeight="1">
      <c r="A306" s="203"/>
      <c r="B306" s="204" t="s">
        <v>254</v>
      </c>
      <c r="C306" s="205" t="s">
        <v>189</v>
      </c>
      <c r="D306" s="206" t="s">
        <v>490</v>
      </c>
      <c r="E306" s="200">
        <v>977000000</v>
      </c>
      <c r="F306" s="200">
        <v>0</v>
      </c>
      <c r="G306" s="200">
        <v>977000000</v>
      </c>
      <c r="H306" s="200">
        <f t="shared" si="5"/>
        <v>0</v>
      </c>
      <c r="I306" s="201">
        <v>7.25</v>
      </c>
      <c r="J306" s="202" t="s">
        <v>251</v>
      </c>
    </row>
    <row r="307" spans="1:10" ht="14.25" customHeight="1">
      <c r="A307" s="203"/>
      <c r="B307" s="204" t="s">
        <v>257</v>
      </c>
      <c r="C307" s="205" t="s">
        <v>189</v>
      </c>
      <c r="D307" s="206" t="s">
        <v>463</v>
      </c>
      <c r="E307" s="200">
        <v>2600000000</v>
      </c>
      <c r="F307" s="200">
        <v>0</v>
      </c>
      <c r="G307" s="200">
        <v>2600000000</v>
      </c>
      <c r="H307" s="200">
        <f t="shared" si="5"/>
        <v>0</v>
      </c>
      <c r="I307" s="201">
        <v>7.25</v>
      </c>
      <c r="J307" s="202" t="s">
        <v>251</v>
      </c>
    </row>
    <row r="308" spans="1:10" ht="14.25" customHeight="1">
      <c r="A308" s="203"/>
      <c r="B308" s="204" t="s">
        <v>257</v>
      </c>
      <c r="C308" s="205" t="s">
        <v>189</v>
      </c>
      <c r="D308" s="206" t="s">
        <v>470</v>
      </c>
      <c r="E308" s="200">
        <v>1435000000</v>
      </c>
      <c r="F308" s="200">
        <v>0</v>
      </c>
      <c r="G308" s="200">
        <v>1435000000</v>
      </c>
      <c r="H308" s="200">
        <f t="shared" si="5"/>
        <v>0</v>
      </c>
      <c r="I308" s="201">
        <v>8.1</v>
      </c>
      <c r="J308" s="202" t="s">
        <v>465</v>
      </c>
    </row>
    <row r="309" spans="1:10" ht="14.25" customHeight="1">
      <c r="A309" s="203"/>
      <c r="B309" s="204" t="s">
        <v>258</v>
      </c>
      <c r="C309" s="205" t="s">
        <v>189</v>
      </c>
      <c r="D309" s="206" t="s">
        <v>491</v>
      </c>
      <c r="E309" s="200">
        <v>3380000000</v>
      </c>
      <c r="F309" s="200">
        <v>0</v>
      </c>
      <c r="G309" s="200">
        <v>3380000000</v>
      </c>
      <c r="H309" s="200">
        <f t="shared" si="5"/>
        <v>0</v>
      </c>
      <c r="I309" s="201">
        <v>8.1</v>
      </c>
      <c r="J309" s="202" t="s">
        <v>465</v>
      </c>
    </row>
    <row r="310" spans="1:10" ht="14.25" customHeight="1">
      <c r="A310" s="203"/>
      <c r="B310" s="204" t="s">
        <v>258</v>
      </c>
      <c r="C310" s="205" t="s">
        <v>189</v>
      </c>
      <c r="D310" s="206" t="s">
        <v>473</v>
      </c>
      <c r="E310" s="200">
        <v>1605000000</v>
      </c>
      <c r="F310" s="200">
        <v>0</v>
      </c>
      <c r="G310" s="200">
        <v>1605000000</v>
      </c>
      <c r="H310" s="200">
        <f t="shared" si="5"/>
        <v>0</v>
      </c>
      <c r="I310" s="201">
        <v>7.6</v>
      </c>
      <c r="J310" s="202" t="s">
        <v>563</v>
      </c>
    </row>
    <row r="311" spans="1:10" ht="14.25" customHeight="1">
      <c r="A311" s="203"/>
      <c r="B311" s="204" t="s">
        <v>259</v>
      </c>
      <c r="C311" s="205" t="s">
        <v>189</v>
      </c>
      <c r="D311" s="206" t="s">
        <v>475</v>
      </c>
      <c r="E311" s="200">
        <v>2800000000</v>
      </c>
      <c r="F311" s="200">
        <v>0</v>
      </c>
      <c r="G311" s="200">
        <v>2800000000</v>
      </c>
      <c r="H311" s="200">
        <f t="shared" si="5"/>
        <v>0</v>
      </c>
      <c r="I311" s="201">
        <v>7.4</v>
      </c>
      <c r="J311" s="202" t="s">
        <v>65</v>
      </c>
    </row>
    <row r="312" spans="1:10" ht="14.25" customHeight="1">
      <c r="A312" s="203"/>
      <c r="B312" s="204" t="s">
        <v>259</v>
      </c>
      <c r="C312" s="205" t="s">
        <v>189</v>
      </c>
      <c r="D312" s="206" t="s">
        <v>564</v>
      </c>
      <c r="E312" s="200">
        <v>1450000000</v>
      </c>
      <c r="F312" s="200">
        <v>0</v>
      </c>
      <c r="G312" s="200">
        <v>1450000000</v>
      </c>
      <c r="H312" s="200">
        <f t="shared" si="5"/>
        <v>0</v>
      </c>
      <c r="I312" s="201">
        <v>7.4</v>
      </c>
      <c r="J312" s="202" t="s">
        <v>65</v>
      </c>
    </row>
    <row r="313" spans="1:10" ht="14.25" customHeight="1">
      <c r="A313" s="203"/>
      <c r="B313" s="204" t="s">
        <v>261</v>
      </c>
      <c r="C313" s="205" t="s">
        <v>189</v>
      </c>
      <c r="D313" s="206" t="s">
        <v>565</v>
      </c>
      <c r="E313" s="200">
        <v>3480000000</v>
      </c>
      <c r="F313" s="200">
        <v>0</v>
      </c>
      <c r="G313" s="200">
        <v>3480000000</v>
      </c>
      <c r="H313" s="200">
        <f t="shared" si="5"/>
        <v>0</v>
      </c>
      <c r="I313" s="201">
        <v>7.4</v>
      </c>
      <c r="J313" s="202" t="s">
        <v>260</v>
      </c>
    </row>
    <row r="314" spans="1:10" ht="14.25" customHeight="1">
      <c r="A314" s="215"/>
      <c r="B314" s="204">
        <v>57</v>
      </c>
      <c r="C314" s="205" t="s">
        <v>189</v>
      </c>
      <c r="D314" s="206" t="s">
        <v>566</v>
      </c>
      <c r="E314" s="200">
        <v>996000000</v>
      </c>
      <c r="F314" s="200">
        <v>0</v>
      </c>
      <c r="G314" s="200">
        <v>996000000</v>
      </c>
      <c r="H314" s="200">
        <f t="shared" si="5"/>
        <v>0</v>
      </c>
      <c r="I314" s="201">
        <v>7.4</v>
      </c>
      <c r="J314" s="202" t="s">
        <v>69</v>
      </c>
    </row>
    <row r="315" spans="1:10" ht="14.25" customHeight="1">
      <c r="A315" s="203"/>
      <c r="B315" s="204" t="s">
        <v>262</v>
      </c>
      <c r="C315" s="205" t="s">
        <v>189</v>
      </c>
      <c r="D315" s="206" t="s">
        <v>503</v>
      </c>
      <c r="E315" s="200">
        <v>1800000000</v>
      </c>
      <c r="F315" s="200">
        <v>0</v>
      </c>
      <c r="G315" s="200">
        <v>1800000000</v>
      </c>
      <c r="H315" s="200">
        <f t="shared" si="5"/>
        <v>0</v>
      </c>
      <c r="I315" s="201">
        <v>7.2</v>
      </c>
      <c r="J315" s="202" t="s">
        <v>66</v>
      </c>
    </row>
    <row r="316" spans="1:10" ht="14.25" customHeight="1">
      <c r="A316" s="203"/>
      <c r="B316" s="204" t="s">
        <v>262</v>
      </c>
      <c r="C316" s="205" t="s">
        <v>189</v>
      </c>
      <c r="D316" s="206" t="s">
        <v>0</v>
      </c>
      <c r="E316" s="200">
        <v>1683000000</v>
      </c>
      <c r="F316" s="200">
        <v>0</v>
      </c>
      <c r="G316" s="200">
        <v>1683000000</v>
      </c>
      <c r="H316" s="200">
        <f t="shared" si="5"/>
        <v>0</v>
      </c>
      <c r="I316" s="201">
        <v>7.2</v>
      </c>
      <c r="J316" s="202" t="s">
        <v>264</v>
      </c>
    </row>
    <row r="317" spans="1:10" ht="14.25" customHeight="1">
      <c r="A317" s="203"/>
      <c r="B317" s="204" t="s">
        <v>265</v>
      </c>
      <c r="C317" s="205" t="s">
        <v>189</v>
      </c>
      <c r="D317" s="206" t="s">
        <v>1</v>
      </c>
      <c r="E317" s="200">
        <v>100000000</v>
      </c>
      <c r="F317" s="200">
        <v>0</v>
      </c>
      <c r="G317" s="200">
        <v>100000000</v>
      </c>
      <c r="H317" s="200">
        <f t="shared" si="5"/>
        <v>0</v>
      </c>
      <c r="I317" s="201">
        <v>7.2</v>
      </c>
      <c r="J317" s="202" t="s">
        <v>264</v>
      </c>
    </row>
    <row r="318" spans="1:10" ht="14.25" customHeight="1">
      <c r="A318" s="203"/>
      <c r="B318" s="204" t="s">
        <v>265</v>
      </c>
      <c r="C318" s="205" t="s">
        <v>266</v>
      </c>
      <c r="D318" s="206" t="s">
        <v>508</v>
      </c>
      <c r="E318" s="200">
        <v>1000000000</v>
      </c>
      <c r="F318" s="200">
        <v>0</v>
      </c>
      <c r="G318" s="200">
        <v>1000000000</v>
      </c>
      <c r="H318" s="200">
        <f t="shared" si="5"/>
        <v>0</v>
      </c>
      <c r="I318" s="201">
        <v>6.9</v>
      </c>
      <c r="J318" s="202" t="s">
        <v>237</v>
      </c>
    </row>
    <row r="319" spans="1:10" ht="14.25" customHeight="1">
      <c r="A319" s="203"/>
      <c r="B319" s="204" t="s">
        <v>265</v>
      </c>
      <c r="C319" s="205" t="s">
        <v>189</v>
      </c>
      <c r="D319" s="206" t="s">
        <v>509</v>
      </c>
      <c r="E319" s="200">
        <v>2077000000</v>
      </c>
      <c r="F319" s="200">
        <v>0</v>
      </c>
      <c r="G319" s="200">
        <v>2077000000</v>
      </c>
      <c r="H319" s="200">
        <f t="shared" si="5"/>
        <v>0</v>
      </c>
      <c r="I319" s="201">
        <v>7.2</v>
      </c>
      <c r="J319" s="202" t="s">
        <v>264</v>
      </c>
    </row>
    <row r="320" spans="1:10" ht="14.25" customHeight="1">
      <c r="A320" s="203"/>
      <c r="B320" s="204" t="s">
        <v>262</v>
      </c>
      <c r="C320" s="263" t="s">
        <v>180</v>
      </c>
      <c r="D320" s="206" t="s">
        <v>2</v>
      </c>
      <c r="E320" s="200">
        <v>940000000</v>
      </c>
      <c r="F320" s="200">
        <v>0</v>
      </c>
      <c r="G320" s="200">
        <v>940000000</v>
      </c>
      <c r="H320" s="200">
        <f t="shared" si="5"/>
        <v>0</v>
      </c>
      <c r="I320" s="201">
        <v>6.9</v>
      </c>
      <c r="J320" s="202" t="s">
        <v>237</v>
      </c>
    </row>
    <row r="321" spans="1:11" ht="14.25" customHeight="1">
      <c r="A321" s="203"/>
      <c r="B321" s="204" t="s">
        <v>265</v>
      </c>
      <c r="C321" s="205" t="s">
        <v>189</v>
      </c>
      <c r="D321" s="206" t="s">
        <v>3</v>
      </c>
      <c r="E321" s="200">
        <v>445000000</v>
      </c>
      <c r="F321" s="200">
        <v>0</v>
      </c>
      <c r="G321" s="200">
        <v>445000000</v>
      </c>
      <c r="H321" s="200">
        <f t="shared" si="5"/>
        <v>0</v>
      </c>
      <c r="I321" s="201">
        <v>6.9</v>
      </c>
      <c r="J321" s="202" t="s">
        <v>267</v>
      </c>
    </row>
    <row r="322" spans="1:11" ht="14.25" customHeight="1">
      <c r="A322" s="203"/>
      <c r="B322" s="204" t="s">
        <v>265</v>
      </c>
      <c r="C322" s="205" t="s">
        <v>185</v>
      </c>
      <c r="D322" s="206" t="s">
        <v>4</v>
      </c>
      <c r="E322" s="200">
        <v>488000000</v>
      </c>
      <c r="F322" s="200">
        <v>0</v>
      </c>
      <c r="G322" s="200">
        <v>488000000</v>
      </c>
      <c r="H322" s="200">
        <f t="shared" si="5"/>
        <v>0</v>
      </c>
      <c r="I322" s="201">
        <v>6.8</v>
      </c>
      <c r="J322" s="202" t="s">
        <v>271</v>
      </c>
    </row>
    <row r="323" spans="1:11" ht="14.25" customHeight="1">
      <c r="A323" s="203"/>
      <c r="B323" s="204" t="s">
        <v>268</v>
      </c>
      <c r="C323" s="205" t="s">
        <v>266</v>
      </c>
      <c r="D323" s="206" t="s">
        <v>5</v>
      </c>
      <c r="E323" s="200">
        <v>1000000000</v>
      </c>
      <c r="F323" s="200">
        <v>0</v>
      </c>
      <c r="G323" s="200">
        <v>1000000000</v>
      </c>
      <c r="H323" s="200">
        <f t="shared" si="5"/>
        <v>0</v>
      </c>
      <c r="I323" s="201">
        <v>5.8</v>
      </c>
      <c r="J323" s="202" t="s">
        <v>219</v>
      </c>
    </row>
    <row r="324" spans="1:11" ht="14.25" customHeight="1">
      <c r="A324" s="203"/>
      <c r="B324" s="204" t="s">
        <v>268</v>
      </c>
      <c r="C324" s="205" t="s">
        <v>189</v>
      </c>
      <c r="D324" s="206" t="s">
        <v>512</v>
      </c>
      <c r="E324" s="200">
        <v>655000000</v>
      </c>
      <c r="F324" s="200">
        <v>0</v>
      </c>
      <c r="G324" s="200">
        <v>655000000</v>
      </c>
      <c r="H324" s="200">
        <f t="shared" si="5"/>
        <v>0</v>
      </c>
      <c r="I324" s="201">
        <v>6.4</v>
      </c>
      <c r="J324" s="202" t="s">
        <v>267</v>
      </c>
    </row>
    <row r="325" spans="1:11" ht="14.25" customHeight="1">
      <c r="A325" s="203"/>
      <c r="B325" s="204" t="s">
        <v>268</v>
      </c>
      <c r="C325" s="205" t="s">
        <v>185</v>
      </c>
      <c r="D325" s="206" t="s">
        <v>6</v>
      </c>
      <c r="E325" s="200">
        <v>1302000000</v>
      </c>
      <c r="F325" s="200">
        <v>0</v>
      </c>
      <c r="G325" s="200">
        <v>1302000000</v>
      </c>
      <c r="H325" s="200">
        <f t="shared" si="5"/>
        <v>0</v>
      </c>
      <c r="I325" s="201">
        <v>6.05</v>
      </c>
      <c r="J325" s="202" t="s">
        <v>276</v>
      </c>
    </row>
    <row r="326" spans="1:11" ht="14.25" customHeight="1">
      <c r="A326" s="203"/>
      <c r="B326" s="204" t="s">
        <v>268</v>
      </c>
      <c r="C326" s="205" t="s">
        <v>189</v>
      </c>
      <c r="D326" s="206" t="s">
        <v>7</v>
      </c>
      <c r="E326" s="200">
        <v>647000000</v>
      </c>
      <c r="F326" s="200">
        <v>0</v>
      </c>
      <c r="G326" s="200">
        <v>647000000</v>
      </c>
      <c r="H326" s="200">
        <f t="shared" si="5"/>
        <v>0</v>
      </c>
      <c r="I326" s="201">
        <v>6.15</v>
      </c>
      <c r="J326" s="202" t="s">
        <v>269</v>
      </c>
    </row>
    <row r="327" spans="1:11" ht="14.25" customHeight="1">
      <c r="A327" s="215"/>
      <c r="B327" s="206" t="s">
        <v>8</v>
      </c>
      <c r="C327" s="205" t="s">
        <v>189</v>
      </c>
      <c r="D327" s="206" t="s">
        <v>9</v>
      </c>
      <c r="E327" s="200">
        <v>688000000</v>
      </c>
      <c r="F327" s="200">
        <v>0</v>
      </c>
      <c r="G327" s="200">
        <v>688000000</v>
      </c>
      <c r="H327" s="200">
        <f t="shared" si="5"/>
        <v>0</v>
      </c>
      <c r="I327" s="201">
        <v>5.4</v>
      </c>
      <c r="J327" s="147" t="s">
        <v>1709</v>
      </c>
    </row>
    <row r="328" spans="1:11" ht="14.25" customHeight="1">
      <c r="A328" s="203"/>
      <c r="B328" s="204" t="s">
        <v>270</v>
      </c>
      <c r="C328" s="205" t="s">
        <v>189</v>
      </c>
      <c r="D328" s="206" t="s">
        <v>10</v>
      </c>
      <c r="E328" s="200">
        <v>320000000</v>
      </c>
      <c r="F328" s="200">
        <v>0</v>
      </c>
      <c r="G328" s="200">
        <v>320000000</v>
      </c>
      <c r="H328" s="200">
        <f t="shared" si="5"/>
        <v>0</v>
      </c>
      <c r="I328" s="201">
        <v>4.7</v>
      </c>
      <c r="J328" s="147" t="s">
        <v>1709</v>
      </c>
    </row>
    <row r="329" spans="1:11" ht="14.25" customHeight="1">
      <c r="A329" s="203"/>
      <c r="B329" s="204" t="s">
        <v>270</v>
      </c>
      <c r="C329" s="205" t="s">
        <v>189</v>
      </c>
      <c r="D329" s="206" t="s">
        <v>11</v>
      </c>
      <c r="E329" s="200">
        <v>79000000</v>
      </c>
      <c r="F329" s="200">
        <v>0</v>
      </c>
      <c r="G329" s="200">
        <v>79000000</v>
      </c>
      <c r="H329" s="200">
        <f t="shared" si="5"/>
        <v>0</v>
      </c>
      <c r="I329" s="201">
        <v>4.7</v>
      </c>
      <c r="J329" s="147" t="s">
        <v>1709</v>
      </c>
    </row>
    <row r="330" spans="1:11" ht="14.25" customHeight="1">
      <c r="A330" s="203"/>
      <c r="B330" s="204" t="s">
        <v>270</v>
      </c>
      <c r="C330" s="205" t="s">
        <v>185</v>
      </c>
      <c r="D330" s="206" t="s">
        <v>12</v>
      </c>
      <c r="E330" s="200">
        <v>1086000000</v>
      </c>
      <c r="F330" s="200">
        <v>69602660</v>
      </c>
      <c r="G330" s="200">
        <f>K330+F330</f>
        <v>974661567</v>
      </c>
      <c r="H330" s="200">
        <f t="shared" si="5"/>
        <v>111338433</v>
      </c>
      <c r="I330" s="201">
        <v>5.2</v>
      </c>
      <c r="J330" s="202" t="s">
        <v>277</v>
      </c>
      <c r="K330" s="311">
        <v>905058907</v>
      </c>
    </row>
    <row r="331" spans="1:11" ht="14.25" customHeight="1">
      <c r="A331" s="203"/>
      <c r="B331" s="204" t="s">
        <v>272</v>
      </c>
      <c r="C331" s="205" t="s">
        <v>189</v>
      </c>
      <c r="D331" s="206" t="s">
        <v>13</v>
      </c>
      <c r="E331" s="200">
        <v>545000000</v>
      </c>
      <c r="F331" s="200">
        <v>0</v>
      </c>
      <c r="G331" s="200">
        <v>545000000</v>
      </c>
      <c r="H331" s="200">
        <f t="shared" si="5"/>
        <v>0</v>
      </c>
      <c r="I331" s="201">
        <v>5.0999999999999996</v>
      </c>
      <c r="J331" s="147" t="s">
        <v>1709</v>
      </c>
      <c r="K331" s="311">
        <v>545000000</v>
      </c>
    </row>
    <row r="332" spans="1:11" ht="14.25" customHeight="1">
      <c r="A332" s="215"/>
      <c r="B332" s="206" t="s">
        <v>14</v>
      </c>
      <c r="C332" s="205" t="s">
        <v>185</v>
      </c>
      <c r="D332" s="206" t="s">
        <v>15</v>
      </c>
      <c r="E332" s="200">
        <v>545000000</v>
      </c>
      <c r="F332" s="200">
        <v>32958389</v>
      </c>
      <c r="G332" s="200">
        <f>K332+F332</f>
        <v>454962856</v>
      </c>
      <c r="H332" s="200">
        <f t="shared" si="5"/>
        <v>90037144</v>
      </c>
      <c r="I332" s="201">
        <v>5.0999999999999996</v>
      </c>
      <c r="J332" s="202" t="s">
        <v>280</v>
      </c>
      <c r="K332" s="311">
        <v>422004467</v>
      </c>
    </row>
    <row r="333" spans="1:11" ht="14.25" customHeight="1">
      <c r="A333" s="203"/>
      <c r="B333" s="204" t="s">
        <v>275</v>
      </c>
      <c r="C333" s="205" t="s">
        <v>189</v>
      </c>
      <c r="D333" s="206" t="s">
        <v>16</v>
      </c>
      <c r="E333" s="200">
        <v>600000000</v>
      </c>
      <c r="F333" s="200">
        <v>0</v>
      </c>
      <c r="G333" s="200">
        <v>600000000</v>
      </c>
      <c r="H333" s="200">
        <f t="shared" si="5"/>
        <v>0</v>
      </c>
      <c r="I333" s="201">
        <v>4.95</v>
      </c>
      <c r="J333" s="147" t="s">
        <v>1709</v>
      </c>
      <c r="K333" s="311">
        <v>600000000</v>
      </c>
    </row>
    <row r="334" spans="1:11" ht="14.25" customHeight="1">
      <c r="A334" s="203"/>
      <c r="B334" s="204" t="s">
        <v>275</v>
      </c>
      <c r="C334" s="205" t="s">
        <v>185</v>
      </c>
      <c r="D334" s="206" t="s">
        <v>523</v>
      </c>
      <c r="E334" s="200">
        <v>796000000</v>
      </c>
      <c r="F334" s="200">
        <v>46566494</v>
      </c>
      <c r="G334" s="200">
        <f>K334+F334</f>
        <v>612013315</v>
      </c>
      <c r="H334" s="200">
        <f t="shared" si="5"/>
        <v>183986685</v>
      </c>
      <c r="I334" s="201">
        <v>5.4</v>
      </c>
      <c r="J334" s="202" t="s">
        <v>283</v>
      </c>
      <c r="K334" s="311">
        <v>565446821</v>
      </c>
    </row>
    <row r="335" spans="1:11" ht="14.25" customHeight="1">
      <c r="A335" s="203"/>
      <c r="B335" s="206" t="s">
        <v>17</v>
      </c>
      <c r="C335" s="205" t="s">
        <v>189</v>
      </c>
      <c r="D335" s="206" t="s">
        <v>18</v>
      </c>
      <c r="E335" s="200">
        <v>300000000</v>
      </c>
      <c r="F335" s="200">
        <v>0</v>
      </c>
      <c r="G335" s="200">
        <v>300000000</v>
      </c>
      <c r="H335" s="200">
        <f t="shared" si="5"/>
        <v>0</v>
      </c>
      <c r="I335" s="201">
        <v>6.3</v>
      </c>
      <c r="J335" s="202" t="s">
        <v>277</v>
      </c>
      <c r="K335" s="311">
        <v>300000000</v>
      </c>
    </row>
    <row r="336" spans="1:11" ht="14.25" customHeight="1">
      <c r="A336" s="203"/>
      <c r="B336" s="204" t="s">
        <v>19</v>
      </c>
      <c r="C336" s="205" t="s">
        <v>185</v>
      </c>
      <c r="D336" s="206" t="s">
        <v>20</v>
      </c>
      <c r="E336" s="200">
        <v>815000000</v>
      </c>
      <c r="F336" s="200">
        <v>0</v>
      </c>
      <c r="G336" s="200">
        <v>815000000</v>
      </c>
      <c r="H336" s="200">
        <f t="shared" si="5"/>
        <v>0</v>
      </c>
      <c r="I336" s="201">
        <v>6.6</v>
      </c>
      <c r="J336" s="202" t="s">
        <v>285</v>
      </c>
      <c r="K336" s="311">
        <v>815000000</v>
      </c>
    </row>
    <row r="337" spans="1:11" ht="14.25" customHeight="1">
      <c r="A337" s="203"/>
      <c r="B337" s="204" t="s">
        <v>21</v>
      </c>
      <c r="C337" s="205" t="s">
        <v>189</v>
      </c>
      <c r="D337" s="206" t="s">
        <v>22</v>
      </c>
      <c r="E337" s="200">
        <v>258000000</v>
      </c>
      <c r="F337" s="200">
        <v>0</v>
      </c>
      <c r="G337" s="200">
        <v>258000000</v>
      </c>
      <c r="H337" s="200">
        <f t="shared" si="5"/>
        <v>0</v>
      </c>
      <c r="I337" s="201">
        <v>6.7</v>
      </c>
      <c r="J337" s="202" t="s">
        <v>280</v>
      </c>
      <c r="K337" s="311">
        <v>258000000</v>
      </c>
    </row>
    <row r="338" spans="1:11" ht="14.25" customHeight="1">
      <c r="A338" s="203"/>
      <c r="B338" s="206" t="s">
        <v>279</v>
      </c>
      <c r="C338" s="205" t="s">
        <v>189</v>
      </c>
      <c r="D338" s="206" t="s">
        <v>23</v>
      </c>
      <c r="E338" s="200">
        <v>400000000</v>
      </c>
      <c r="F338" s="200">
        <v>0</v>
      </c>
      <c r="G338" s="200">
        <v>400000000</v>
      </c>
      <c r="H338" s="200">
        <f t="shared" si="5"/>
        <v>0</v>
      </c>
      <c r="I338" s="201">
        <v>6.65</v>
      </c>
      <c r="J338" s="202" t="s">
        <v>280</v>
      </c>
      <c r="K338" s="311">
        <v>400000000</v>
      </c>
    </row>
    <row r="339" spans="1:11" ht="14.25" customHeight="1">
      <c r="A339" s="203"/>
      <c r="B339" s="206" t="s">
        <v>279</v>
      </c>
      <c r="C339" s="205" t="s">
        <v>185</v>
      </c>
      <c r="D339" s="206" t="s">
        <v>534</v>
      </c>
      <c r="E339" s="200">
        <v>212000000</v>
      </c>
      <c r="F339" s="200">
        <v>10890124</v>
      </c>
      <c r="G339" s="200">
        <f>K339+F339</f>
        <v>132654973</v>
      </c>
      <c r="H339" s="200">
        <f t="shared" si="5"/>
        <v>79345027</v>
      </c>
      <c r="I339" s="201">
        <v>5.5</v>
      </c>
      <c r="J339" s="202" t="s">
        <v>282</v>
      </c>
      <c r="K339" s="311">
        <v>121764849</v>
      </c>
    </row>
    <row r="340" spans="1:11" ht="14.25" customHeight="1">
      <c r="A340" s="203"/>
      <c r="B340" s="206" t="s">
        <v>292</v>
      </c>
      <c r="C340" s="205" t="s">
        <v>189</v>
      </c>
      <c r="D340" s="206" t="s">
        <v>535</v>
      </c>
      <c r="E340" s="200">
        <v>52000000</v>
      </c>
      <c r="F340" s="200">
        <v>0</v>
      </c>
      <c r="G340" s="200">
        <v>52000000</v>
      </c>
      <c r="H340" s="200">
        <f t="shared" si="5"/>
        <v>0</v>
      </c>
      <c r="I340" s="201">
        <v>5.65</v>
      </c>
      <c r="J340" s="147" t="s">
        <v>1710</v>
      </c>
      <c r="K340" s="311">
        <v>52000000</v>
      </c>
    </row>
    <row r="341" spans="1:11" ht="14.25" customHeight="1">
      <c r="A341" s="203"/>
      <c r="B341" s="206" t="s">
        <v>279</v>
      </c>
      <c r="C341" s="205" t="s">
        <v>189</v>
      </c>
      <c r="D341" s="206" t="s">
        <v>535</v>
      </c>
      <c r="E341" s="200">
        <v>336000000</v>
      </c>
      <c r="F341" s="200">
        <v>0</v>
      </c>
      <c r="G341" s="200">
        <v>336000000</v>
      </c>
      <c r="H341" s="200">
        <f t="shared" si="5"/>
        <v>0</v>
      </c>
      <c r="I341" s="201">
        <v>5.6</v>
      </c>
      <c r="J341" s="147" t="s">
        <v>1710</v>
      </c>
      <c r="K341" s="311">
        <v>336000000</v>
      </c>
    </row>
    <row r="342" spans="1:11" ht="14.25" customHeight="1">
      <c r="A342" s="203"/>
      <c r="B342" s="206" t="s">
        <v>281</v>
      </c>
      <c r="C342" s="205" t="s">
        <v>189</v>
      </c>
      <c r="D342" s="206" t="s">
        <v>535</v>
      </c>
      <c r="E342" s="200">
        <v>300000000</v>
      </c>
      <c r="F342" s="200">
        <v>0</v>
      </c>
      <c r="G342" s="200">
        <v>300000000</v>
      </c>
      <c r="H342" s="200">
        <f t="shared" si="5"/>
        <v>0</v>
      </c>
      <c r="I342" s="201">
        <v>5.65</v>
      </c>
      <c r="J342" s="147" t="s">
        <v>1710</v>
      </c>
      <c r="K342" s="311">
        <v>300000000</v>
      </c>
    </row>
    <row r="343" spans="1:11" ht="14.25" customHeight="1">
      <c r="A343" s="203"/>
      <c r="B343" s="206" t="s">
        <v>281</v>
      </c>
      <c r="C343" s="205" t="s">
        <v>185</v>
      </c>
      <c r="D343" s="206" t="s">
        <v>24</v>
      </c>
      <c r="E343" s="200">
        <v>440000000</v>
      </c>
      <c r="F343" s="200">
        <v>20837225</v>
      </c>
      <c r="G343" s="200">
        <f>K343+F343</f>
        <v>265743448</v>
      </c>
      <c r="H343" s="200">
        <f t="shared" si="5"/>
        <v>174256552</v>
      </c>
      <c r="I343" s="201">
        <v>4.4000000000000004</v>
      </c>
      <c r="J343" s="202" t="s">
        <v>284</v>
      </c>
      <c r="K343" s="311">
        <v>244906223</v>
      </c>
    </row>
    <row r="344" spans="1:11" ht="14.25" customHeight="1" thickBot="1">
      <c r="A344" s="269"/>
      <c r="B344" s="206" t="s">
        <v>281</v>
      </c>
      <c r="C344" s="205" t="s">
        <v>189</v>
      </c>
      <c r="D344" s="206" t="s">
        <v>25</v>
      </c>
      <c r="E344" s="200">
        <v>260000000</v>
      </c>
      <c r="F344" s="200">
        <v>0</v>
      </c>
      <c r="G344" s="200">
        <v>260000000</v>
      </c>
      <c r="H344" s="200">
        <f t="shared" si="5"/>
        <v>0</v>
      </c>
      <c r="I344" s="201">
        <v>4.5</v>
      </c>
      <c r="J344" s="147" t="s">
        <v>1710</v>
      </c>
      <c r="K344" s="311">
        <v>260000000</v>
      </c>
    </row>
    <row r="345" spans="1:11" ht="9.75" customHeight="1" thickBot="1">
      <c r="A345" s="257"/>
      <c r="B345" s="258"/>
      <c r="C345" s="257"/>
      <c r="D345" s="258"/>
      <c r="E345" s="259"/>
      <c r="F345" s="259"/>
      <c r="G345" s="259"/>
      <c r="H345" s="259"/>
      <c r="I345" s="260"/>
      <c r="J345" s="270"/>
    </row>
    <row r="346" spans="1:11">
      <c r="A346" s="479" t="s">
        <v>26</v>
      </c>
      <c r="B346" s="481" t="s">
        <v>311</v>
      </c>
      <c r="C346" s="483" t="s">
        <v>27</v>
      </c>
      <c r="D346" s="481" t="s">
        <v>312</v>
      </c>
      <c r="E346" s="485" t="s">
        <v>28</v>
      </c>
      <c r="F346" s="487" t="s">
        <v>29</v>
      </c>
      <c r="G346" s="493"/>
      <c r="H346" s="489" t="s">
        <v>174</v>
      </c>
      <c r="I346" s="491" t="s">
        <v>30</v>
      </c>
      <c r="J346" s="477" t="s">
        <v>313</v>
      </c>
    </row>
    <row r="347" spans="1:11">
      <c r="A347" s="480"/>
      <c r="B347" s="482"/>
      <c r="C347" s="484"/>
      <c r="D347" s="482"/>
      <c r="E347" s="486"/>
      <c r="F347" s="207" t="s">
        <v>176</v>
      </c>
      <c r="G347" s="207" t="s">
        <v>305</v>
      </c>
      <c r="H347" s="490"/>
      <c r="I347" s="492"/>
      <c r="J347" s="478"/>
    </row>
    <row r="348" spans="1:11">
      <c r="A348" s="209"/>
      <c r="B348" s="210"/>
      <c r="C348" s="210"/>
      <c r="D348" s="211" t="s">
        <v>177</v>
      </c>
      <c r="E348" s="212" t="s">
        <v>178</v>
      </c>
      <c r="F348" s="212" t="s">
        <v>172</v>
      </c>
      <c r="G348" s="212" t="s">
        <v>178</v>
      </c>
      <c r="H348" s="212" t="s">
        <v>178</v>
      </c>
      <c r="I348" s="213" t="s">
        <v>31</v>
      </c>
      <c r="J348" s="214" t="s">
        <v>175</v>
      </c>
    </row>
    <row r="349" spans="1:11">
      <c r="A349" s="215" t="s">
        <v>290</v>
      </c>
      <c r="B349" s="204" t="s">
        <v>341</v>
      </c>
      <c r="C349" s="205" t="s">
        <v>189</v>
      </c>
      <c r="D349" s="206" t="s">
        <v>694</v>
      </c>
      <c r="E349" s="200">
        <v>80000000</v>
      </c>
      <c r="F349" s="200">
        <v>0</v>
      </c>
      <c r="G349" s="200">
        <v>80000000</v>
      </c>
      <c r="H349" s="200">
        <f t="shared" ref="H349:H406" si="6">E349-G349</f>
        <v>0</v>
      </c>
      <c r="I349" s="201">
        <v>4.45</v>
      </c>
      <c r="J349" s="147" t="s">
        <v>1710</v>
      </c>
      <c r="K349" s="311">
        <v>80000000</v>
      </c>
    </row>
    <row r="350" spans="1:11">
      <c r="A350" s="203" t="s">
        <v>182</v>
      </c>
      <c r="B350" s="206">
        <v>4</v>
      </c>
      <c r="C350" s="205" t="s">
        <v>185</v>
      </c>
      <c r="D350" s="206" t="s">
        <v>540</v>
      </c>
      <c r="E350" s="200">
        <v>120000000</v>
      </c>
      <c r="F350" s="200">
        <v>5362939</v>
      </c>
      <c r="G350" s="200">
        <f>K350+F350</f>
        <v>69339080</v>
      </c>
      <c r="H350" s="200">
        <f t="shared" si="6"/>
        <v>50660920</v>
      </c>
      <c r="I350" s="201">
        <v>3.65</v>
      </c>
      <c r="J350" s="202" t="s">
        <v>286</v>
      </c>
      <c r="K350" s="311">
        <v>63976141</v>
      </c>
    </row>
    <row r="351" spans="1:11" ht="14.25" customHeight="1">
      <c r="A351" s="215"/>
      <c r="B351" s="206">
        <v>5</v>
      </c>
      <c r="C351" s="205" t="s">
        <v>189</v>
      </c>
      <c r="D351" s="206" t="s">
        <v>540</v>
      </c>
      <c r="E351" s="200">
        <v>50000000</v>
      </c>
      <c r="F351" s="200">
        <v>2535629</v>
      </c>
      <c r="G351" s="200">
        <f>K351+F351</f>
        <v>32669336</v>
      </c>
      <c r="H351" s="200">
        <f t="shared" si="6"/>
        <v>17330664</v>
      </c>
      <c r="I351" s="201">
        <v>3.7</v>
      </c>
      <c r="J351" s="202" t="s">
        <v>282</v>
      </c>
      <c r="K351" s="311">
        <v>30133707</v>
      </c>
    </row>
    <row r="352" spans="1:11" ht="14.25" customHeight="1">
      <c r="A352" s="203"/>
      <c r="B352" s="206">
        <v>5</v>
      </c>
      <c r="C352" s="205" t="s">
        <v>185</v>
      </c>
      <c r="D352" s="206" t="s">
        <v>32</v>
      </c>
      <c r="E352" s="200">
        <v>50000000</v>
      </c>
      <c r="F352" s="200">
        <v>2227321</v>
      </c>
      <c r="G352" s="200">
        <f>K352+F352</f>
        <v>26183307</v>
      </c>
      <c r="H352" s="200">
        <f t="shared" si="6"/>
        <v>23816693</v>
      </c>
      <c r="I352" s="201">
        <v>4.75</v>
      </c>
      <c r="J352" s="202" t="s">
        <v>287</v>
      </c>
      <c r="K352" s="311">
        <v>23955986</v>
      </c>
    </row>
    <row r="353" spans="1:11" ht="14.25" customHeight="1">
      <c r="A353" s="215"/>
      <c r="B353" s="206" t="s">
        <v>33</v>
      </c>
      <c r="C353" s="205" t="s">
        <v>266</v>
      </c>
      <c r="D353" s="206" t="s">
        <v>34</v>
      </c>
      <c r="E353" s="200">
        <v>580000000</v>
      </c>
      <c r="F353" s="200">
        <v>0</v>
      </c>
      <c r="G353" s="200">
        <f>'25.企業債（23決算）'!G353+'25.企業債（2７決算） '!F353</f>
        <v>580000000</v>
      </c>
      <c r="H353" s="200">
        <f t="shared" si="6"/>
        <v>0</v>
      </c>
      <c r="I353" s="201">
        <v>4.5</v>
      </c>
      <c r="J353" s="202" t="s">
        <v>244</v>
      </c>
      <c r="K353" s="311">
        <v>580000000</v>
      </c>
    </row>
    <row r="354" spans="1:11" ht="14.25" customHeight="1">
      <c r="A354" s="215"/>
      <c r="B354" s="206" t="s">
        <v>35</v>
      </c>
      <c r="C354" s="205" t="s">
        <v>266</v>
      </c>
      <c r="D354" s="204" t="s">
        <v>36</v>
      </c>
      <c r="E354" s="200">
        <v>35000000</v>
      </c>
      <c r="F354" s="200">
        <v>0</v>
      </c>
      <c r="G354" s="200">
        <f>'25.企業債（23決算）'!G354+'25.企業債（2７決算） '!F354</f>
        <v>35000000</v>
      </c>
      <c r="H354" s="200">
        <f t="shared" si="6"/>
        <v>0</v>
      </c>
      <c r="I354" s="201">
        <v>4.5</v>
      </c>
      <c r="J354" s="202" t="s">
        <v>244</v>
      </c>
      <c r="K354" s="311">
        <v>35000000</v>
      </c>
    </row>
    <row r="355" spans="1:11" ht="14.25" customHeight="1">
      <c r="A355" s="203"/>
      <c r="B355" s="206">
        <v>6</v>
      </c>
      <c r="C355" s="205" t="s">
        <v>189</v>
      </c>
      <c r="D355" s="206" t="s">
        <v>105</v>
      </c>
      <c r="E355" s="200">
        <v>30000000</v>
      </c>
      <c r="F355" s="200">
        <v>0</v>
      </c>
      <c r="G355" s="200">
        <v>30000000</v>
      </c>
      <c r="H355" s="200">
        <f t="shared" si="6"/>
        <v>0</v>
      </c>
      <c r="I355" s="201">
        <v>4.7</v>
      </c>
      <c r="J355" s="147" t="s">
        <v>1710</v>
      </c>
      <c r="K355" s="311">
        <v>30000000</v>
      </c>
    </row>
    <row r="356" spans="1:11" ht="14.25" customHeight="1">
      <c r="A356" s="203"/>
      <c r="B356" s="206" t="s">
        <v>546</v>
      </c>
      <c r="C356" s="205" t="s">
        <v>266</v>
      </c>
      <c r="D356" s="206" t="s">
        <v>547</v>
      </c>
      <c r="E356" s="200">
        <v>580000000</v>
      </c>
      <c r="F356" s="200">
        <v>0</v>
      </c>
      <c r="G356" s="200">
        <f>'25.企業債（23決算）'!G356+'25.企業債（2７決算） '!F356</f>
        <v>580000000</v>
      </c>
      <c r="H356" s="200">
        <f t="shared" si="6"/>
        <v>0</v>
      </c>
      <c r="I356" s="201">
        <v>3</v>
      </c>
      <c r="J356" s="202" t="s">
        <v>247</v>
      </c>
      <c r="K356" s="311">
        <v>580000000</v>
      </c>
    </row>
    <row r="357" spans="1:11" ht="14.25" customHeight="1">
      <c r="A357" s="203"/>
      <c r="B357" s="206" t="s">
        <v>35</v>
      </c>
      <c r="C357" s="205" t="s">
        <v>185</v>
      </c>
      <c r="D357" s="206" t="s">
        <v>38</v>
      </c>
      <c r="E357" s="200">
        <v>35000000</v>
      </c>
      <c r="F357" s="200">
        <v>1476005</v>
      </c>
      <c r="G357" s="200">
        <f t="shared" ref="G357:G382" si="7">K357+F357</f>
        <v>18417522</v>
      </c>
      <c r="H357" s="200">
        <f t="shared" si="6"/>
        <v>16582478</v>
      </c>
      <c r="I357" s="201">
        <v>3.15</v>
      </c>
      <c r="J357" s="202" t="s">
        <v>293</v>
      </c>
      <c r="K357" s="311">
        <v>16941517</v>
      </c>
    </row>
    <row r="358" spans="1:11" ht="14.25" customHeight="1">
      <c r="A358" s="203"/>
      <c r="B358" s="206">
        <v>7</v>
      </c>
      <c r="C358" s="205" t="s">
        <v>189</v>
      </c>
      <c r="D358" s="206" t="s">
        <v>39</v>
      </c>
      <c r="E358" s="200">
        <v>194000000</v>
      </c>
      <c r="F358" s="200">
        <v>9075052</v>
      </c>
      <c r="G358" s="200">
        <f t="shared" si="7"/>
        <v>110028705</v>
      </c>
      <c r="H358" s="200">
        <f t="shared" si="6"/>
        <v>83971295</v>
      </c>
      <c r="I358" s="201">
        <v>3.2</v>
      </c>
      <c r="J358" s="202" t="s">
        <v>286</v>
      </c>
      <c r="K358" s="311">
        <v>100953653</v>
      </c>
    </row>
    <row r="359" spans="1:11" ht="14.25" customHeight="1">
      <c r="A359" s="203"/>
      <c r="B359" s="206">
        <v>7</v>
      </c>
      <c r="C359" s="205" t="s">
        <v>185</v>
      </c>
      <c r="D359" s="206" t="s">
        <v>40</v>
      </c>
      <c r="E359" s="200">
        <v>129000000</v>
      </c>
      <c r="F359" s="200">
        <v>5273338</v>
      </c>
      <c r="G359" s="200">
        <f t="shared" si="7"/>
        <v>63414013</v>
      </c>
      <c r="H359" s="200">
        <f t="shared" si="6"/>
        <v>65585987</v>
      </c>
      <c r="I359" s="201">
        <v>2.9</v>
      </c>
      <c r="J359" s="216" t="s">
        <v>294</v>
      </c>
      <c r="K359" s="311">
        <v>58140675</v>
      </c>
    </row>
    <row r="360" spans="1:11" ht="14.25" customHeight="1">
      <c r="A360" s="203"/>
      <c r="B360" s="206">
        <v>8</v>
      </c>
      <c r="C360" s="205" t="s">
        <v>189</v>
      </c>
      <c r="D360" s="206" t="s">
        <v>111</v>
      </c>
      <c r="E360" s="200">
        <v>227000000</v>
      </c>
      <c r="F360" s="200">
        <v>10262509</v>
      </c>
      <c r="G360" s="200">
        <f t="shared" si="7"/>
        <v>120314632</v>
      </c>
      <c r="H360" s="200">
        <f t="shared" si="6"/>
        <v>106685368</v>
      </c>
      <c r="I360" s="201">
        <v>2.85</v>
      </c>
      <c r="J360" s="216" t="s">
        <v>287</v>
      </c>
      <c r="K360" s="311">
        <v>110052123</v>
      </c>
    </row>
    <row r="361" spans="1:11" ht="14.25" customHeight="1">
      <c r="A361" s="203"/>
      <c r="B361" s="206">
        <v>8</v>
      </c>
      <c r="C361" s="205" t="s">
        <v>185</v>
      </c>
      <c r="D361" s="206" t="s">
        <v>41</v>
      </c>
      <c r="E361" s="200">
        <v>278000000</v>
      </c>
      <c r="F361" s="200">
        <v>11080314</v>
      </c>
      <c r="G361" s="200">
        <f t="shared" si="7"/>
        <v>128668011</v>
      </c>
      <c r="H361" s="200">
        <f t="shared" si="6"/>
        <v>149331989</v>
      </c>
      <c r="I361" s="201">
        <v>2.5</v>
      </c>
      <c r="J361" s="216" t="s">
        <v>295</v>
      </c>
      <c r="K361" s="311">
        <v>117587697</v>
      </c>
    </row>
    <row r="362" spans="1:11" ht="14.25" customHeight="1">
      <c r="A362" s="203"/>
      <c r="B362" s="206">
        <v>9</v>
      </c>
      <c r="C362" s="205" t="s">
        <v>189</v>
      </c>
      <c r="D362" s="206" t="s">
        <v>42</v>
      </c>
      <c r="E362" s="200">
        <v>375000000</v>
      </c>
      <c r="F362" s="200">
        <v>16490362</v>
      </c>
      <c r="G362" s="200">
        <f t="shared" si="7"/>
        <v>189163763</v>
      </c>
      <c r="H362" s="200">
        <f t="shared" si="6"/>
        <v>185836237</v>
      </c>
      <c r="I362" s="201">
        <v>2.15</v>
      </c>
      <c r="J362" s="216" t="s">
        <v>43</v>
      </c>
      <c r="K362" s="311">
        <v>172673401</v>
      </c>
    </row>
    <row r="363" spans="1:11" ht="14.25" customHeight="1">
      <c r="A363" s="203"/>
      <c r="B363" s="206">
        <v>9</v>
      </c>
      <c r="C363" s="205" t="s">
        <v>185</v>
      </c>
      <c r="D363" s="206" t="s">
        <v>44</v>
      </c>
      <c r="E363" s="200">
        <v>563000000</v>
      </c>
      <c r="F363" s="200">
        <v>22000119</v>
      </c>
      <c r="G363" s="200">
        <f t="shared" si="7"/>
        <v>243243262</v>
      </c>
      <c r="H363" s="200">
        <f t="shared" si="6"/>
        <v>319756738</v>
      </c>
      <c r="I363" s="201">
        <v>2.2000000000000002</v>
      </c>
      <c r="J363" s="216" t="s">
        <v>296</v>
      </c>
      <c r="K363" s="311">
        <v>221243143</v>
      </c>
    </row>
    <row r="364" spans="1:11" ht="14.25" customHeight="1">
      <c r="A364" s="203"/>
      <c r="B364" s="206">
        <v>10</v>
      </c>
      <c r="C364" s="205" t="s">
        <v>189</v>
      </c>
      <c r="D364" s="206" t="s">
        <v>45</v>
      </c>
      <c r="E364" s="200">
        <v>212000000</v>
      </c>
      <c r="F364" s="200">
        <v>9129486</v>
      </c>
      <c r="G364" s="200">
        <f t="shared" si="7"/>
        <v>97916701</v>
      </c>
      <c r="H364" s="200">
        <f t="shared" si="6"/>
        <v>114083299</v>
      </c>
      <c r="I364" s="201">
        <v>2.1</v>
      </c>
      <c r="J364" s="216" t="s">
        <v>294</v>
      </c>
      <c r="K364" s="311">
        <v>88787215</v>
      </c>
    </row>
    <row r="365" spans="1:11" ht="14.25" customHeight="1">
      <c r="A365" s="203"/>
      <c r="B365" s="206">
        <v>10</v>
      </c>
      <c r="C365" s="205" t="s">
        <v>185</v>
      </c>
      <c r="D365" s="206" t="s">
        <v>46</v>
      </c>
      <c r="E365" s="200">
        <v>496000000</v>
      </c>
      <c r="F365" s="200">
        <v>19211106</v>
      </c>
      <c r="G365" s="200">
        <f t="shared" si="7"/>
        <v>206045351</v>
      </c>
      <c r="H365" s="200">
        <f t="shared" si="6"/>
        <v>289954649</v>
      </c>
      <c r="I365" s="201">
        <v>2.1</v>
      </c>
      <c r="J365" s="216" t="s">
        <v>296</v>
      </c>
      <c r="K365" s="311">
        <v>186834245</v>
      </c>
    </row>
    <row r="366" spans="1:11" ht="14.25" customHeight="1">
      <c r="A366" s="215"/>
      <c r="B366" s="206">
        <v>11</v>
      </c>
      <c r="C366" s="205" t="s">
        <v>189</v>
      </c>
      <c r="D366" s="206" t="s">
        <v>47</v>
      </c>
      <c r="E366" s="200">
        <v>448000000</v>
      </c>
      <c r="F366" s="200">
        <v>18929106</v>
      </c>
      <c r="G366" s="200">
        <f t="shared" si="7"/>
        <v>188872483</v>
      </c>
      <c r="H366" s="200">
        <f t="shared" si="6"/>
        <v>259127517</v>
      </c>
      <c r="I366" s="201">
        <v>2</v>
      </c>
      <c r="J366" s="216" t="s">
        <v>48</v>
      </c>
      <c r="K366" s="311">
        <v>169943377</v>
      </c>
    </row>
    <row r="367" spans="1:11" ht="14.25" customHeight="1">
      <c r="A367" s="215"/>
      <c r="B367" s="206">
        <v>11</v>
      </c>
      <c r="C367" s="205" t="s">
        <v>185</v>
      </c>
      <c r="D367" s="206" t="s">
        <v>49</v>
      </c>
      <c r="E367" s="200">
        <v>593000000</v>
      </c>
      <c r="F367" s="200">
        <v>22561423</v>
      </c>
      <c r="G367" s="200">
        <f t="shared" si="7"/>
        <v>225115329</v>
      </c>
      <c r="H367" s="200">
        <f t="shared" si="6"/>
        <v>367884671</v>
      </c>
      <c r="I367" s="201">
        <v>2</v>
      </c>
      <c r="J367" s="216" t="s">
        <v>50</v>
      </c>
      <c r="K367" s="311">
        <v>202553906</v>
      </c>
    </row>
    <row r="368" spans="1:11" ht="14.25" customHeight="1">
      <c r="A368" s="215"/>
      <c r="B368" s="206">
        <v>12</v>
      </c>
      <c r="C368" s="205" t="s">
        <v>189</v>
      </c>
      <c r="D368" s="206" t="s">
        <v>297</v>
      </c>
      <c r="E368" s="200">
        <v>1584000000</v>
      </c>
      <c r="F368" s="200">
        <v>66248733</v>
      </c>
      <c r="G368" s="200">
        <f t="shared" si="7"/>
        <v>615952365</v>
      </c>
      <c r="H368" s="200">
        <f t="shared" si="6"/>
        <v>968047635</v>
      </c>
      <c r="I368" s="201">
        <v>1.65</v>
      </c>
      <c r="J368" s="216" t="s">
        <v>296</v>
      </c>
      <c r="K368" s="311">
        <v>549703632</v>
      </c>
    </row>
    <row r="369" spans="1:12" ht="14.25" customHeight="1">
      <c r="A369" s="215"/>
      <c r="B369" s="206">
        <v>13</v>
      </c>
      <c r="C369" s="205" t="s">
        <v>189</v>
      </c>
      <c r="D369" s="206" t="s">
        <v>51</v>
      </c>
      <c r="E369" s="200">
        <v>579000000</v>
      </c>
      <c r="F369" s="200">
        <v>23328103</v>
      </c>
      <c r="G369" s="200">
        <f t="shared" si="7"/>
        <v>192666180</v>
      </c>
      <c r="H369" s="200">
        <f t="shared" si="6"/>
        <v>386333820</v>
      </c>
      <c r="I369" s="201">
        <v>2.2000000000000002</v>
      </c>
      <c r="J369" s="216" t="s">
        <v>50</v>
      </c>
      <c r="K369" s="311">
        <v>169338077</v>
      </c>
    </row>
    <row r="370" spans="1:12" ht="14.25" customHeight="1">
      <c r="A370" s="215"/>
      <c r="B370" s="206">
        <v>14</v>
      </c>
      <c r="C370" s="205" t="s">
        <v>189</v>
      </c>
      <c r="D370" s="206" t="s">
        <v>53</v>
      </c>
      <c r="E370" s="200">
        <v>1009000000</v>
      </c>
      <c r="F370" s="200">
        <v>41500183</v>
      </c>
      <c r="G370" s="200">
        <f t="shared" si="7"/>
        <v>317420482</v>
      </c>
      <c r="H370" s="200">
        <f t="shared" si="6"/>
        <v>691579518</v>
      </c>
      <c r="I370" s="201">
        <v>1.3</v>
      </c>
      <c r="J370" s="216" t="s">
        <v>54</v>
      </c>
      <c r="K370" s="311">
        <v>275920299</v>
      </c>
    </row>
    <row r="371" spans="1:12" ht="14.25" customHeight="1">
      <c r="A371" s="215"/>
      <c r="B371" s="206">
        <v>15</v>
      </c>
      <c r="C371" s="205" t="s">
        <v>189</v>
      </c>
      <c r="D371" s="206" t="s">
        <v>55</v>
      </c>
      <c r="E371" s="200">
        <v>870000000</v>
      </c>
      <c r="F371" s="200">
        <v>34144196</v>
      </c>
      <c r="G371" s="200">
        <f t="shared" si="7"/>
        <v>225989126</v>
      </c>
      <c r="H371" s="200">
        <f t="shared" si="6"/>
        <v>644010874</v>
      </c>
      <c r="I371" s="201">
        <v>1.9</v>
      </c>
      <c r="J371" s="216" t="s">
        <v>56</v>
      </c>
      <c r="K371" s="311">
        <v>191844930</v>
      </c>
    </row>
    <row r="372" spans="1:12" ht="14.25" customHeight="1">
      <c r="A372" s="215"/>
      <c r="B372" s="206">
        <v>16</v>
      </c>
      <c r="C372" s="205" t="s">
        <v>189</v>
      </c>
      <c r="D372" s="206" t="s">
        <v>57</v>
      </c>
      <c r="E372" s="200">
        <v>693000000</v>
      </c>
      <c r="F372" s="200">
        <v>26327395</v>
      </c>
      <c r="G372" s="200">
        <f t="shared" si="7"/>
        <v>150021641</v>
      </c>
      <c r="H372" s="200">
        <f t="shared" si="6"/>
        <v>542978359</v>
      </c>
      <c r="I372" s="201">
        <v>2.1</v>
      </c>
      <c r="J372" s="216" t="s">
        <v>58</v>
      </c>
      <c r="K372" s="311">
        <v>123694246</v>
      </c>
    </row>
    <row r="373" spans="1:12" ht="14.25" customHeight="1">
      <c r="A373" s="203"/>
      <c r="B373" s="204">
        <v>17</v>
      </c>
      <c r="C373" s="205" t="s">
        <v>189</v>
      </c>
      <c r="D373" s="206" t="s">
        <v>59</v>
      </c>
      <c r="E373" s="200">
        <v>362000000</v>
      </c>
      <c r="F373" s="200">
        <v>0</v>
      </c>
      <c r="G373" s="200">
        <f t="shared" si="7"/>
        <v>362000000</v>
      </c>
      <c r="H373" s="200">
        <f t="shared" si="6"/>
        <v>0</v>
      </c>
      <c r="I373" s="201">
        <v>2.0499999999999998</v>
      </c>
      <c r="J373" s="202" t="s">
        <v>60</v>
      </c>
      <c r="K373" s="311">
        <v>362000000</v>
      </c>
    </row>
    <row r="374" spans="1:12" ht="14.25" customHeight="1">
      <c r="A374" s="203"/>
      <c r="B374" s="204">
        <v>17</v>
      </c>
      <c r="C374" s="205" t="s">
        <v>189</v>
      </c>
      <c r="D374" s="206" t="s">
        <v>59</v>
      </c>
      <c r="E374" s="200">
        <v>977000000</v>
      </c>
      <c r="F374" s="200">
        <v>0</v>
      </c>
      <c r="G374" s="200">
        <f t="shared" si="7"/>
        <v>977000000</v>
      </c>
      <c r="H374" s="200">
        <f t="shared" si="6"/>
        <v>0</v>
      </c>
      <c r="I374" s="201">
        <v>2.0499999999999998</v>
      </c>
      <c r="J374" s="202" t="s">
        <v>61</v>
      </c>
      <c r="K374" s="311">
        <v>977000000</v>
      </c>
    </row>
    <row r="375" spans="1:12" ht="14.25" customHeight="1">
      <c r="A375" s="203"/>
      <c r="B375" s="204">
        <v>17</v>
      </c>
      <c r="C375" s="205" t="s">
        <v>189</v>
      </c>
      <c r="D375" s="206" t="s">
        <v>62</v>
      </c>
      <c r="E375" s="200">
        <v>1135000000</v>
      </c>
      <c r="F375" s="200">
        <v>42559006</v>
      </c>
      <c r="G375" s="200">
        <f t="shared" si="7"/>
        <v>204572834</v>
      </c>
      <c r="H375" s="200">
        <f t="shared" si="6"/>
        <v>930427166</v>
      </c>
      <c r="I375" s="201">
        <v>2</v>
      </c>
      <c r="J375" s="202" t="s">
        <v>63</v>
      </c>
      <c r="K375" s="312">
        <v>162013828</v>
      </c>
    </row>
    <row r="376" spans="1:12" ht="14.25" customHeight="1">
      <c r="A376" s="203"/>
      <c r="B376" s="204">
        <v>18</v>
      </c>
      <c r="C376" s="205" t="s">
        <v>189</v>
      </c>
      <c r="D376" s="204" t="s">
        <v>64</v>
      </c>
      <c r="E376" s="200">
        <v>392300000</v>
      </c>
      <c r="F376" s="200">
        <v>0</v>
      </c>
      <c r="G376" s="200">
        <f t="shared" si="7"/>
        <v>392300000</v>
      </c>
      <c r="H376" s="200">
        <f t="shared" si="6"/>
        <v>0</v>
      </c>
      <c r="I376" s="201">
        <v>2.5499999999999998</v>
      </c>
      <c r="J376" s="202" t="s">
        <v>65</v>
      </c>
      <c r="K376" s="311">
        <v>392300000</v>
      </c>
    </row>
    <row r="377" spans="1:12" ht="14.25" customHeight="1">
      <c r="A377" s="203"/>
      <c r="B377" s="204">
        <v>18</v>
      </c>
      <c r="C377" s="205" t="s">
        <v>189</v>
      </c>
      <c r="D377" s="204" t="s">
        <v>64</v>
      </c>
      <c r="E377" s="200">
        <v>1195300000</v>
      </c>
      <c r="F377" s="200">
        <v>0</v>
      </c>
      <c r="G377" s="200">
        <f t="shared" si="7"/>
        <v>1195300000</v>
      </c>
      <c r="H377" s="200">
        <f t="shared" si="6"/>
        <v>0</v>
      </c>
      <c r="I377" s="201">
        <v>2.5499999999999998</v>
      </c>
      <c r="J377" s="202" t="s">
        <v>66</v>
      </c>
      <c r="K377" s="311">
        <v>1195300000</v>
      </c>
    </row>
    <row r="378" spans="1:12" ht="14.25" customHeight="1">
      <c r="A378" s="203"/>
      <c r="B378" s="204">
        <v>18</v>
      </c>
      <c r="C378" s="205" t="s">
        <v>189</v>
      </c>
      <c r="D378" s="204" t="s">
        <v>347</v>
      </c>
      <c r="E378" s="200">
        <v>1109000000</v>
      </c>
      <c r="F378" s="200">
        <v>40407403</v>
      </c>
      <c r="G378" s="200">
        <f t="shared" si="7"/>
        <v>156686081</v>
      </c>
      <c r="H378" s="200">
        <f t="shared" si="6"/>
        <v>952313919</v>
      </c>
      <c r="I378" s="201">
        <v>2.1</v>
      </c>
      <c r="J378" s="202" t="s">
        <v>344</v>
      </c>
      <c r="K378" s="311">
        <v>116278678</v>
      </c>
    </row>
    <row r="379" spans="1:12" ht="14.25" customHeight="1">
      <c r="A379" s="203"/>
      <c r="B379" s="204">
        <v>19</v>
      </c>
      <c r="C379" s="205" t="s">
        <v>495</v>
      </c>
      <c r="D379" s="204" t="s">
        <v>67</v>
      </c>
      <c r="E379" s="200">
        <v>417100000</v>
      </c>
      <c r="F379" s="200">
        <v>0</v>
      </c>
      <c r="G379" s="200">
        <f t="shared" si="7"/>
        <v>417100000</v>
      </c>
      <c r="H379" s="200">
        <f t="shared" si="6"/>
        <v>0</v>
      </c>
      <c r="I379" s="201">
        <v>2.4</v>
      </c>
      <c r="J379" s="202" t="s">
        <v>65</v>
      </c>
      <c r="K379" s="311">
        <v>417100000</v>
      </c>
    </row>
    <row r="380" spans="1:12" ht="14.25" customHeight="1">
      <c r="A380" s="203"/>
      <c r="B380" s="204">
        <v>19</v>
      </c>
      <c r="C380" s="205" t="s">
        <v>495</v>
      </c>
      <c r="D380" s="204" t="s">
        <v>67</v>
      </c>
      <c r="E380" s="200">
        <v>213300000</v>
      </c>
      <c r="F380" s="200">
        <v>0</v>
      </c>
      <c r="G380" s="200">
        <f t="shared" si="7"/>
        <v>213300000</v>
      </c>
      <c r="H380" s="200">
        <f t="shared" si="6"/>
        <v>0</v>
      </c>
      <c r="I380" s="201">
        <v>2.4</v>
      </c>
      <c r="J380" s="202" t="s">
        <v>69</v>
      </c>
      <c r="K380" s="311">
        <v>213300000</v>
      </c>
    </row>
    <row r="381" spans="1:12" ht="14.25" customHeight="1">
      <c r="A381" s="203"/>
      <c r="B381" s="204">
        <v>19</v>
      </c>
      <c r="C381" s="205" t="s">
        <v>495</v>
      </c>
      <c r="D381" s="204" t="s">
        <v>632</v>
      </c>
      <c r="E381" s="200">
        <v>1129000000</v>
      </c>
      <c r="F381" s="200">
        <v>40483628</v>
      </c>
      <c r="G381" s="200">
        <f t="shared" si="7"/>
        <v>119015405</v>
      </c>
      <c r="H381" s="200">
        <f t="shared" si="6"/>
        <v>1009984595</v>
      </c>
      <c r="I381" s="201">
        <v>2.0499999999999998</v>
      </c>
      <c r="J381" s="202" t="s">
        <v>661</v>
      </c>
      <c r="K381" s="311">
        <v>78531777</v>
      </c>
    </row>
    <row r="382" spans="1:12" ht="14.25" customHeight="1">
      <c r="A382" s="203"/>
      <c r="B382" s="204">
        <v>20</v>
      </c>
      <c r="C382" s="217" t="s">
        <v>695</v>
      </c>
      <c r="D382" s="204" t="s">
        <v>624</v>
      </c>
      <c r="E382" s="200">
        <v>1276000000</v>
      </c>
      <c r="F382" s="200">
        <v>45560142</v>
      </c>
      <c r="G382" s="200">
        <f t="shared" si="7"/>
        <v>90266823</v>
      </c>
      <c r="H382" s="200">
        <f t="shared" si="6"/>
        <v>1185733177</v>
      </c>
      <c r="I382" s="201">
        <v>1.9</v>
      </c>
      <c r="J382" s="202" t="s">
        <v>662</v>
      </c>
      <c r="K382" s="311">
        <v>44706681</v>
      </c>
      <c r="L382" s="256">
        <v>1231293319</v>
      </c>
    </row>
    <row r="383" spans="1:12" ht="14.25" customHeight="1">
      <c r="A383" s="299"/>
      <c r="B383" s="204">
        <v>21</v>
      </c>
      <c r="C383" s="205" t="s">
        <v>345</v>
      </c>
      <c r="D383" s="204" t="s">
        <v>808</v>
      </c>
      <c r="E383" s="200">
        <v>1020000000</v>
      </c>
      <c r="F383" s="200">
        <v>31395823</v>
      </c>
      <c r="G383" s="200">
        <f>'25.企業債（23決算）'!G383+'25.企業債（2７決算） '!F383</f>
        <v>31395823</v>
      </c>
      <c r="H383" s="200">
        <f t="shared" si="6"/>
        <v>988604177</v>
      </c>
      <c r="I383" s="201">
        <v>2.1</v>
      </c>
      <c r="J383" s="202" t="s">
        <v>696</v>
      </c>
      <c r="K383" s="311">
        <v>0</v>
      </c>
      <c r="L383" s="267"/>
    </row>
    <row r="384" spans="1:12" ht="14.25" customHeight="1">
      <c r="A384" s="203"/>
      <c r="B384" s="204">
        <v>22</v>
      </c>
      <c r="C384" s="205" t="s">
        <v>345</v>
      </c>
      <c r="D384" s="204" t="s">
        <v>887</v>
      </c>
      <c r="E384" s="200">
        <v>751000000</v>
      </c>
      <c r="F384" s="200">
        <v>0</v>
      </c>
      <c r="G384" s="200">
        <v>0</v>
      </c>
      <c r="H384" s="200">
        <f t="shared" si="6"/>
        <v>751000000</v>
      </c>
      <c r="I384" s="201">
        <v>1.9</v>
      </c>
      <c r="J384" s="202" t="s">
        <v>888</v>
      </c>
      <c r="K384" s="311">
        <v>0</v>
      </c>
    </row>
    <row r="385" spans="1:11" ht="17.25" customHeight="1">
      <c r="A385" s="219" t="s">
        <v>376</v>
      </c>
      <c r="B385" s="220" t="s">
        <v>173</v>
      </c>
      <c r="C385" s="221" t="s">
        <v>173</v>
      </c>
      <c r="D385" s="222"/>
      <c r="E385" s="245">
        <f>SUM(E292:E344,E349:E384)</f>
        <v>69239000000</v>
      </c>
      <c r="F385" s="245">
        <f>SUM(F292:F344,F349:F384)</f>
        <v>728424213</v>
      </c>
      <c r="G385" s="245">
        <f>SUM(G292:G344,G349:G384)</f>
        <v>57498414414</v>
      </c>
      <c r="H385" s="245">
        <f>SUM(H292:H344,H349:H384)</f>
        <v>11740585586</v>
      </c>
      <c r="I385" s="223"/>
      <c r="J385" s="224" t="s">
        <v>173</v>
      </c>
      <c r="K385" s="311">
        <v>56264113553</v>
      </c>
    </row>
    <row r="386" spans="1:11" ht="14.25" customHeight="1">
      <c r="A386" s="215" t="s">
        <v>298</v>
      </c>
      <c r="B386" s="206" t="s">
        <v>70</v>
      </c>
      <c r="C386" s="205" t="s">
        <v>180</v>
      </c>
      <c r="D386" s="206" t="s">
        <v>71</v>
      </c>
      <c r="E386" s="200">
        <v>299000000</v>
      </c>
      <c r="F386" s="200">
        <v>0</v>
      </c>
      <c r="G386" s="200">
        <v>299000000</v>
      </c>
      <c r="H386" s="200">
        <f t="shared" si="6"/>
        <v>0</v>
      </c>
      <c r="I386" s="213">
        <v>8</v>
      </c>
      <c r="J386" s="214" t="s">
        <v>217</v>
      </c>
      <c r="K386" s="312"/>
    </row>
    <row r="387" spans="1:11" ht="14.25" customHeight="1">
      <c r="A387" s="203" t="s">
        <v>182</v>
      </c>
      <c r="B387" s="204">
        <v>54</v>
      </c>
      <c r="C387" s="263" t="s">
        <v>180</v>
      </c>
      <c r="D387" s="206" t="s">
        <v>72</v>
      </c>
      <c r="E387" s="200">
        <v>535000000</v>
      </c>
      <c r="F387" s="200">
        <v>0</v>
      </c>
      <c r="G387" s="200">
        <v>535000000</v>
      </c>
      <c r="H387" s="200">
        <f t="shared" si="6"/>
        <v>0</v>
      </c>
      <c r="I387" s="201">
        <v>8.1</v>
      </c>
      <c r="J387" s="202" t="s">
        <v>223</v>
      </c>
    </row>
    <row r="388" spans="1:11" ht="14.25" customHeight="1">
      <c r="A388" s="203"/>
      <c r="B388" s="204">
        <v>55</v>
      </c>
      <c r="C388" s="263" t="s">
        <v>180</v>
      </c>
      <c r="D388" s="206" t="s">
        <v>73</v>
      </c>
      <c r="E388" s="200">
        <v>640000000</v>
      </c>
      <c r="F388" s="200">
        <v>0</v>
      </c>
      <c r="G388" s="200">
        <v>640000000</v>
      </c>
      <c r="H388" s="200">
        <f t="shared" si="6"/>
        <v>0</v>
      </c>
      <c r="I388" s="201">
        <v>7.8</v>
      </c>
      <c r="J388" s="202" t="s">
        <v>227</v>
      </c>
    </row>
    <row r="389" spans="1:11" ht="17.25" customHeight="1">
      <c r="A389" s="219" t="s">
        <v>376</v>
      </c>
      <c r="B389" s="220" t="s">
        <v>173</v>
      </c>
      <c r="C389" s="221" t="s">
        <v>173</v>
      </c>
      <c r="D389" s="222" t="s">
        <v>173</v>
      </c>
      <c r="E389" s="245">
        <f>SUM(E386:E388)</f>
        <v>1474000000</v>
      </c>
      <c r="F389" s="245">
        <f>SUM(F386:F388)</f>
        <v>0</v>
      </c>
      <c r="G389" s="245">
        <f>SUM(G386:G388)</f>
        <v>1474000000</v>
      </c>
      <c r="H389" s="245">
        <f>SUM(H386:H388)</f>
        <v>0</v>
      </c>
      <c r="I389" s="223"/>
      <c r="J389" s="224" t="s">
        <v>173</v>
      </c>
    </row>
    <row r="390" spans="1:11" ht="14.25" customHeight="1">
      <c r="A390" s="209" t="s">
        <v>299</v>
      </c>
      <c r="B390" s="211" t="s">
        <v>74</v>
      </c>
      <c r="C390" s="249" t="s">
        <v>189</v>
      </c>
      <c r="D390" s="211" t="s">
        <v>75</v>
      </c>
      <c r="E390" s="250">
        <v>440000000</v>
      </c>
      <c r="F390" s="200">
        <v>0</v>
      </c>
      <c r="G390" s="200">
        <v>440000000</v>
      </c>
      <c r="H390" s="200">
        <f t="shared" si="6"/>
        <v>0</v>
      </c>
      <c r="I390" s="213">
        <v>4.45</v>
      </c>
      <c r="J390" s="121" t="s">
        <v>1710</v>
      </c>
      <c r="K390" s="311">
        <v>440000000</v>
      </c>
    </row>
    <row r="391" spans="1:11" ht="14.25" customHeight="1">
      <c r="A391" s="203" t="s">
        <v>182</v>
      </c>
      <c r="B391" s="206">
        <v>4</v>
      </c>
      <c r="C391" s="205" t="s">
        <v>185</v>
      </c>
      <c r="D391" s="206" t="s">
        <v>540</v>
      </c>
      <c r="E391" s="200">
        <v>660000000</v>
      </c>
      <c r="F391" s="200">
        <v>29496163</v>
      </c>
      <c r="G391" s="200">
        <f>K391+F391</f>
        <v>381364939</v>
      </c>
      <c r="H391" s="200">
        <f t="shared" si="6"/>
        <v>278635061</v>
      </c>
      <c r="I391" s="201">
        <v>3.65</v>
      </c>
      <c r="J391" s="202" t="s">
        <v>286</v>
      </c>
      <c r="K391" s="311">
        <v>351868776</v>
      </c>
    </row>
    <row r="392" spans="1:11" ht="14.25" customHeight="1">
      <c r="A392" s="203"/>
      <c r="B392" s="206">
        <v>5</v>
      </c>
      <c r="C392" s="205" t="s">
        <v>189</v>
      </c>
      <c r="D392" s="206" t="s">
        <v>540</v>
      </c>
      <c r="E392" s="200">
        <v>650000000</v>
      </c>
      <c r="F392" s="200">
        <v>32963181</v>
      </c>
      <c r="G392" s="200">
        <f t="shared" ref="G392:G406" si="8">K392+F392</f>
        <v>424701389</v>
      </c>
      <c r="H392" s="200">
        <f t="shared" si="6"/>
        <v>225298611</v>
      </c>
      <c r="I392" s="201">
        <v>3.7</v>
      </c>
      <c r="J392" s="202" t="s">
        <v>282</v>
      </c>
      <c r="K392" s="311">
        <v>391738208</v>
      </c>
    </row>
    <row r="393" spans="1:11" ht="14.25" customHeight="1">
      <c r="A393" s="203"/>
      <c r="B393" s="206">
        <v>5</v>
      </c>
      <c r="C393" s="205" t="s">
        <v>185</v>
      </c>
      <c r="D393" s="206" t="s">
        <v>32</v>
      </c>
      <c r="E393" s="200">
        <v>650000000</v>
      </c>
      <c r="F393" s="200">
        <v>28955170</v>
      </c>
      <c r="G393" s="200">
        <f t="shared" si="8"/>
        <v>340382988</v>
      </c>
      <c r="H393" s="200">
        <f t="shared" si="6"/>
        <v>309617012</v>
      </c>
      <c r="I393" s="201">
        <v>4.75</v>
      </c>
      <c r="J393" s="216" t="s">
        <v>287</v>
      </c>
      <c r="K393" s="311">
        <v>311427818</v>
      </c>
    </row>
    <row r="394" spans="1:11" ht="14.25" customHeight="1">
      <c r="A394" s="203"/>
      <c r="B394" s="206">
        <v>6</v>
      </c>
      <c r="C394" s="205" t="s">
        <v>266</v>
      </c>
      <c r="D394" s="206" t="s">
        <v>34</v>
      </c>
      <c r="E394" s="200">
        <v>702000000</v>
      </c>
      <c r="F394" s="200">
        <v>0</v>
      </c>
      <c r="G394" s="200">
        <f t="shared" si="8"/>
        <v>702000000</v>
      </c>
      <c r="H394" s="200">
        <f t="shared" si="6"/>
        <v>0</v>
      </c>
      <c r="I394" s="201">
        <v>4.5</v>
      </c>
      <c r="J394" s="202" t="s">
        <v>244</v>
      </c>
      <c r="K394" s="311">
        <v>702000000</v>
      </c>
    </row>
    <row r="395" spans="1:11" ht="14.25" customHeight="1">
      <c r="A395" s="215"/>
      <c r="B395" s="206">
        <v>6</v>
      </c>
      <c r="C395" s="205" t="s">
        <v>189</v>
      </c>
      <c r="D395" s="206" t="s">
        <v>105</v>
      </c>
      <c r="E395" s="200">
        <v>1122000000</v>
      </c>
      <c r="F395" s="200">
        <v>0</v>
      </c>
      <c r="G395" s="200">
        <v>1122000000</v>
      </c>
      <c r="H395" s="200">
        <f t="shared" si="6"/>
        <v>0</v>
      </c>
      <c r="I395" s="201">
        <v>4.7</v>
      </c>
      <c r="J395" s="147" t="s">
        <v>1710</v>
      </c>
      <c r="K395" s="311">
        <v>1122000000</v>
      </c>
    </row>
    <row r="396" spans="1:11" ht="14.25" customHeight="1">
      <c r="A396" s="203"/>
      <c r="B396" s="206">
        <v>6</v>
      </c>
      <c r="C396" s="205" t="s">
        <v>185</v>
      </c>
      <c r="D396" s="206" t="s">
        <v>76</v>
      </c>
      <c r="E396" s="200">
        <v>1482000000</v>
      </c>
      <c r="F396" s="200">
        <v>62498246</v>
      </c>
      <c r="G396" s="200">
        <f t="shared" si="8"/>
        <v>779850448</v>
      </c>
      <c r="H396" s="200">
        <f t="shared" si="6"/>
        <v>702149552</v>
      </c>
      <c r="I396" s="201">
        <v>3.15</v>
      </c>
      <c r="J396" s="202" t="s">
        <v>293</v>
      </c>
      <c r="K396" s="311">
        <v>717352202</v>
      </c>
    </row>
    <row r="397" spans="1:11" ht="14.25" customHeight="1">
      <c r="A397" s="203"/>
      <c r="B397" s="206">
        <v>7</v>
      </c>
      <c r="C397" s="205" t="s">
        <v>189</v>
      </c>
      <c r="D397" s="206" t="s">
        <v>77</v>
      </c>
      <c r="E397" s="200">
        <v>3595000000</v>
      </c>
      <c r="F397" s="200">
        <v>168169140</v>
      </c>
      <c r="G397" s="200">
        <f t="shared" si="8"/>
        <v>2038934012</v>
      </c>
      <c r="H397" s="200">
        <f t="shared" si="6"/>
        <v>1556065988</v>
      </c>
      <c r="I397" s="201">
        <v>3.2</v>
      </c>
      <c r="J397" s="202" t="s">
        <v>286</v>
      </c>
      <c r="K397" s="311">
        <v>1870764872</v>
      </c>
    </row>
    <row r="398" spans="1:11" ht="14.25" customHeight="1">
      <c r="A398" s="203"/>
      <c r="B398" s="206">
        <v>7</v>
      </c>
      <c r="C398" s="205" t="s">
        <v>185</v>
      </c>
      <c r="D398" s="206" t="s">
        <v>40</v>
      </c>
      <c r="E398" s="200">
        <v>3195000000</v>
      </c>
      <c r="F398" s="200">
        <v>130607093</v>
      </c>
      <c r="G398" s="200">
        <f t="shared" si="8"/>
        <v>1570602869</v>
      </c>
      <c r="H398" s="200">
        <f t="shared" si="6"/>
        <v>1624397131</v>
      </c>
      <c r="I398" s="201">
        <v>2.9</v>
      </c>
      <c r="J398" s="216" t="s">
        <v>294</v>
      </c>
      <c r="K398" s="311">
        <v>1439995776</v>
      </c>
    </row>
    <row r="399" spans="1:11" ht="14.25" customHeight="1">
      <c r="A399" s="218"/>
      <c r="B399" s="204">
        <v>8</v>
      </c>
      <c r="C399" s="205" t="s">
        <v>189</v>
      </c>
      <c r="D399" s="204" t="s">
        <v>78</v>
      </c>
      <c r="E399" s="200">
        <v>4848000000</v>
      </c>
      <c r="F399" s="200">
        <v>219174619</v>
      </c>
      <c r="G399" s="200">
        <f t="shared" si="8"/>
        <v>2569538931</v>
      </c>
      <c r="H399" s="200">
        <f t="shared" si="6"/>
        <v>2278461069</v>
      </c>
      <c r="I399" s="201">
        <v>2.85</v>
      </c>
      <c r="J399" s="202" t="s">
        <v>287</v>
      </c>
      <c r="K399" s="311">
        <v>2350364312</v>
      </c>
    </row>
    <row r="400" spans="1:11" ht="14.25" customHeight="1">
      <c r="A400" s="218"/>
      <c r="B400" s="204">
        <v>8</v>
      </c>
      <c r="C400" s="205" t="s">
        <v>185</v>
      </c>
      <c r="D400" s="206" t="s">
        <v>79</v>
      </c>
      <c r="E400" s="200">
        <v>5118000000</v>
      </c>
      <c r="F400" s="200">
        <v>204540789</v>
      </c>
      <c r="G400" s="200">
        <f t="shared" si="8"/>
        <v>2431308860</v>
      </c>
      <c r="H400" s="200">
        <f t="shared" si="6"/>
        <v>2686691140</v>
      </c>
      <c r="I400" s="201">
        <v>2.1</v>
      </c>
      <c r="J400" s="216" t="s">
        <v>295</v>
      </c>
      <c r="K400" s="311">
        <v>2226768071</v>
      </c>
    </row>
    <row r="401" spans="1:11" ht="14.25" customHeight="1">
      <c r="A401" s="218"/>
      <c r="B401" s="206">
        <v>9</v>
      </c>
      <c r="C401" s="205" t="s">
        <v>189</v>
      </c>
      <c r="D401" s="206" t="s">
        <v>42</v>
      </c>
      <c r="E401" s="200">
        <v>3566000000</v>
      </c>
      <c r="F401" s="200">
        <v>156812346</v>
      </c>
      <c r="G401" s="200">
        <f t="shared" si="8"/>
        <v>1798821268</v>
      </c>
      <c r="H401" s="200">
        <f t="shared" si="6"/>
        <v>1767178732</v>
      </c>
      <c r="I401" s="201">
        <v>2.15</v>
      </c>
      <c r="J401" s="216" t="s">
        <v>293</v>
      </c>
      <c r="K401" s="311">
        <v>1642008922</v>
      </c>
    </row>
    <row r="402" spans="1:11" ht="14.25" customHeight="1">
      <c r="A402" s="218"/>
      <c r="B402" s="204">
        <v>9</v>
      </c>
      <c r="C402" s="205" t="s">
        <v>185</v>
      </c>
      <c r="D402" s="206" t="s">
        <v>44</v>
      </c>
      <c r="E402" s="200">
        <v>5348000000</v>
      </c>
      <c r="F402" s="200">
        <v>208981588</v>
      </c>
      <c r="G402" s="200">
        <f t="shared" si="8"/>
        <v>2310594954</v>
      </c>
      <c r="H402" s="200">
        <f t="shared" si="6"/>
        <v>3037405046</v>
      </c>
      <c r="I402" s="201">
        <v>2.2000000000000002</v>
      </c>
      <c r="J402" s="216" t="s">
        <v>296</v>
      </c>
      <c r="K402" s="311">
        <v>2101613366</v>
      </c>
    </row>
    <row r="403" spans="1:11" ht="14.25" customHeight="1">
      <c r="A403" s="218"/>
      <c r="B403" s="206">
        <v>10</v>
      </c>
      <c r="C403" s="205" t="s">
        <v>189</v>
      </c>
      <c r="D403" s="206" t="s">
        <v>45</v>
      </c>
      <c r="E403" s="200">
        <v>2758000000</v>
      </c>
      <c r="F403" s="200">
        <v>118769445</v>
      </c>
      <c r="G403" s="200">
        <f t="shared" si="8"/>
        <v>1273840869</v>
      </c>
      <c r="H403" s="200">
        <f t="shared" si="6"/>
        <v>1484159131</v>
      </c>
      <c r="I403" s="201">
        <v>2.1</v>
      </c>
      <c r="J403" s="216" t="s">
        <v>294</v>
      </c>
      <c r="K403" s="311">
        <v>1155071424</v>
      </c>
    </row>
    <row r="404" spans="1:11" ht="14.25" customHeight="1">
      <c r="A404" s="218"/>
      <c r="B404" s="206">
        <v>10</v>
      </c>
      <c r="C404" s="205" t="s">
        <v>185</v>
      </c>
      <c r="D404" s="206" t="s">
        <v>46</v>
      </c>
      <c r="E404" s="200">
        <v>3707000000</v>
      </c>
      <c r="F404" s="200">
        <v>143579779</v>
      </c>
      <c r="G404" s="200">
        <f t="shared" si="8"/>
        <v>1539939748</v>
      </c>
      <c r="H404" s="200">
        <f t="shared" si="6"/>
        <v>2167060252</v>
      </c>
      <c r="I404" s="201">
        <v>2.1</v>
      </c>
      <c r="J404" s="216" t="s">
        <v>296</v>
      </c>
      <c r="K404" s="311">
        <v>1396359969</v>
      </c>
    </row>
    <row r="405" spans="1:11" ht="14.25" customHeight="1">
      <c r="A405" s="218"/>
      <c r="B405" s="206">
        <v>11</v>
      </c>
      <c r="C405" s="205" t="s">
        <v>266</v>
      </c>
      <c r="D405" s="206" t="s">
        <v>84</v>
      </c>
      <c r="E405" s="200">
        <v>2000000000</v>
      </c>
      <c r="F405" s="200">
        <v>0</v>
      </c>
      <c r="G405" s="200">
        <f t="shared" si="8"/>
        <v>2000000000</v>
      </c>
      <c r="H405" s="200">
        <f t="shared" si="6"/>
        <v>0</v>
      </c>
      <c r="I405" s="201">
        <v>1.8</v>
      </c>
      <c r="J405" s="216" t="s">
        <v>60</v>
      </c>
      <c r="K405" s="311">
        <v>2000000000</v>
      </c>
    </row>
    <row r="406" spans="1:11" ht="14.25" customHeight="1" thickBot="1">
      <c r="A406" s="218"/>
      <c r="B406" s="206">
        <v>11</v>
      </c>
      <c r="C406" s="205" t="s">
        <v>189</v>
      </c>
      <c r="D406" s="206" t="s">
        <v>47</v>
      </c>
      <c r="E406" s="200">
        <v>1860000000</v>
      </c>
      <c r="F406" s="200">
        <v>78589593</v>
      </c>
      <c r="G406" s="200">
        <f t="shared" si="8"/>
        <v>784158076</v>
      </c>
      <c r="H406" s="200">
        <f t="shared" si="6"/>
        <v>1075841924</v>
      </c>
      <c r="I406" s="201">
        <v>2</v>
      </c>
      <c r="J406" s="216" t="s">
        <v>48</v>
      </c>
      <c r="K406" s="311">
        <v>705568483</v>
      </c>
    </row>
    <row r="407" spans="1:11" ht="9.75" customHeight="1" thickBot="1">
      <c r="A407" s="257"/>
      <c r="B407" s="258"/>
      <c r="C407" s="257"/>
      <c r="D407" s="258"/>
      <c r="E407" s="259"/>
      <c r="F407" s="259"/>
      <c r="G407" s="259"/>
      <c r="H407" s="259"/>
      <c r="I407" s="260"/>
      <c r="J407" s="261"/>
    </row>
    <row r="408" spans="1:11">
      <c r="A408" s="479" t="s">
        <v>26</v>
      </c>
      <c r="B408" s="481" t="s">
        <v>311</v>
      </c>
      <c r="C408" s="483" t="s">
        <v>27</v>
      </c>
      <c r="D408" s="481" t="s">
        <v>312</v>
      </c>
      <c r="E408" s="485" t="s">
        <v>28</v>
      </c>
      <c r="F408" s="487" t="s">
        <v>29</v>
      </c>
      <c r="G408" s="493"/>
      <c r="H408" s="489" t="s">
        <v>174</v>
      </c>
      <c r="I408" s="491" t="s">
        <v>30</v>
      </c>
      <c r="J408" s="477" t="s">
        <v>313</v>
      </c>
    </row>
    <row r="409" spans="1:11">
      <c r="A409" s="480"/>
      <c r="B409" s="482"/>
      <c r="C409" s="484"/>
      <c r="D409" s="482"/>
      <c r="E409" s="486"/>
      <c r="F409" s="207" t="s">
        <v>176</v>
      </c>
      <c r="G409" s="207" t="s">
        <v>305</v>
      </c>
      <c r="H409" s="490"/>
      <c r="I409" s="492"/>
      <c r="J409" s="478"/>
    </row>
    <row r="410" spans="1:11">
      <c r="A410" s="209"/>
      <c r="B410" s="210"/>
      <c r="C410" s="210"/>
      <c r="D410" s="211" t="s">
        <v>177</v>
      </c>
      <c r="E410" s="212" t="s">
        <v>178</v>
      </c>
      <c r="F410" s="212" t="s">
        <v>172</v>
      </c>
      <c r="G410" s="212" t="s">
        <v>178</v>
      </c>
      <c r="H410" s="212" t="s">
        <v>178</v>
      </c>
      <c r="I410" s="213" t="s">
        <v>31</v>
      </c>
      <c r="J410" s="214" t="s">
        <v>175</v>
      </c>
    </row>
    <row r="411" spans="1:11" ht="14.25" customHeight="1">
      <c r="A411" s="215" t="s">
        <v>299</v>
      </c>
      <c r="B411" s="204" t="s">
        <v>342</v>
      </c>
      <c r="C411" s="205" t="s">
        <v>185</v>
      </c>
      <c r="D411" s="206" t="s">
        <v>697</v>
      </c>
      <c r="E411" s="200">
        <v>2253000000</v>
      </c>
      <c r="F411" s="200">
        <v>85718189</v>
      </c>
      <c r="G411" s="200">
        <f>K411+F411</f>
        <v>855286403</v>
      </c>
      <c r="H411" s="200">
        <f t="shared" ref="H411:H426" si="9">E411-G411</f>
        <v>1397713597</v>
      </c>
      <c r="I411" s="201">
        <v>2</v>
      </c>
      <c r="J411" s="216" t="s">
        <v>50</v>
      </c>
      <c r="K411" s="311">
        <v>769568214</v>
      </c>
    </row>
    <row r="412" spans="1:11" ht="14.25" customHeight="1">
      <c r="A412" s="203" t="s">
        <v>182</v>
      </c>
      <c r="B412" s="206">
        <v>12</v>
      </c>
      <c r="C412" s="205" t="s">
        <v>266</v>
      </c>
      <c r="D412" s="206" t="s">
        <v>91</v>
      </c>
      <c r="E412" s="200">
        <v>1491000000</v>
      </c>
      <c r="F412" s="200">
        <v>0</v>
      </c>
      <c r="G412" s="200">
        <f t="shared" ref="G412:G424" si="10">K412+F412</f>
        <v>1491000000</v>
      </c>
      <c r="H412" s="200">
        <f t="shared" si="9"/>
        <v>0</v>
      </c>
      <c r="I412" s="201">
        <v>1.7</v>
      </c>
      <c r="J412" s="216" t="s">
        <v>61</v>
      </c>
      <c r="K412" s="311">
        <v>1491000000</v>
      </c>
    </row>
    <row r="413" spans="1:11" ht="14.25" customHeight="1">
      <c r="A413" s="215"/>
      <c r="B413" s="204">
        <v>12</v>
      </c>
      <c r="C413" s="205" t="s">
        <v>189</v>
      </c>
      <c r="D413" s="206" t="s">
        <v>93</v>
      </c>
      <c r="E413" s="200">
        <v>1785000000</v>
      </c>
      <c r="F413" s="200">
        <v>74655296</v>
      </c>
      <c r="G413" s="200">
        <f t="shared" si="10"/>
        <v>694112986</v>
      </c>
      <c r="H413" s="200">
        <f t="shared" si="9"/>
        <v>1090887014</v>
      </c>
      <c r="I413" s="201">
        <v>1.65</v>
      </c>
      <c r="J413" s="216" t="s">
        <v>94</v>
      </c>
      <c r="K413" s="311">
        <v>619457690</v>
      </c>
    </row>
    <row r="414" spans="1:11" ht="14.25" customHeight="1">
      <c r="A414" s="203"/>
      <c r="B414" s="206">
        <v>12</v>
      </c>
      <c r="C414" s="205" t="s">
        <v>164</v>
      </c>
      <c r="D414" s="206" t="s">
        <v>95</v>
      </c>
      <c r="E414" s="200">
        <v>1950000000</v>
      </c>
      <c r="F414" s="200">
        <v>73869897</v>
      </c>
      <c r="G414" s="200">
        <f t="shared" si="10"/>
        <v>688299699</v>
      </c>
      <c r="H414" s="200">
        <f t="shared" si="9"/>
        <v>1261700301</v>
      </c>
      <c r="I414" s="201">
        <v>1.6</v>
      </c>
      <c r="J414" s="216" t="s">
        <v>54</v>
      </c>
      <c r="K414" s="311">
        <v>614429802</v>
      </c>
    </row>
    <row r="415" spans="1:11" ht="14.25" customHeight="1">
      <c r="A415" s="203"/>
      <c r="B415" s="206">
        <v>13</v>
      </c>
      <c r="C415" s="205" t="s">
        <v>189</v>
      </c>
      <c r="D415" s="206" t="s">
        <v>51</v>
      </c>
      <c r="E415" s="200">
        <v>2831000000</v>
      </c>
      <c r="F415" s="200">
        <v>114061933</v>
      </c>
      <c r="G415" s="200">
        <f t="shared" si="10"/>
        <v>942034472</v>
      </c>
      <c r="H415" s="200">
        <f t="shared" si="9"/>
        <v>1888965528</v>
      </c>
      <c r="I415" s="201">
        <v>2.2000000000000002</v>
      </c>
      <c r="J415" s="216" t="s">
        <v>50</v>
      </c>
      <c r="K415" s="311">
        <v>827972539</v>
      </c>
    </row>
    <row r="416" spans="1:11" ht="14.25" customHeight="1">
      <c r="A416" s="203"/>
      <c r="B416" s="206">
        <v>13</v>
      </c>
      <c r="C416" s="205" t="s">
        <v>164</v>
      </c>
      <c r="D416" s="206" t="s">
        <v>98</v>
      </c>
      <c r="E416" s="200">
        <v>2948000000</v>
      </c>
      <c r="F416" s="200">
        <v>106705307</v>
      </c>
      <c r="G416" s="200">
        <f t="shared" si="10"/>
        <v>881276292</v>
      </c>
      <c r="H416" s="200">
        <f t="shared" si="9"/>
        <v>2066723708</v>
      </c>
      <c r="I416" s="201">
        <v>2.2000000000000002</v>
      </c>
      <c r="J416" s="216" t="s">
        <v>56</v>
      </c>
      <c r="K416" s="311">
        <v>774570985</v>
      </c>
    </row>
    <row r="417" spans="1:11" ht="14.25" customHeight="1">
      <c r="A417" s="203"/>
      <c r="B417" s="206">
        <v>14</v>
      </c>
      <c r="C417" s="205" t="s">
        <v>164</v>
      </c>
      <c r="D417" s="206" t="s">
        <v>53</v>
      </c>
      <c r="E417" s="200">
        <v>519000000</v>
      </c>
      <c r="F417" s="200">
        <v>19481951</v>
      </c>
      <c r="G417" s="200">
        <f t="shared" si="10"/>
        <v>149520159</v>
      </c>
      <c r="H417" s="200">
        <f t="shared" si="9"/>
        <v>369479841</v>
      </c>
      <c r="I417" s="201">
        <v>1.2</v>
      </c>
      <c r="J417" s="216" t="s">
        <v>58</v>
      </c>
      <c r="K417" s="311">
        <v>130038208</v>
      </c>
    </row>
    <row r="418" spans="1:11" ht="14.25" customHeight="1">
      <c r="A418" s="203"/>
      <c r="B418" s="204">
        <v>14</v>
      </c>
      <c r="C418" s="205" t="s">
        <v>189</v>
      </c>
      <c r="D418" s="206" t="s">
        <v>53</v>
      </c>
      <c r="E418" s="200">
        <v>2551000000</v>
      </c>
      <c r="F418" s="200">
        <v>104922662</v>
      </c>
      <c r="G418" s="200">
        <f t="shared" si="10"/>
        <v>802516991</v>
      </c>
      <c r="H418" s="200">
        <f t="shared" si="9"/>
        <v>1748483009</v>
      </c>
      <c r="I418" s="201">
        <v>1.3</v>
      </c>
      <c r="J418" s="216" t="s">
        <v>54</v>
      </c>
      <c r="K418" s="311">
        <v>697594329</v>
      </c>
    </row>
    <row r="419" spans="1:11" ht="14.25" customHeight="1">
      <c r="A419" s="203"/>
      <c r="B419" s="206">
        <v>15</v>
      </c>
      <c r="C419" s="205" t="s">
        <v>189</v>
      </c>
      <c r="D419" s="206" t="s">
        <v>55</v>
      </c>
      <c r="E419" s="200">
        <v>992000000</v>
      </c>
      <c r="F419" s="200">
        <v>38932232</v>
      </c>
      <c r="G419" s="200">
        <f t="shared" si="10"/>
        <v>257679555</v>
      </c>
      <c r="H419" s="200">
        <f t="shared" si="9"/>
        <v>734320445</v>
      </c>
      <c r="I419" s="201">
        <v>1.9</v>
      </c>
      <c r="J419" s="216" t="s">
        <v>56</v>
      </c>
      <c r="K419" s="311">
        <v>218747323</v>
      </c>
    </row>
    <row r="420" spans="1:11" ht="14.25" customHeight="1">
      <c r="A420" s="203"/>
      <c r="B420" s="206">
        <v>16</v>
      </c>
      <c r="C420" s="205" t="s">
        <v>189</v>
      </c>
      <c r="D420" s="206" t="s">
        <v>57</v>
      </c>
      <c r="E420" s="200">
        <v>235000000</v>
      </c>
      <c r="F420" s="200">
        <v>8927760</v>
      </c>
      <c r="G420" s="200">
        <f t="shared" si="10"/>
        <v>50873140</v>
      </c>
      <c r="H420" s="200">
        <f t="shared" si="9"/>
        <v>184126860</v>
      </c>
      <c r="I420" s="201">
        <v>2.1</v>
      </c>
      <c r="J420" s="216" t="s">
        <v>58</v>
      </c>
      <c r="K420" s="311">
        <v>41945380</v>
      </c>
    </row>
    <row r="421" spans="1:11" ht="14.25" customHeight="1">
      <c r="A421" s="203"/>
      <c r="B421" s="206">
        <v>17</v>
      </c>
      <c r="C421" s="205" t="s">
        <v>189</v>
      </c>
      <c r="D421" s="206" t="s">
        <v>62</v>
      </c>
      <c r="E421" s="200">
        <v>100000000</v>
      </c>
      <c r="F421" s="200">
        <v>3749692</v>
      </c>
      <c r="G421" s="200">
        <f t="shared" si="10"/>
        <v>18024039</v>
      </c>
      <c r="H421" s="200">
        <f t="shared" si="9"/>
        <v>81975961</v>
      </c>
      <c r="I421" s="201">
        <v>2</v>
      </c>
      <c r="J421" s="216" t="s">
        <v>63</v>
      </c>
      <c r="K421" s="311">
        <v>14274347</v>
      </c>
    </row>
    <row r="422" spans="1:11" ht="14.25" customHeight="1">
      <c r="A422" s="203"/>
      <c r="B422" s="206">
        <v>18</v>
      </c>
      <c r="C422" s="205" t="s">
        <v>189</v>
      </c>
      <c r="D422" s="206" t="s">
        <v>347</v>
      </c>
      <c r="E422" s="200">
        <v>259000000</v>
      </c>
      <c r="F422" s="200">
        <v>9436895</v>
      </c>
      <c r="G422" s="200">
        <f t="shared" si="10"/>
        <v>36593052</v>
      </c>
      <c r="H422" s="200">
        <f t="shared" si="9"/>
        <v>222406948</v>
      </c>
      <c r="I422" s="201">
        <v>2.1</v>
      </c>
      <c r="J422" s="216" t="s">
        <v>344</v>
      </c>
      <c r="K422" s="311">
        <v>27156157</v>
      </c>
    </row>
    <row r="423" spans="1:11" ht="14.25" customHeight="1">
      <c r="A423" s="203"/>
      <c r="B423" s="206">
        <v>19</v>
      </c>
      <c r="C423" s="205" t="s">
        <v>495</v>
      </c>
      <c r="D423" s="204" t="s">
        <v>632</v>
      </c>
      <c r="E423" s="200">
        <v>63000000</v>
      </c>
      <c r="F423" s="200">
        <v>2259051</v>
      </c>
      <c r="G423" s="200">
        <f t="shared" si="10"/>
        <v>6641249</v>
      </c>
      <c r="H423" s="200">
        <f t="shared" si="9"/>
        <v>56358751</v>
      </c>
      <c r="I423" s="201">
        <v>2.0499999999999998</v>
      </c>
      <c r="J423" s="202" t="s">
        <v>661</v>
      </c>
      <c r="K423" s="311">
        <v>4382198</v>
      </c>
    </row>
    <row r="424" spans="1:11" ht="14.25" customHeight="1">
      <c r="A424" s="203"/>
      <c r="B424" s="206">
        <v>20</v>
      </c>
      <c r="C424" s="217" t="s">
        <v>695</v>
      </c>
      <c r="D424" s="204" t="s">
        <v>624</v>
      </c>
      <c r="E424" s="200">
        <v>55000000</v>
      </c>
      <c r="F424" s="200">
        <v>1963800</v>
      </c>
      <c r="G424" s="200">
        <f t="shared" si="10"/>
        <v>3890812</v>
      </c>
      <c r="H424" s="200">
        <f t="shared" si="9"/>
        <v>51109188</v>
      </c>
      <c r="I424" s="201">
        <v>1.9</v>
      </c>
      <c r="J424" s="202" t="s">
        <v>662</v>
      </c>
      <c r="K424" s="311">
        <v>1927012</v>
      </c>
    </row>
    <row r="425" spans="1:11" ht="14.25" customHeight="1">
      <c r="A425" s="299"/>
      <c r="B425" s="206">
        <v>21</v>
      </c>
      <c r="C425" s="217" t="s">
        <v>698</v>
      </c>
      <c r="D425" s="204" t="s">
        <v>808</v>
      </c>
      <c r="E425" s="200">
        <v>19000000</v>
      </c>
      <c r="F425" s="200">
        <v>584824</v>
      </c>
      <c r="G425" s="200">
        <f>'25.企業債（23決算）'!G425+'25.企業債（2７決算） '!F425</f>
        <v>584824</v>
      </c>
      <c r="H425" s="200">
        <f t="shared" si="9"/>
        <v>18415176</v>
      </c>
      <c r="I425" s="201">
        <v>2.1</v>
      </c>
      <c r="J425" s="202" t="s">
        <v>696</v>
      </c>
      <c r="K425" s="311">
        <v>0</v>
      </c>
    </row>
    <row r="426" spans="1:11" ht="14.25" customHeight="1">
      <c r="A426" s="203"/>
      <c r="B426" s="206">
        <v>22</v>
      </c>
      <c r="C426" s="217" t="s">
        <v>886</v>
      </c>
      <c r="D426" s="204" t="s">
        <v>887</v>
      </c>
      <c r="E426" s="200">
        <v>4000000</v>
      </c>
      <c r="F426" s="200">
        <v>0</v>
      </c>
      <c r="G426" s="200">
        <f>'25.企業債（23決算）'!G426+'25.企業債（2７決算） '!F426</f>
        <v>0</v>
      </c>
      <c r="H426" s="200">
        <f t="shared" si="9"/>
        <v>4000000</v>
      </c>
      <c r="I426" s="201">
        <v>1.9</v>
      </c>
      <c r="J426" s="202" t="s">
        <v>888</v>
      </c>
      <c r="K426" s="311">
        <v>0</v>
      </c>
    </row>
    <row r="427" spans="1:11" ht="17.25" customHeight="1">
      <c r="A427" s="219" t="s">
        <v>376</v>
      </c>
      <c r="B427" s="220" t="s">
        <v>173</v>
      </c>
      <c r="C427" s="221" t="s">
        <v>173</v>
      </c>
      <c r="D427" s="222" t="s">
        <v>173</v>
      </c>
      <c r="E427" s="245">
        <f>SUM(E390:E406,E411:E426)</f>
        <v>59756000000</v>
      </c>
      <c r="F427" s="245">
        <f>SUM(F390:F406,F411:F426)</f>
        <v>2228406641</v>
      </c>
      <c r="G427" s="245">
        <f>SUM(G390:G406,G411:G426)</f>
        <v>29386373024</v>
      </c>
      <c r="H427" s="245">
        <f>SUM(H390:H406,H411:H426)</f>
        <v>30369626976</v>
      </c>
      <c r="I427" s="223"/>
      <c r="J427" s="224" t="s">
        <v>173</v>
      </c>
    </row>
    <row r="428" spans="1:11" ht="14.25" customHeight="1">
      <c r="A428" s="215" t="s">
        <v>300</v>
      </c>
      <c r="B428" s="206" t="s">
        <v>35</v>
      </c>
      <c r="C428" s="205" t="s">
        <v>189</v>
      </c>
      <c r="D428" s="206" t="s">
        <v>104</v>
      </c>
      <c r="E428" s="200">
        <v>2079000000</v>
      </c>
      <c r="F428" s="200">
        <v>0</v>
      </c>
      <c r="G428" s="200">
        <f>K428+F428</f>
        <v>2079000000</v>
      </c>
      <c r="H428" s="200">
        <f t="shared" ref="H428:H466" si="11">E428-G428</f>
        <v>0</v>
      </c>
      <c r="I428" s="201">
        <v>4.75</v>
      </c>
      <c r="J428" s="147" t="s">
        <v>1710</v>
      </c>
      <c r="K428" s="311">
        <v>2079000000</v>
      </c>
    </row>
    <row r="429" spans="1:11" ht="14.25" customHeight="1">
      <c r="A429" s="203" t="s">
        <v>182</v>
      </c>
      <c r="B429" s="206">
        <v>6</v>
      </c>
      <c r="C429" s="205" t="s">
        <v>189</v>
      </c>
      <c r="D429" s="206" t="s">
        <v>105</v>
      </c>
      <c r="E429" s="200">
        <v>5630000000</v>
      </c>
      <c r="F429" s="200">
        <v>0</v>
      </c>
      <c r="G429" s="200">
        <f t="shared" ref="G429:G466" si="12">K429+F429</f>
        <v>5630000000</v>
      </c>
      <c r="H429" s="200">
        <f t="shared" si="11"/>
        <v>0</v>
      </c>
      <c r="I429" s="201">
        <v>4.7</v>
      </c>
      <c r="J429" s="147" t="s">
        <v>1710</v>
      </c>
      <c r="K429" s="311">
        <v>5630000000</v>
      </c>
    </row>
    <row r="430" spans="1:11" ht="14.25" customHeight="1">
      <c r="A430" s="203"/>
      <c r="B430" s="206">
        <v>6</v>
      </c>
      <c r="C430" s="205" t="s">
        <v>180</v>
      </c>
      <c r="D430" s="206" t="s">
        <v>106</v>
      </c>
      <c r="E430" s="200">
        <v>2312000000</v>
      </c>
      <c r="F430" s="200">
        <v>0</v>
      </c>
      <c r="G430" s="200">
        <f t="shared" si="12"/>
        <v>2312000000</v>
      </c>
      <c r="H430" s="200">
        <f t="shared" si="11"/>
        <v>0</v>
      </c>
      <c r="I430" s="201">
        <v>4.5</v>
      </c>
      <c r="J430" s="202" t="s">
        <v>244</v>
      </c>
      <c r="K430" s="311">
        <v>2312000000</v>
      </c>
    </row>
    <row r="431" spans="1:11" ht="14.25" customHeight="1">
      <c r="A431" s="203"/>
      <c r="B431" s="206">
        <v>6</v>
      </c>
      <c r="C431" s="205" t="s">
        <v>185</v>
      </c>
      <c r="D431" s="206" t="s">
        <v>107</v>
      </c>
      <c r="E431" s="200">
        <v>8743000000</v>
      </c>
      <c r="F431" s="200">
        <v>362988838</v>
      </c>
      <c r="G431" s="200">
        <f t="shared" si="12"/>
        <v>4414903275</v>
      </c>
      <c r="H431" s="200">
        <f t="shared" si="11"/>
        <v>4328096725</v>
      </c>
      <c r="I431" s="201">
        <v>3.15</v>
      </c>
      <c r="J431" s="202" t="s">
        <v>293</v>
      </c>
      <c r="K431" s="311">
        <v>4051914437</v>
      </c>
    </row>
    <row r="432" spans="1:11" ht="14.25" customHeight="1">
      <c r="A432" s="215"/>
      <c r="B432" s="204">
        <v>7</v>
      </c>
      <c r="C432" s="205" t="s">
        <v>189</v>
      </c>
      <c r="D432" s="204" t="s">
        <v>39</v>
      </c>
      <c r="E432" s="200">
        <v>1752000000</v>
      </c>
      <c r="F432" s="200">
        <v>81883238</v>
      </c>
      <c r="G432" s="200">
        <f t="shared" si="12"/>
        <v>992593651</v>
      </c>
      <c r="H432" s="200">
        <f t="shared" si="11"/>
        <v>759406349</v>
      </c>
      <c r="I432" s="201">
        <v>3.25</v>
      </c>
      <c r="J432" s="202" t="s">
        <v>286</v>
      </c>
      <c r="K432" s="311">
        <v>910710413</v>
      </c>
    </row>
    <row r="433" spans="1:11" ht="14.25" customHeight="1">
      <c r="A433" s="203"/>
      <c r="B433" s="206">
        <v>7</v>
      </c>
      <c r="C433" s="205" t="s">
        <v>189</v>
      </c>
      <c r="D433" s="206" t="s">
        <v>39</v>
      </c>
      <c r="E433" s="200">
        <v>7579000000</v>
      </c>
      <c r="F433" s="200">
        <v>353940163</v>
      </c>
      <c r="G433" s="200">
        <f t="shared" si="12"/>
        <v>4303998120</v>
      </c>
      <c r="H433" s="200">
        <f t="shared" si="11"/>
        <v>3275001880</v>
      </c>
      <c r="I433" s="201">
        <v>3.2</v>
      </c>
      <c r="J433" s="202" t="s">
        <v>286</v>
      </c>
      <c r="K433" s="311">
        <v>3950057957</v>
      </c>
    </row>
    <row r="434" spans="1:11" ht="14.25" customHeight="1">
      <c r="A434" s="203"/>
      <c r="B434" s="206">
        <v>7</v>
      </c>
      <c r="C434" s="205" t="s">
        <v>266</v>
      </c>
      <c r="D434" s="206" t="s">
        <v>109</v>
      </c>
      <c r="E434" s="200">
        <v>2000000000</v>
      </c>
      <c r="F434" s="200">
        <v>0</v>
      </c>
      <c r="G434" s="200">
        <f t="shared" si="12"/>
        <v>2000000000</v>
      </c>
      <c r="H434" s="200">
        <f t="shared" si="11"/>
        <v>0</v>
      </c>
      <c r="I434" s="201">
        <v>3.3</v>
      </c>
      <c r="J434" s="202" t="s">
        <v>247</v>
      </c>
      <c r="K434" s="311">
        <v>2000000000</v>
      </c>
    </row>
    <row r="435" spans="1:11" ht="14.25" customHeight="1">
      <c r="A435" s="215"/>
      <c r="B435" s="206">
        <v>7</v>
      </c>
      <c r="C435" s="205" t="s">
        <v>185</v>
      </c>
      <c r="D435" s="206" t="s">
        <v>110</v>
      </c>
      <c r="E435" s="200">
        <v>839842385</v>
      </c>
      <c r="F435" s="200">
        <v>0</v>
      </c>
      <c r="G435" s="200">
        <f t="shared" si="12"/>
        <v>839842385</v>
      </c>
      <c r="H435" s="200">
        <f t="shared" si="11"/>
        <v>0</v>
      </c>
      <c r="I435" s="201">
        <v>2.8</v>
      </c>
      <c r="J435" s="202" t="s">
        <v>469</v>
      </c>
      <c r="K435" s="311">
        <v>839842385</v>
      </c>
    </row>
    <row r="436" spans="1:11" ht="14.25" customHeight="1">
      <c r="A436" s="203"/>
      <c r="B436" s="206">
        <v>8</v>
      </c>
      <c r="C436" s="205" t="s">
        <v>266</v>
      </c>
      <c r="D436" s="206" t="s">
        <v>110</v>
      </c>
      <c r="E436" s="200">
        <v>2000000000</v>
      </c>
      <c r="F436" s="200">
        <v>0</v>
      </c>
      <c r="G436" s="200">
        <f t="shared" si="12"/>
        <v>2000000000</v>
      </c>
      <c r="H436" s="200">
        <f t="shared" si="11"/>
        <v>0</v>
      </c>
      <c r="I436" s="201">
        <v>2.6</v>
      </c>
      <c r="J436" s="216" t="s">
        <v>249</v>
      </c>
      <c r="K436" s="311">
        <v>2000000000</v>
      </c>
    </row>
    <row r="437" spans="1:11" ht="14.25" customHeight="1">
      <c r="A437" s="203"/>
      <c r="B437" s="206">
        <v>8</v>
      </c>
      <c r="C437" s="205" t="s">
        <v>189</v>
      </c>
      <c r="D437" s="206" t="s">
        <v>111</v>
      </c>
      <c r="E437" s="200">
        <v>908000000</v>
      </c>
      <c r="F437" s="200">
        <v>40890411</v>
      </c>
      <c r="G437" s="200">
        <f t="shared" si="12"/>
        <v>482917901</v>
      </c>
      <c r="H437" s="200">
        <f t="shared" si="11"/>
        <v>425082099</v>
      </c>
      <c r="I437" s="201">
        <v>2.85</v>
      </c>
      <c r="J437" s="216" t="s">
        <v>287</v>
      </c>
      <c r="K437" s="311">
        <v>442027490</v>
      </c>
    </row>
    <row r="438" spans="1:11" ht="14.25" customHeight="1">
      <c r="A438" s="203"/>
      <c r="B438" s="206">
        <v>8</v>
      </c>
      <c r="C438" s="205" t="s">
        <v>189</v>
      </c>
      <c r="D438" s="206" t="s">
        <v>111</v>
      </c>
      <c r="E438" s="200">
        <v>1164000000</v>
      </c>
      <c r="F438" s="200">
        <v>52438442</v>
      </c>
      <c r="G438" s="200">
        <f t="shared" si="12"/>
        <v>617472303</v>
      </c>
      <c r="H438" s="200">
        <f t="shared" si="11"/>
        <v>546527697</v>
      </c>
      <c r="I438" s="201">
        <v>2.9</v>
      </c>
      <c r="J438" s="216" t="s">
        <v>287</v>
      </c>
      <c r="K438" s="311">
        <v>565033861</v>
      </c>
    </row>
    <row r="439" spans="1:11" ht="14.25" customHeight="1">
      <c r="A439" s="203"/>
      <c r="B439" s="206">
        <v>9</v>
      </c>
      <c r="C439" s="205" t="s">
        <v>266</v>
      </c>
      <c r="D439" s="206" t="s">
        <v>112</v>
      </c>
      <c r="E439" s="200">
        <v>2000000000</v>
      </c>
      <c r="F439" s="200">
        <v>0</v>
      </c>
      <c r="G439" s="200">
        <f t="shared" si="12"/>
        <v>2000000000</v>
      </c>
      <c r="H439" s="200">
        <f t="shared" si="11"/>
        <v>0</v>
      </c>
      <c r="I439" s="201">
        <v>2</v>
      </c>
      <c r="J439" s="216" t="s">
        <v>251</v>
      </c>
      <c r="K439" s="311">
        <v>2000000000</v>
      </c>
    </row>
    <row r="440" spans="1:11" ht="14.25" customHeight="1">
      <c r="A440" s="203"/>
      <c r="B440" s="206">
        <v>8</v>
      </c>
      <c r="C440" s="205" t="s">
        <v>185</v>
      </c>
      <c r="D440" s="206" t="s">
        <v>42</v>
      </c>
      <c r="E440" s="200">
        <v>286740422</v>
      </c>
      <c r="F440" s="200">
        <v>0</v>
      </c>
      <c r="G440" s="200">
        <f t="shared" si="12"/>
        <v>286740422</v>
      </c>
      <c r="H440" s="200">
        <f t="shared" si="11"/>
        <v>0</v>
      </c>
      <c r="I440" s="201">
        <v>2.1</v>
      </c>
      <c r="J440" s="216" t="s">
        <v>469</v>
      </c>
      <c r="K440" s="311">
        <v>286740422</v>
      </c>
    </row>
    <row r="441" spans="1:11" ht="14.25" customHeight="1">
      <c r="A441" s="203"/>
      <c r="B441" s="206">
        <v>8</v>
      </c>
      <c r="C441" s="205" t="s">
        <v>189</v>
      </c>
      <c r="D441" s="206" t="s">
        <v>42</v>
      </c>
      <c r="E441" s="200">
        <v>2118000000</v>
      </c>
      <c r="F441" s="200">
        <v>92775400</v>
      </c>
      <c r="G441" s="200">
        <f t="shared" si="12"/>
        <v>1072478276</v>
      </c>
      <c r="H441" s="200">
        <f t="shared" si="11"/>
        <v>1045521724</v>
      </c>
      <c r="I441" s="201">
        <v>2.15</v>
      </c>
      <c r="J441" s="216" t="s">
        <v>293</v>
      </c>
      <c r="K441" s="311">
        <v>979702876</v>
      </c>
    </row>
    <row r="442" spans="1:11" ht="14.25" customHeight="1">
      <c r="A442" s="203"/>
      <c r="B442" s="206">
        <v>9</v>
      </c>
      <c r="C442" s="205" t="s">
        <v>189</v>
      </c>
      <c r="D442" s="206" t="s">
        <v>42</v>
      </c>
      <c r="E442" s="200">
        <v>1001000000</v>
      </c>
      <c r="F442" s="200">
        <v>43580052</v>
      </c>
      <c r="G442" s="200">
        <f t="shared" si="12"/>
        <v>508498298</v>
      </c>
      <c r="H442" s="200">
        <f t="shared" si="11"/>
        <v>492501702</v>
      </c>
      <c r="I442" s="201">
        <v>2.2000000000000002</v>
      </c>
      <c r="J442" s="216" t="s">
        <v>293</v>
      </c>
      <c r="K442" s="311">
        <v>464918246</v>
      </c>
    </row>
    <row r="443" spans="1:11" ht="14.25" customHeight="1">
      <c r="A443" s="203"/>
      <c r="B443" s="206">
        <v>9</v>
      </c>
      <c r="C443" s="205" t="s">
        <v>189</v>
      </c>
      <c r="D443" s="206" t="s">
        <v>42</v>
      </c>
      <c r="E443" s="200">
        <v>930000000</v>
      </c>
      <c r="F443" s="200">
        <v>40487917</v>
      </c>
      <c r="G443" s="200">
        <f t="shared" si="12"/>
        <v>473726076</v>
      </c>
      <c r="H443" s="200">
        <f t="shared" si="11"/>
        <v>456273924</v>
      </c>
      <c r="I443" s="201">
        <v>2.15</v>
      </c>
      <c r="J443" s="216" t="s">
        <v>293</v>
      </c>
      <c r="K443" s="311">
        <v>433238159</v>
      </c>
    </row>
    <row r="444" spans="1:11" ht="14.25" customHeight="1">
      <c r="A444" s="203"/>
      <c r="B444" s="206">
        <v>10</v>
      </c>
      <c r="C444" s="205" t="s">
        <v>266</v>
      </c>
      <c r="D444" s="206" t="s">
        <v>115</v>
      </c>
      <c r="E444" s="200">
        <v>2000000000</v>
      </c>
      <c r="F444" s="200">
        <v>0</v>
      </c>
      <c r="G444" s="200">
        <f t="shared" si="12"/>
        <v>2000000000</v>
      </c>
      <c r="H444" s="200">
        <f t="shared" si="11"/>
        <v>0</v>
      </c>
      <c r="I444" s="201">
        <v>1.9</v>
      </c>
      <c r="J444" s="216" t="s">
        <v>253</v>
      </c>
      <c r="K444" s="311">
        <v>2000000000</v>
      </c>
    </row>
    <row r="445" spans="1:11" ht="14.25" customHeight="1">
      <c r="A445" s="203"/>
      <c r="B445" s="206">
        <v>9</v>
      </c>
      <c r="C445" s="205" t="s">
        <v>189</v>
      </c>
      <c r="D445" s="206" t="s">
        <v>116</v>
      </c>
      <c r="E445" s="200">
        <v>625000000</v>
      </c>
      <c r="F445" s="200">
        <v>26976720</v>
      </c>
      <c r="G445" s="200">
        <f t="shared" si="12"/>
        <v>318708387</v>
      </c>
      <c r="H445" s="200">
        <f t="shared" si="11"/>
        <v>306291613</v>
      </c>
      <c r="I445" s="201">
        <v>1.35</v>
      </c>
      <c r="J445" s="216" t="s">
        <v>294</v>
      </c>
      <c r="K445" s="311">
        <v>291731667</v>
      </c>
    </row>
    <row r="446" spans="1:11" ht="14.25" customHeight="1">
      <c r="A446" s="203"/>
      <c r="B446" s="206">
        <v>9</v>
      </c>
      <c r="C446" s="205" t="s">
        <v>185</v>
      </c>
      <c r="D446" s="206" t="s">
        <v>44</v>
      </c>
      <c r="E446" s="200">
        <v>124925255</v>
      </c>
      <c r="F446" s="200">
        <v>0</v>
      </c>
      <c r="G446" s="200">
        <f t="shared" si="12"/>
        <v>124925255</v>
      </c>
      <c r="H446" s="200">
        <f t="shared" si="11"/>
        <v>0</v>
      </c>
      <c r="I446" s="201">
        <v>2.2000000000000002</v>
      </c>
      <c r="J446" s="216" t="s">
        <v>469</v>
      </c>
      <c r="K446" s="311">
        <v>124925255</v>
      </c>
    </row>
    <row r="447" spans="1:11" ht="14.25" customHeight="1">
      <c r="A447" s="203"/>
      <c r="B447" s="206">
        <v>10</v>
      </c>
      <c r="C447" s="205" t="s">
        <v>189</v>
      </c>
      <c r="D447" s="206" t="s">
        <v>45</v>
      </c>
      <c r="E447" s="200">
        <v>1085000000</v>
      </c>
      <c r="F447" s="200">
        <v>46227597</v>
      </c>
      <c r="G447" s="200">
        <f t="shared" si="12"/>
        <v>507333673</v>
      </c>
      <c r="H447" s="200">
        <f t="shared" si="11"/>
        <v>577666327</v>
      </c>
      <c r="I447" s="201">
        <v>2.1</v>
      </c>
      <c r="J447" s="216" t="s">
        <v>294</v>
      </c>
      <c r="K447" s="311">
        <v>461106076</v>
      </c>
    </row>
    <row r="448" spans="1:11" ht="14.25" customHeight="1">
      <c r="A448" s="203"/>
      <c r="B448" s="206">
        <v>10</v>
      </c>
      <c r="C448" s="205" t="s">
        <v>189</v>
      </c>
      <c r="D448" s="206" t="s">
        <v>45</v>
      </c>
      <c r="E448" s="200">
        <v>1063000000</v>
      </c>
      <c r="F448" s="200">
        <v>45290262</v>
      </c>
      <c r="G448" s="200">
        <f t="shared" si="12"/>
        <v>497046723</v>
      </c>
      <c r="H448" s="200">
        <f t="shared" si="11"/>
        <v>565953277</v>
      </c>
      <c r="I448" s="201">
        <v>2.1</v>
      </c>
      <c r="J448" s="216" t="s">
        <v>294</v>
      </c>
      <c r="K448" s="311">
        <v>451756461</v>
      </c>
    </row>
    <row r="449" spans="1:11" ht="14.25" customHeight="1">
      <c r="A449" s="203"/>
      <c r="B449" s="206">
        <v>10</v>
      </c>
      <c r="C449" s="205" t="s">
        <v>185</v>
      </c>
      <c r="D449" s="206" t="s">
        <v>119</v>
      </c>
      <c r="E449" s="200">
        <v>53192729</v>
      </c>
      <c r="F449" s="200">
        <v>0</v>
      </c>
      <c r="G449" s="200">
        <f t="shared" si="12"/>
        <v>53192729</v>
      </c>
      <c r="H449" s="200">
        <f t="shared" si="11"/>
        <v>0</v>
      </c>
      <c r="I449" s="201">
        <v>2.1</v>
      </c>
      <c r="J449" s="216" t="s">
        <v>469</v>
      </c>
      <c r="K449" s="311">
        <v>53192729</v>
      </c>
    </row>
    <row r="450" spans="1:11" ht="14.25" customHeight="1">
      <c r="A450" s="203"/>
      <c r="B450" s="206">
        <v>11</v>
      </c>
      <c r="C450" s="205" t="s">
        <v>189</v>
      </c>
      <c r="D450" s="206" t="s">
        <v>47</v>
      </c>
      <c r="E450" s="200">
        <v>663000000</v>
      </c>
      <c r="F450" s="200">
        <v>26607815</v>
      </c>
      <c r="G450" s="200">
        <f t="shared" si="12"/>
        <v>298755812</v>
      </c>
      <c r="H450" s="200">
        <f t="shared" si="11"/>
        <v>364244188</v>
      </c>
      <c r="I450" s="201">
        <v>2</v>
      </c>
      <c r="J450" s="216" t="s">
        <v>48</v>
      </c>
      <c r="K450" s="311">
        <v>272147997</v>
      </c>
    </row>
    <row r="451" spans="1:11" ht="14.25" customHeight="1">
      <c r="A451" s="203"/>
      <c r="B451" s="206">
        <v>11</v>
      </c>
      <c r="C451" s="205" t="s">
        <v>189</v>
      </c>
      <c r="D451" s="206" t="s">
        <v>306</v>
      </c>
      <c r="E451" s="200">
        <v>433000000</v>
      </c>
      <c r="F451" s="200">
        <v>17377351</v>
      </c>
      <c r="G451" s="200">
        <f t="shared" si="12"/>
        <v>195115033</v>
      </c>
      <c r="H451" s="200">
        <f t="shared" si="11"/>
        <v>237884967</v>
      </c>
      <c r="I451" s="201">
        <v>2</v>
      </c>
      <c r="J451" s="216" t="s">
        <v>48</v>
      </c>
      <c r="K451" s="311">
        <v>177737682</v>
      </c>
    </row>
    <row r="452" spans="1:11" ht="14.25" customHeight="1">
      <c r="A452" s="203"/>
      <c r="B452" s="206">
        <v>11</v>
      </c>
      <c r="C452" s="205" t="s">
        <v>185</v>
      </c>
      <c r="D452" s="206" t="s">
        <v>122</v>
      </c>
      <c r="E452" s="200">
        <v>31008169</v>
      </c>
      <c r="F452" s="200">
        <v>0</v>
      </c>
      <c r="G452" s="200">
        <f t="shared" si="12"/>
        <v>31008169</v>
      </c>
      <c r="H452" s="200">
        <f t="shared" si="11"/>
        <v>0</v>
      </c>
      <c r="I452" s="201">
        <v>2</v>
      </c>
      <c r="J452" s="216" t="s">
        <v>469</v>
      </c>
      <c r="K452" s="311">
        <v>31008169</v>
      </c>
    </row>
    <row r="453" spans="1:11" ht="14.25" customHeight="1">
      <c r="A453" s="203"/>
      <c r="B453" s="206">
        <v>12</v>
      </c>
      <c r="C453" s="205" t="s">
        <v>164</v>
      </c>
      <c r="D453" s="206" t="s">
        <v>95</v>
      </c>
      <c r="E453" s="200">
        <v>103000000</v>
      </c>
      <c r="F453" s="200">
        <v>0</v>
      </c>
      <c r="G453" s="200">
        <f t="shared" si="12"/>
        <v>103000000</v>
      </c>
      <c r="H453" s="200">
        <f t="shared" si="11"/>
        <v>0</v>
      </c>
      <c r="I453" s="201">
        <v>1.6</v>
      </c>
      <c r="J453" s="216" t="s">
        <v>469</v>
      </c>
      <c r="K453" s="311">
        <v>103000000</v>
      </c>
    </row>
    <row r="454" spans="1:11" ht="14.25" customHeight="1">
      <c r="A454" s="203"/>
      <c r="B454" s="206">
        <v>13</v>
      </c>
      <c r="C454" s="205" t="s">
        <v>165</v>
      </c>
      <c r="D454" s="206" t="s">
        <v>124</v>
      </c>
      <c r="E454" s="200">
        <v>47194000</v>
      </c>
      <c r="F454" s="200">
        <v>0</v>
      </c>
      <c r="G454" s="200">
        <f t="shared" si="12"/>
        <v>47194000</v>
      </c>
      <c r="H454" s="200">
        <f t="shared" si="11"/>
        <v>0</v>
      </c>
      <c r="I454" s="201" t="s">
        <v>125</v>
      </c>
      <c r="J454" s="216" t="s">
        <v>151</v>
      </c>
      <c r="K454" s="311">
        <v>47194000</v>
      </c>
    </row>
    <row r="455" spans="1:11" ht="14.25" customHeight="1">
      <c r="A455" s="203"/>
      <c r="B455" s="206">
        <v>13</v>
      </c>
      <c r="C455" s="205" t="s">
        <v>164</v>
      </c>
      <c r="D455" s="206" t="s">
        <v>152</v>
      </c>
      <c r="E455" s="200">
        <v>42000000</v>
      </c>
      <c r="F455" s="200">
        <v>0</v>
      </c>
      <c r="G455" s="200">
        <f t="shared" si="12"/>
        <v>42000000</v>
      </c>
      <c r="H455" s="200">
        <f t="shared" si="11"/>
        <v>0</v>
      </c>
      <c r="I455" s="201">
        <v>1.4</v>
      </c>
      <c r="J455" s="202" t="s">
        <v>469</v>
      </c>
      <c r="K455" s="311">
        <v>42000000</v>
      </c>
    </row>
    <row r="456" spans="1:11" ht="14.25" customHeight="1">
      <c r="A456" s="203"/>
      <c r="B456" s="206">
        <v>14</v>
      </c>
      <c r="C456" s="205" t="s">
        <v>189</v>
      </c>
      <c r="D456" s="206" t="s">
        <v>53</v>
      </c>
      <c r="E456" s="200">
        <v>46000000</v>
      </c>
      <c r="F456" s="200">
        <v>1886517</v>
      </c>
      <c r="G456" s="200">
        <f t="shared" si="12"/>
        <v>14562154</v>
      </c>
      <c r="H456" s="200">
        <f t="shared" si="11"/>
        <v>31437846</v>
      </c>
      <c r="I456" s="201">
        <v>1.3</v>
      </c>
      <c r="J456" s="216" t="s">
        <v>54</v>
      </c>
      <c r="K456" s="311">
        <v>12675637</v>
      </c>
    </row>
    <row r="457" spans="1:11" ht="14.25" customHeight="1">
      <c r="A457" s="203"/>
      <c r="B457" s="206">
        <v>15</v>
      </c>
      <c r="C457" s="205" t="s">
        <v>189</v>
      </c>
      <c r="D457" s="206" t="s">
        <v>55</v>
      </c>
      <c r="E457" s="200">
        <v>1137000000</v>
      </c>
      <c r="F457" s="200">
        <v>44622931</v>
      </c>
      <c r="G457" s="200">
        <f t="shared" si="12"/>
        <v>295344408</v>
      </c>
      <c r="H457" s="200">
        <f t="shared" si="11"/>
        <v>841655592</v>
      </c>
      <c r="I457" s="201">
        <v>1.9</v>
      </c>
      <c r="J457" s="216" t="s">
        <v>56</v>
      </c>
      <c r="K457" s="311">
        <v>250721477</v>
      </c>
    </row>
    <row r="458" spans="1:11" ht="14.25" customHeight="1">
      <c r="A458" s="218"/>
      <c r="B458" s="204">
        <v>14</v>
      </c>
      <c r="C458" s="205" t="s">
        <v>164</v>
      </c>
      <c r="D458" s="206" t="s">
        <v>157</v>
      </c>
      <c r="E458" s="200">
        <v>6867162</v>
      </c>
      <c r="F458" s="200">
        <v>0</v>
      </c>
      <c r="G458" s="200">
        <f t="shared" si="12"/>
        <v>6867162</v>
      </c>
      <c r="H458" s="200">
        <f t="shared" si="11"/>
        <v>0</v>
      </c>
      <c r="I458" s="201">
        <v>2</v>
      </c>
      <c r="J458" s="216" t="s">
        <v>469</v>
      </c>
      <c r="K458" s="311">
        <v>6867162</v>
      </c>
    </row>
    <row r="459" spans="1:11" ht="14.25" customHeight="1">
      <c r="A459" s="218"/>
      <c r="B459" s="206">
        <v>15</v>
      </c>
      <c r="C459" s="205" t="s">
        <v>189</v>
      </c>
      <c r="D459" s="206" t="s">
        <v>158</v>
      </c>
      <c r="E459" s="200">
        <v>398000000</v>
      </c>
      <c r="F459" s="200">
        <v>15375980</v>
      </c>
      <c r="G459" s="200">
        <f t="shared" si="12"/>
        <v>94685653</v>
      </c>
      <c r="H459" s="200">
        <f t="shared" si="11"/>
        <v>303314347</v>
      </c>
      <c r="I459" s="201">
        <v>2</v>
      </c>
      <c r="J459" s="202" t="s">
        <v>58</v>
      </c>
      <c r="K459" s="311">
        <v>79309673</v>
      </c>
    </row>
    <row r="460" spans="1:11" ht="14.25" customHeight="1">
      <c r="A460" s="218"/>
      <c r="B460" s="206">
        <v>15</v>
      </c>
      <c r="C460" s="205" t="s">
        <v>164</v>
      </c>
      <c r="D460" s="206" t="s">
        <v>160</v>
      </c>
      <c r="E460" s="200">
        <v>3390000000</v>
      </c>
      <c r="F460" s="200">
        <v>117049859</v>
      </c>
      <c r="G460" s="200">
        <f t="shared" si="12"/>
        <v>718886306</v>
      </c>
      <c r="H460" s="200">
        <f t="shared" si="11"/>
        <v>2671113694</v>
      </c>
      <c r="I460" s="201">
        <v>2.1</v>
      </c>
      <c r="J460" s="216" t="s">
        <v>139</v>
      </c>
      <c r="K460" s="311">
        <v>601836447</v>
      </c>
    </row>
    <row r="461" spans="1:11" ht="14.25" customHeight="1">
      <c r="A461" s="218"/>
      <c r="B461" s="204">
        <v>7</v>
      </c>
      <c r="C461" s="205" t="s">
        <v>164</v>
      </c>
      <c r="D461" s="206" t="s">
        <v>126</v>
      </c>
      <c r="E461" s="200">
        <v>8684157615</v>
      </c>
      <c r="F461" s="200">
        <v>383292632</v>
      </c>
      <c r="G461" s="200">
        <f t="shared" si="12"/>
        <v>3683165138</v>
      </c>
      <c r="H461" s="200">
        <f t="shared" si="11"/>
        <v>5000992477</v>
      </c>
      <c r="I461" s="201">
        <v>2.8</v>
      </c>
      <c r="J461" s="216" t="s">
        <v>294</v>
      </c>
      <c r="K461" s="311">
        <v>3299872506</v>
      </c>
    </row>
    <row r="462" spans="1:11" ht="14.25" customHeight="1">
      <c r="A462" s="218"/>
      <c r="B462" s="206">
        <v>8</v>
      </c>
      <c r="C462" s="205" t="s">
        <v>164</v>
      </c>
      <c r="D462" s="206" t="s">
        <v>126</v>
      </c>
      <c r="E462" s="200">
        <v>4067259578</v>
      </c>
      <c r="F462" s="200">
        <v>171529855</v>
      </c>
      <c r="G462" s="200">
        <f t="shared" si="12"/>
        <v>1703399316</v>
      </c>
      <c r="H462" s="200">
        <f t="shared" si="11"/>
        <v>2363860262</v>
      </c>
      <c r="I462" s="201">
        <v>2.1</v>
      </c>
      <c r="J462" s="216" t="s">
        <v>48</v>
      </c>
      <c r="K462" s="311">
        <v>1531869461</v>
      </c>
    </row>
    <row r="463" spans="1:11" ht="14.25" customHeight="1">
      <c r="A463" s="218"/>
      <c r="B463" s="206">
        <v>11</v>
      </c>
      <c r="C463" s="205" t="s">
        <v>164</v>
      </c>
      <c r="D463" s="206" t="s">
        <v>126</v>
      </c>
      <c r="E463" s="200">
        <v>586991831</v>
      </c>
      <c r="F463" s="200">
        <v>22111717</v>
      </c>
      <c r="G463" s="200">
        <f t="shared" si="12"/>
        <v>211612532</v>
      </c>
      <c r="H463" s="200">
        <f t="shared" si="11"/>
        <v>375379299</v>
      </c>
      <c r="I463" s="201">
        <v>2</v>
      </c>
      <c r="J463" s="202" t="s">
        <v>54</v>
      </c>
      <c r="K463" s="311">
        <v>189500815</v>
      </c>
    </row>
    <row r="464" spans="1:11" ht="14.25" customHeight="1">
      <c r="A464" s="218"/>
      <c r="B464" s="206">
        <v>12</v>
      </c>
      <c r="C464" s="205" t="s">
        <v>164</v>
      </c>
      <c r="D464" s="206" t="s">
        <v>126</v>
      </c>
      <c r="E464" s="200">
        <v>1398000000</v>
      </c>
      <c r="F464" s="200">
        <v>52959034</v>
      </c>
      <c r="G464" s="200">
        <f t="shared" si="12"/>
        <v>493457937</v>
      </c>
      <c r="H464" s="200">
        <f t="shared" si="11"/>
        <v>904542063</v>
      </c>
      <c r="I464" s="201">
        <v>1.6</v>
      </c>
      <c r="J464" s="202" t="s">
        <v>54</v>
      </c>
      <c r="K464" s="311">
        <v>440498903</v>
      </c>
    </row>
    <row r="465" spans="1:11" ht="14.25" customHeight="1">
      <c r="A465" s="218"/>
      <c r="B465" s="206">
        <v>14</v>
      </c>
      <c r="C465" s="205" t="s">
        <v>164</v>
      </c>
      <c r="D465" s="206" t="s">
        <v>126</v>
      </c>
      <c r="E465" s="200">
        <v>2371132838</v>
      </c>
      <c r="F465" s="200">
        <v>83309915</v>
      </c>
      <c r="G465" s="200">
        <f t="shared" si="12"/>
        <v>549807199</v>
      </c>
      <c r="H465" s="200">
        <f t="shared" si="11"/>
        <v>1821325639</v>
      </c>
      <c r="I465" s="201">
        <v>2</v>
      </c>
      <c r="J465" s="202" t="s">
        <v>63</v>
      </c>
      <c r="K465" s="311">
        <v>466497284</v>
      </c>
    </row>
    <row r="466" spans="1:11" ht="14.25" customHeight="1" thickBot="1">
      <c r="A466" s="218"/>
      <c r="B466" s="206">
        <v>16</v>
      </c>
      <c r="C466" s="205" t="s">
        <v>189</v>
      </c>
      <c r="D466" s="206" t="s">
        <v>699</v>
      </c>
      <c r="E466" s="200">
        <v>4470000000</v>
      </c>
      <c r="F466" s="200">
        <v>169817395</v>
      </c>
      <c r="G466" s="200">
        <f t="shared" si="12"/>
        <v>967672057</v>
      </c>
      <c r="H466" s="200">
        <f t="shared" si="11"/>
        <v>3502327943</v>
      </c>
      <c r="I466" s="201">
        <v>2.1</v>
      </c>
      <c r="J466" s="202" t="s">
        <v>700</v>
      </c>
      <c r="K466" s="311">
        <v>797854662</v>
      </c>
    </row>
    <row r="467" spans="1:11" ht="9.75" customHeight="1" thickBot="1">
      <c r="A467" s="257"/>
      <c r="B467" s="258"/>
      <c r="C467" s="257"/>
      <c r="D467" s="258"/>
      <c r="E467" s="259"/>
      <c r="F467" s="259"/>
      <c r="G467" s="259"/>
      <c r="H467" s="259"/>
      <c r="I467" s="260"/>
      <c r="J467" s="261"/>
    </row>
    <row r="468" spans="1:11">
      <c r="A468" s="479" t="s">
        <v>26</v>
      </c>
      <c r="B468" s="481" t="s">
        <v>311</v>
      </c>
      <c r="C468" s="483" t="s">
        <v>27</v>
      </c>
      <c r="D468" s="481" t="s">
        <v>312</v>
      </c>
      <c r="E468" s="485" t="s">
        <v>28</v>
      </c>
      <c r="F468" s="487" t="s">
        <v>29</v>
      </c>
      <c r="G468" s="493"/>
      <c r="H468" s="489" t="s">
        <v>174</v>
      </c>
      <c r="I468" s="491" t="s">
        <v>30</v>
      </c>
      <c r="J468" s="477" t="s">
        <v>313</v>
      </c>
    </row>
    <row r="469" spans="1:11">
      <c r="A469" s="480"/>
      <c r="B469" s="482"/>
      <c r="C469" s="484"/>
      <c r="D469" s="482"/>
      <c r="E469" s="486"/>
      <c r="F469" s="207" t="s">
        <v>176</v>
      </c>
      <c r="G469" s="207" t="s">
        <v>305</v>
      </c>
      <c r="H469" s="490"/>
      <c r="I469" s="492"/>
      <c r="J469" s="478"/>
    </row>
    <row r="470" spans="1:11">
      <c r="A470" s="209"/>
      <c r="B470" s="210"/>
      <c r="C470" s="210"/>
      <c r="D470" s="211" t="s">
        <v>177</v>
      </c>
      <c r="E470" s="212" t="s">
        <v>178</v>
      </c>
      <c r="F470" s="212" t="s">
        <v>172</v>
      </c>
      <c r="G470" s="212" t="s">
        <v>178</v>
      </c>
      <c r="H470" s="212" t="s">
        <v>178</v>
      </c>
      <c r="I470" s="213" t="s">
        <v>31</v>
      </c>
      <c r="J470" s="214" t="s">
        <v>175</v>
      </c>
    </row>
    <row r="471" spans="1:11" ht="14.25" customHeight="1">
      <c r="A471" s="215" t="s">
        <v>300</v>
      </c>
      <c r="B471" s="204" t="s">
        <v>343</v>
      </c>
      <c r="C471" s="205" t="s">
        <v>164</v>
      </c>
      <c r="D471" s="206" t="s">
        <v>701</v>
      </c>
      <c r="E471" s="200">
        <v>2132074745</v>
      </c>
      <c r="F471" s="200">
        <v>87315581</v>
      </c>
      <c r="G471" s="200">
        <f>K471+F471</f>
        <v>863002238</v>
      </c>
      <c r="H471" s="200">
        <f t="shared" ref="H471:H491" si="13">E471-G471</f>
        <v>1269072507</v>
      </c>
      <c r="I471" s="201">
        <v>2.2000000000000002</v>
      </c>
      <c r="J471" s="202" t="s">
        <v>94</v>
      </c>
      <c r="K471" s="311">
        <v>775686657</v>
      </c>
    </row>
    <row r="472" spans="1:11" ht="14.25" customHeight="1">
      <c r="A472" s="203" t="s">
        <v>182</v>
      </c>
      <c r="B472" s="206">
        <v>10</v>
      </c>
      <c r="C472" s="205" t="s">
        <v>164</v>
      </c>
      <c r="D472" s="206" t="s">
        <v>301</v>
      </c>
      <c r="E472" s="200">
        <v>2010807271</v>
      </c>
      <c r="F472" s="200">
        <v>78271774</v>
      </c>
      <c r="G472" s="200">
        <f t="shared" ref="G472:G492" si="14">K472+F472</f>
        <v>777287931</v>
      </c>
      <c r="H472" s="200">
        <f t="shared" si="13"/>
        <v>1233519340</v>
      </c>
      <c r="I472" s="201">
        <v>2.1</v>
      </c>
      <c r="J472" s="202" t="s">
        <v>50</v>
      </c>
      <c r="K472" s="311">
        <v>699016157</v>
      </c>
    </row>
    <row r="473" spans="1:11" ht="14.25" customHeight="1">
      <c r="A473" s="215"/>
      <c r="B473" s="204">
        <v>13</v>
      </c>
      <c r="C473" s="205" t="s">
        <v>164</v>
      </c>
      <c r="D473" s="206" t="s">
        <v>301</v>
      </c>
      <c r="E473" s="200">
        <v>1799000000</v>
      </c>
      <c r="F473" s="200">
        <v>67240413</v>
      </c>
      <c r="G473" s="200">
        <f t="shared" si="14"/>
        <v>542724203</v>
      </c>
      <c r="H473" s="200">
        <f t="shared" si="13"/>
        <v>1256275797</v>
      </c>
      <c r="I473" s="201">
        <v>1.4</v>
      </c>
      <c r="J473" s="216" t="s">
        <v>58</v>
      </c>
      <c r="K473" s="311">
        <v>475483790</v>
      </c>
    </row>
    <row r="474" spans="1:11" ht="14.25" customHeight="1">
      <c r="A474" s="203"/>
      <c r="B474" s="206">
        <v>16</v>
      </c>
      <c r="C474" s="205" t="s">
        <v>164</v>
      </c>
      <c r="D474" s="206" t="s">
        <v>672</v>
      </c>
      <c r="E474" s="200">
        <v>1424000000</v>
      </c>
      <c r="F474" s="200">
        <v>48560894</v>
      </c>
      <c r="G474" s="200">
        <f t="shared" si="14"/>
        <v>255512868</v>
      </c>
      <c r="H474" s="200">
        <f t="shared" si="13"/>
        <v>1168487132</v>
      </c>
      <c r="I474" s="201">
        <v>2</v>
      </c>
      <c r="J474" s="202" t="s">
        <v>141</v>
      </c>
      <c r="K474" s="311">
        <v>206951974</v>
      </c>
    </row>
    <row r="475" spans="1:11" ht="14.25" customHeight="1">
      <c r="A475" s="203"/>
      <c r="B475" s="206">
        <v>16</v>
      </c>
      <c r="C475" s="205" t="s">
        <v>189</v>
      </c>
      <c r="D475" s="206" t="s">
        <v>672</v>
      </c>
      <c r="E475" s="200">
        <v>279000000</v>
      </c>
      <c r="F475" s="200">
        <v>10643461</v>
      </c>
      <c r="G475" s="200">
        <f t="shared" si="14"/>
        <v>56125001</v>
      </c>
      <c r="H475" s="200">
        <f t="shared" si="13"/>
        <v>222874999</v>
      </c>
      <c r="I475" s="201">
        <v>1.9</v>
      </c>
      <c r="J475" s="202" t="s">
        <v>63</v>
      </c>
      <c r="K475" s="311">
        <v>45481540</v>
      </c>
    </row>
    <row r="476" spans="1:11" ht="14.25" customHeight="1">
      <c r="A476" s="203"/>
      <c r="B476" s="206">
        <v>17</v>
      </c>
      <c r="C476" s="205" t="s">
        <v>189</v>
      </c>
      <c r="D476" s="206" t="s">
        <v>62</v>
      </c>
      <c r="E476" s="200">
        <v>6488000000</v>
      </c>
      <c r="F476" s="200">
        <v>243280023</v>
      </c>
      <c r="G476" s="200">
        <f t="shared" si="14"/>
        <v>1169399597</v>
      </c>
      <c r="H476" s="200">
        <f t="shared" si="13"/>
        <v>5318600403</v>
      </c>
      <c r="I476" s="201">
        <v>2</v>
      </c>
      <c r="J476" s="202" t="s">
        <v>63</v>
      </c>
      <c r="K476" s="311">
        <v>926119574</v>
      </c>
    </row>
    <row r="477" spans="1:11" ht="14.25" customHeight="1">
      <c r="A477" s="203"/>
      <c r="B477" s="206">
        <v>18</v>
      </c>
      <c r="C477" s="205" t="s">
        <v>189</v>
      </c>
      <c r="D477" s="204" t="s">
        <v>673</v>
      </c>
      <c r="E477" s="200">
        <v>803000000</v>
      </c>
      <c r="F477" s="200">
        <v>29258020</v>
      </c>
      <c r="G477" s="200">
        <f t="shared" si="14"/>
        <v>113452591</v>
      </c>
      <c r="H477" s="200">
        <f t="shared" si="13"/>
        <v>689547409</v>
      </c>
      <c r="I477" s="201">
        <v>2.1</v>
      </c>
      <c r="J477" s="202" t="s">
        <v>674</v>
      </c>
      <c r="K477" s="311">
        <v>84194571</v>
      </c>
    </row>
    <row r="478" spans="1:11" ht="14.25" customHeight="1">
      <c r="A478" s="203"/>
      <c r="B478" s="206">
        <v>18</v>
      </c>
      <c r="C478" s="205" t="s">
        <v>189</v>
      </c>
      <c r="D478" s="204" t="s">
        <v>673</v>
      </c>
      <c r="E478" s="200">
        <v>3571000000</v>
      </c>
      <c r="F478" s="200">
        <v>130112563</v>
      </c>
      <c r="G478" s="200">
        <f t="shared" si="14"/>
        <v>504532003</v>
      </c>
      <c r="H478" s="200">
        <f t="shared" si="13"/>
        <v>3066467997</v>
      </c>
      <c r="I478" s="201">
        <v>2.1</v>
      </c>
      <c r="J478" s="202" t="s">
        <v>344</v>
      </c>
      <c r="K478" s="311">
        <v>374419440</v>
      </c>
    </row>
    <row r="479" spans="1:11" ht="14.25" customHeight="1">
      <c r="A479" s="203"/>
      <c r="B479" s="206">
        <v>18</v>
      </c>
      <c r="C479" s="205" t="s">
        <v>164</v>
      </c>
      <c r="D479" s="204" t="s">
        <v>675</v>
      </c>
      <c r="E479" s="200">
        <v>1940000000</v>
      </c>
      <c r="F479" s="200">
        <v>63575727</v>
      </c>
      <c r="G479" s="200">
        <f t="shared" si="14"/>
        <v>246524920</v>
      </c>
      <c r="H479" s="200">
        <f t="shared" si="13"/>
        <v>1693475080</v>
      </c>
      <c r="I479" s="201">
        <v>2.1</v>
      </c>
      <c r="J479" s="202" t="s">
        <v>662</v>
      </c>
      <c r="K479" s="311">
        <v>182949193</v>
      </c>
    </row>
    <row r="480" spans="1:11" ht="14.25" customHeight="1">
      <c r="A480" s="203"/>
      <c r="B480" s="206">
        <v>18</v>
      </c>
      <c r="C480" s="205" t="s">
        <v>164</v>
      </c>
      <c r="D480" s="204" t="s">
        <v>676</v>
      </c>
      <c r="E480" s="200">
        <v>4606000000</v>
      </c>
      <c r="F480" s="200">
        <v>149374761</v>
      </c>
      <c r="G480" s="200">
        <f t="shared" si="14"/>
        <v>509440317</v>
      </c>
      <c r="H480" s="200">
        <f t="shared" si="13"/>
        <v>4096559683</v>
      </c>
      <c r="I480" s="201">
        <v>2.1</v>
      </c>
      <c r="J480" s="202" t="s">
        <v>677</v>
      </c>
      <c r="K480" s="311">
        <v>360065556</v>
      </c>
    </row>
    <row r="481" spans="1:11" ht="14.25" customHeight="1">
      <c r="A481" s="203"/>
      <c r="B481" s="206">
        <v>18</v>
      </c>
      <c r="C481" s="205" t="s">
        <v>495</v>
      </c>
      <c r="D481" s="204" t="s">
        <v>678</v>
      </c>
      <c r="E481" s="200">
        <v>38000000</v>
      </c>
      <c r="F481" s="200">
        <v>1370177</v>
      </c>
      <c r="G481" s="200">
        <f t="shared" si="14"/>
        <v>4672967</v>
      </c>
      <c r="H481" s="200">
        <f t="shared" si="13"/>
        <v>33327033</v>
      </c>
      <c r="I481" s="201">
        <v>2.1</v>
      </c>
      <c r="J481" s="202" t="s">
        <v>661</v>
      </c>
      <c r="K481" s="311">
        <v>3302790</v>
      </c>
    </row>
    <row r="482" spans="1:11" ht="14.25" customHeight="1">
      <c r="A482" s="203"/>
      <c r="B482" s="206">
        <v>19</v>
      </c>
      <c r="C482" s="205" t="s">
        <v>495</v>
      </c>
      <c r="D482" s="204" t="s">
        <v>632</v>
      </c>
      <c r="E482" s="200">
        <v>1139000000</v>
      </c>
      <c r="F482" s="200">
        <v>40842207</v>
      </c>
      <c r="G482" s="200">
        <f t="shared" si="14"/>
        <v>120069571</v>
      </c>
      <c r="H482" s="200">
        <f t="shared" si="13"/>
        <v>1018930429</v>
      </c>
      <c r="I482" s="201">
        <v>2.0499999999999998</v>
      </c>
      <c r="J482" s="202" t="s">
        <v>661</v>
      </c>
      <c r="K482" s="311">
        <v>79227364</v>
      </c>
    </row>
    <row r="483" spans="1:11" ht="14.25" customHeight="1">
      <c r="A483" s="203"/>
      <c r="B483" s="206">
        <v>19</v>
      </c>
      <c r="C483" s="205" t="s">
        <v>164</v>
      </c>
      <c r="D483" s="204" t="s">
        <v>679</v>
      </c>
      <c r="E483" s="200">
        <v>1099000000</v>
      </c>
      <c r="F483" s="200">
        <v>35710382</v>
      </c>
      <c r="G483" s="200">
        <f t="shared" si="14"/>
        <v>88025600</v>
      </c>
      <c r="H483" s="200">
        <f t="shared" si="13"/>
        <v>1010974400</v>
      </c>
      <c r="I483" s="201">
        <v>1.9</v>
      </c>
      <c r="J483" s="202" t="s">
        <v>680</v>
      </c>
      <c r="K483" s="311">
        <v>52315218</v>
      </c>
    </row>
    <row r="484" spans="1:11" ht="14.25" customHeight="1">
      <c r="A484" s="203"/>
      <c r="B484" s="206">
        <v>20</v>
      </c>
      <c r="C484" s="217" t="s">
        <v>695</v>
      </c>
      <c r="D484" s="204" t="s">
        <v>681</v>
      </c>
      <c r="E484" s="200">
        <v>32000000</v>
      </c>
      <c r="F484" s="200">
        <v>1165270</v>
      </c>
      <c r="G484" s="200">
        <f t="shared" si="14"/>
        <v>2874486</v>
      </c>
      <c r="H484" s="200">
        <f t="shared" si="13"/>
        <v>29125514</v>
      </c>
      <c r="I484" s="201">
        <v>1.8</v>
      </c>
      <c r="J484" s="202" t="s">
        <v>662</v>
      </c>
      <c r="K484" s="311">
        <v>1709216</v>
      </c>
    </row>
    <row r="485" spans="1:11" ht="14.25" customHeight="1">
      <c r="A485" s="203"/>
      <c r="B485" s="206">
        <v>20</v>
      </c>
      <c r="C485" s="217" t="s">
        <v>695</v>
      </c>
      <c r="D485" s="204" t="s">
        <v>624</v>
      </c>
      <c r="E485" s="200">
        <v>1232000000</v>
      </c>
      <c r="F485" s="200">
        <v>43989103</v>
      </c>
      <c r="G485" s="200">
        <f t="shared" si="14"/>
        <v>87154174</v>
      </c>
      <c r="H485" s="200">
        <f t="shared" si="13"/>
        <v>1144845826</v>
      </c>
      <c r="I485" s="201">
        <v>1.9</v>
      </c>
      <c r="J485" s="202" t="s">
        <v>662</v>
      </c>
      <c r="K485" s="311">
        <v>43165071</v>
      </c>
    </row>
    <row r="486" spans="1:11" ht="14.25" customHeight="1">
      <c r="A486" s="203"/>
      <c r="B486" s="206">
        <v>20</v>
      </c>
      <c r="C486" s="205" t="s">
        <v>164</v>
      </c>
      <c r="D486" s="204" t="s">
        <v>871</v>
      </c>
      <c r="E486" s="200">
        <v>1184000000</v>
      </c>
      <c r="F486" s="200">
        <v>36826439</v>
      </c>
      <c r="G486" s="200">
        <f t="shared" si="14"/>
        <v>54953163</v>
      </c>
      <c r="H486" s="200">
        <f t="shared" si="13"/>
        <v>1129046837</v>
      </c>
      <c r="I486" s="201">
        <v>2.1</v>
      </c>
      <c r="J486" s="202" t="s">
        <v>872</v>
      </c>
      <c r="K486" s="311">
        <v>18126724</v>
      </c>
    </row>
    <row r="487" spans="1:11" ht="14.25" customHeight="1">
      <c r="A487" s="218"/>
      <c r="B487" s="206">
        <v>21</v>
      </c>
      <c r="C487" s="217" t="s">
        <v>698</v>
      </c>
      <c r="D487" s="204" t="s">
        <v>808</v>
      </c>
      <c r="E487" s="200">
        <v>495000000</v>
      </c>
      <c r="F487" s="200">
        <v>15236208</v>
      </c>
      <c r="G487" s="200">
        <f t="shared" si="14"/>
        <v>15236208</v>
      </c>
      <c r="H487" s="200">
        <f t="shared" si="13"/>
        <v>479763792</v>
      </c>
      <c r="I487" s="201">
        <v>2.1</v>
      </c>
      <c r="J487" s="202" t="s">
        <v>696</v>
      </c>
      <c r="K487" s="311">
        <v>0</v>
      </c>
    </row>
    <row r="488" spans="1:11" ht="14.25" customHeight="1">
      <c r="A488" s="218"/>
      <c r="B488" s="206">
        <v>21</v>
      </c>
      <c r="C488" s="217" t="s">
        <v>698</v>
      </c>
      <c r="D488" s="204" t="s">
        <v>1266</v>
      </c>
      <c r="E488" s="200">
        <v>76000000</v>
      </c>
      <c r="F488" s="200">
        <v>0</v>
      </c>
      <c r="G488" s="200">
        <f t="shared" si="14"/>
        <v>0</v>
      </c>
      <c r="H488" s="200">
        <f>E488-G488</f>
        <v>76000000</v>
      </c>
      <c r="I488" s="201">
        <v>1.9</v>
      </c>
      <c r="J488" s="202" t="s">
        <v>888</v>
      </c>
      <c r="K488" s="311">
        <v>0</v>
      </c>
    </row>
    <row r="489" spans="1:11" ht="14.25" customHeight="1">
      <c r="A489" s="218"/>
      <c r="B489" s="206">
        <v>21</v>
      </c>
      <c r="C489" s="217" t="s">
        <v>886</v>
      </c>
      <c r="D489" s="204" t="s">
        <v>887</v>
      </c>
      <c r="E489" s="200">
        <v>999000000</v>
      </c>
      <c r="F489" s="200">
        <v>0</v>
      </c>
      <c r="G489" s="200">
        <f t="shared" si="14"/>
        <v>0</v>
      </c>
      <c r="H489" s="200">
        <f>E489-G489</f>
        <v>999000000</v>
      </c>
      <c r="I489" s="201">
        <v>1.9</v>
      </c>
      <c r="J489" s="202" t="s">
        <v>888</v>
      </c>
      <c r="K489" s="311">
        <v>0</v>
      </c>
    </row>
    <row r="490" spans="1:11" ht="14.25" customHeight="1">
      <c r="A490" s="218"/>
      <c r="B490" s="206">
        <v>22</v>
      </c>
      <c r="C490" s="217" t="s">
        <v>886</v>
      </c>
      <c r="D490" s="204" t="s">
        <v>887</v>
      </c>
      <c r="E490" s="200">
        <v>1019000000</v>
      </c>
      <c r="F490" s="200">
        <v>0</v>
      </c>
      <c r="G490" s="200">
        <f t="shared" si="14"/>
        <v>0</v>
      </c>
      <c r="H490" s="200">
        <f t="shared" si="13"/>
        <v>1019000000</v>
      </c>
      <c r="I490" s="201">
        <v>1.9</v>
      </c>
      <c r="J490" s="202" t="s">
        <v>888</v>
      </c>
      <c r="K490" s="311">
        <v>0</v>
      </c>
    </row>
    <row r="491" spans="1:11" ht="14.25" customHeight="1">
      <c r="A491" s="317"/>
      <c r="B491" s="206">
        <v>23</v>
      </c>
      <c r="C491" s="184" t="s">
        <v>164</v>
      </c>
      <c r="D491" s="204" t="s">
        <v>1339</v>
      </c>
      <c r="E491" s="200">
        <v>2000000000</v>
      </c>
      <c r="F491" s="200">
        <v>0</v>
      </c>
      <c r="G491" s="200">
        <f t="shared" si="14"/>
        <v>0</v>
      </c>
      <c r="H491" s="200">
        <f t="shared" si="13"/>
        <v>2000000000</v>
      </c>
      <c r="I491" s="201">
        <v>1.7</v>
      </c>
      <c r="J491" s="202" t="s">
        <v>1340</v>
      </c>
      <c r="K491" s="311">
        <v>0</v>
      </c>
    </row>
    <row r="492" spans="1:11" ht="14.25" customHeight="1">
      <c r="A492" s="218"/>
      <c r="B492" s="206">
        <v>24</v>
      </c>
      <c r="C492" s="184" t="s">
        <v>164</v>
      </c>
      <c r="D492" s="128" t="s">
        <v>83</v>
      </c>
      <c r="E492" s="200">
        <v>200000000</v>
      </c>
      <c r="F492" s="200">
        <v>0</v>
      </c>
      <c r="G492" s="200">
        <f t="shared" si="14"/>
        <v>0</v>
      </c>
      <c r="H492" s="200">
        <f>E492-G492</f>
        <v>200000000</v>
      </c>
      <c r="I492" s="201">
        <v>1.5</v>
      </c>
      <c r="J492" s="202" t="s">
        <v>82</v>
      </c>
      <c r="K492" s="311">
        <v>0</v>
      </c>
    </row>
    <row r="493" spans="1:11" ht="17.25" customHeight="1">
      <c r="A493" s="219" t="s">
        <v>376</v>
      </c>
      <c r="B493" s="220" t="s">
        <v>173</v>
      </c>
      <c r="C493" s="221" t="s">
        <v>173</v>
      </c>
      <c r="D493" s="222" t="s">
        <v>173</v>
      </c>
      <c r="E493" s="245">
        <f>SUM(E428:E466,E471:E492)</f>
        <v>108734194000</v>
      </c>
      <c r="F493" s="245">
        <f>SUM(F428:F466,F471:F492)</f>
        <v>3376193044</v>
      </c>
      <c r="G493" s="245">
        <f>SUM(G428:G466,G471:G492)</f>
        <v>48382898188</v>
      </c>
      <c r="H493" s="245">
        <f>SUM(H428:H466,H471:H492)</f>
        <v>60351295812</v>
      </c>
      <c r="I493" s="223"/>
      <c r="J493" s="224" t="s">
        <v>173</v>
      </c>
    </row>
    <row r="494" spans="1:11" ht="14.25" customHeight="1">
      <c r="A494" s="215" t="s">
        <v>873</v>
      </c>
      <c r="B494" s="204" t="s">
        <v>682</v>
      </c>
      <c r="C494" s="205" t="s">
        <v>185</v>
      </c>
      <c r="D494" s="206" t="s">
        <v>683</v>
      </c>
      <c r="E494" s="200">
        <v>598000000</v>
      </c>
      <c r="F494" s="200">
        <v>24106921</v>
      </c>
      <c r="G494" s="200">
        <f>K494+F494</f>
        <v>283466094</v>
      </c>
      <c r="H494" s="200">
        <f t="shared" ref="H494:H536" si="15">E494-G494</f>
        <v>314533906</v>
      </c>
      <c r="I494" s="201">
        <v>2.8</v>
      </c>
      <c r="J494" s="216" t="s">
        <v>294</v>
      </c>
      <c r="K494" s="311">
        <v>259359173</v>
      </c>
    </row>
    <row r="495" spans="1:11" ht="14.25" customHeight="1">
      <c r="A495" s="203" t="s">
        <v>302</v>
      </c>
      <c r="B495" s="204">
        <v>8</v>
      </c>
      <c r="C495" s="205" t="s">
        <v>189</v>
      </c>
      <c r="D495" s="206" t="s">
        <v>111</v>
      </c>
      <c r="E495" s="200">
        <v>490000000</v>
      </c>
      <c r="F495" s="200">
        <v>22152550</v>
      </c>
      <c r="G495" s="200">
        <f>K495+F495</f>
        <v>259709999</v>
      </c>
      <c r="H495" s="200">
        <f t="shared" si="15"/>
        <v>230290001</v>
      </c>
      <c r="I495" s="201">
        <v>2.85</v>
      </c>
      <c r="J495" s="216" t="s">
        <v>287</v>
      </c>
      <c r="K495" s="311">
        <v>237557449</v>
      </c>
    </row>
    <row r="496" spans="1:11" ht="17.25" customHeight="1">
      <c r="A496" s="219" t="s">
        <v>376</v>
      </c>
      <c r="B496" s="220"/>
      <c r="C496" s="221"/>
      <c r="D496" s="222"/>
      <c r="E496" s="245">
        <f>SUM(E494:E495)</f>
        <v>1088000000</v>
      </c>
      <c r="F496" s="245">
        <f>SUM(F494:F495)</f>
        <v>46259471</v>
      </c>
      <c r="G496" s="245">
        <f>SUM(G494:G495)</f>
        <v>543176093</v>
      </c>
      <c r="H496" s="245">
        <f>SUM(H494:H495)</f>
        <v>544823907</v>
      </c>
      <c r="I496" s="223"/>
      <c r="J496" s="224"/>
    </row>
    <row r="497" spans="1:11" ht="14.25" customHeight="1">
      <c r="A497" s="225" t="s">
        <v>702</v>
      </c>
      <c r="B497" s="204" t="s">
        <v>317</v>
      </c>
      <c r="C497" s="205" t="s">
        <v>266</v>
      </c>
      <c r="D497" s="206" t="s">
        <v>684</v>
      </c>
      <c r="E497" s="200">
        <v>509000000</v>
      </c>
      <c r="F497" s="200">
        <v>0</v>
      </c>
      <c r="G497" s="200">
        <f>'25.企業債（23決算）'!G496+'25.企業債（2７決算） '!F497</f>
        <v>509000000</v>
      </c>
      <c r="H497" s="200">
        <f t="shared" si="15"/>
        <v>0</v>
      </c>
      <c r="I497" s="201">
        <v>1.7</v>
      </c>
      <c r="J497" s="216" t="s">
        <v>61</v>
      </c>
    </row>
    <row r="498" spans="1:11" ht="14.25" customHeight="1">
      <c r="A498" s="226" t="s">
        <v>703</v>
      </c>
      <c r="B498" s="206">
        <v>13</v>
      </c>
      <c r="C498" s="205" t="s">
        <v>603</v>
      </c>
      <c r="D498" s="206" t="s">
        <v>51</v>
      </c>
      <c r="E498" s="200">
        <v>466000000</v>
      </c>
      <c r="F498" s="200">
        <v>0</v>
      </c>
      <c r="G498" s="200">
        <f>'25.企業債（23決算）'!G497+'25.企業債（2７決算） '!F498</f>
        <v>466000000</v>
      </c>
      <c r="H498" s="200">
        <f t="shared" si="15"/>
        <v>0</v>
      </c>
      <c r="I498" s="201">
        <v>1.2</v>
      </c>
      <c r="J498" s="216" t="s">
        <v>685</v>
      </c>
    </row>
    <row r="499" spans="1:11" ht="17.25" customHeight="1">
      <c r="A499" s="219" t="s">
        <v>376</v>
      </c>
      <c r="B499" s="220" t="s">
        <v>173</v>
      </c>
      <c r="C499" s="221" t="s">
        <v>173</v>
      </c>
      <c r="D499" s="222" t="s">
        <v>173</v>
      </c>
      <c r="E499" s="245">
        <f>SUM(E497:E498)</f>
        <v>975000000</v>
      </c>
      <c r="F499" s="245">
        <f>SUM(F497:F498)</f>
        <v>0</v>
      </c>
      <c r="G499" s="245">
        <f>SUM(G497:G498)</f>
        <v>975000000</v>
      </c>
      <c r="H499" s="245">
        <f>SUM(H497:H498)</f>
        <v>0</v>
      </c>
      <c r="I499" s="223"/>
      <c r="J499" s="224" t="s">
        <v>173</v>
      </c>
    </row>
    <row r="500" spans="1:11" ht="14.25" customHeight="1">
      <c r="A500" s="227" t="s">
        <v>704</v>
      </c>
      <c r="B500" s="204" t="s">
        <v>318</v>
      </c>
      <c r="C500" s="205" t="s">
        <v>163</v>
      </c>
      <c r="D500" s="206" t="s">
        <v>307</v>
      </c>
      <c r="E500" s="200">
        <v>584000000</v>
      </c>
      <c r="F500" s="200">
        <v>21600516</v>
      </c>
      <c r="G500" s="200">
        <f>K500+F500</f>
        <v>173083814</v>
      </c>
      <c r="H500" s="200">
        <f t="shared" si="15"/>
        <v>410916186</v>
      </c>
      <c r="I500" s="201">
        <v>1.6</v>
      </c>
      <c r="J500" s="216" t="s">
        <v>58</v>
      </c>
      <c r="K500" s="311">
        <v>151483298</v>
      </c>
    </row>
    <row r="501" spans="1:11" ht="14.25" customHeight="1">
      <c r="A501" s="228" t="s">
        <v>302</v>
      </c>
      <c r="B501" s="204">
        <v>14</v>
      </c>
      <c r="C501" s="205" t="s">
        <v>163</v>
      </c>
      <c r="D501" s="206" t="s">
        <v>53</v>
      </c>
      <c r="E501" s="200">
        <v>341000000</v>
      </c>
      <c r="F501" s="200">
        <v>12800280</v>
      </c>
      <c r="G501" s="200">
        <f>K501+F501</f>
        <v>98239639</v>
      </c>
      <c r="H501" s="200">
        <f t="shared" si="15"/>
        <v>242760361</v>
      </c>
      <c r="I501" s="201">
        <v>1.2</v>
      </c>
      <c r="J501" s="216" t="s">
        <v>58</v>
      </c>
      <c r="K501" s="311">
        <v>85439359</v>
      </c>
    </row>
    <row r="502" spans="1:11" ht="17.25" customHeight="1">
      <c r="A502" s="219" t="s">
        <v>376</v>
      </c>
      <c r="B502" s="220" t="s">
        <v>173</v>
      </c>
      <c r="C502" s="221" t="s">
        <v>173</v>
      </c>
      <c r="D502" s="222" t="s">
        <v>173</v>
      </c>
      <c r="E502" s="245">
        <f>SUM(E500:E501)</f>
        <v>925000000</v>
      </c>
      <c r="F502" s="245">
        <f>SUM(F500:F501)</f>
        <v>34400796</v>
      </c>
      <c r="G502" s="245">
        <f>SUM(G500:G501)</f>
        <v>271323453</v>
      </c>
      <c r="H502" s="245">
        <f>SUM(H500:H501)</f>
        <v>653676547</v>
      </c>
      <c r="I502" s="229"/>
      <c r="J502" s="224" t="s">
        <v>173</v>
      </c>
    </row>
    <row r="503" spans="1:11" ht="14.25" customHeight="1">
      <c r="A503" s="230" t="s">
        <v>705</v>
      </c>
      <c r="B503" s="204" t="s">
        <v>318</v>
      </c>
      <c r="C503" s="205" t="s">
        <v>189</v>
      </c>
      <c r="D503" s="204" t="s">
        <v>308</v>
      </c>
      <c r="E503" s="200">
        <v>329000000</v>
      </c>
      <c r="F503" s="200">
        <v>0</v>
      </c>
      <c r="G503" s="200">
        <f>'25.企業債（23決算）'!G502+'25.企業債（2７決算） '!F503</f>
        <v>329000000</v>
      </c>
      <c r="H503" s="200">
        <f t="shared" si="15"/>
        <v>0</v>
      </c>
      <c r="I503" s="201">
        <v>1</v>
      </c>
      <c r="J503" s="216" t="s">
        <v>61</v>
      </c>
      <c r="K503" s="311">
        <v>329000000</v>
      </c>
    </row>
    <row r="504" spans="1:11" ht="14.25" customHeight="1">
      <c r="A504" s="231" t="s">
        <v>166</v>
      </c>
      <c r="B504" s="204">
        <v>13</v>
      </c>
      <c r="C504" s="205" t="s">
        <v>603</v>
      </c>
      <c r="D504" s="206" t="s">
        <v>51</v>
      </c>
      <c r="E504" s="200">
        <v>728000000</v>
      </c>
      <c r="F504" s="200">
        <v>29331362</v>
      </c>
      <c r="G504" s="200">
        <f>K504+F504</f>
        <v>242246944</v>
      </c>
      <c r="H504" s="200">
        <f t="shared" si="15"/>
        <v>485753056</v>
      </c>
      <c r="I504" s="201">
        <v>2.2000000000000002</v>
      </c>
      <c r="J504" s="216" t="s">
        <v>303</v>
      </c>
      <c r="K504" s="311">
        <v>212915582</v>
      </c>
    </row>
    <row r="505" spans="1:11" ht="14.25" customHeight="1">
      <c r="A505" s="231"/>
      <c r="B505" s="204">
        <v>13</v>
      </c>
      <c r="C505" s="205" t="s">
        <v>603</v>
      </c>
      <c r="D505" s="206" t="s">
        <v>605</v>
      </c>
      <c r="E505" s="200">
        <v>59000000</v>
      </c>
      <c r="F505" s="200">
        <v>2382147</v>
      </c>
      <c r="G505" s="200">
        <f t="shared" ref="G505:G520" si="16">K505+F505</f>
        <v>18882134</v>
      </c>
      <c r="H505" s="200">
        <f t="shared" si="15"/>
        <v>40117866</v>
      </c>
      <c r="I505" s="201">
        <v>1.9</v>
      </c>
      <c r="J505" s="216" t="s">
        <v>54</v>
      </c>
      <c r="K505" s="311">
        <v>16499987</v>
      </c>
    </row>
    <row r="506" spans="1:11" ht="14.25" customHeight="1">
      <c r="A506" s="231"/>
      <c r="B506" s="204">
        <v>14</v>
      </c>
      <c r="C506" s="205" t="s">
        <v>266</v>
      </c>
      <c r="D506" s="206" t="s">
        <v>607</v>
      </c>
      <c r="E506" s="200">
        <v>2500000000</v>
      </c>
      <c r="F506" s="200">
        <v>0</v>
      </c>
      <c r="G506" s="200">
        <f t="shared" si="16"/>
        <v>2500000000</v>
      </c>
      <c r="H506" s="200">
        <f t="shared" si="15"/>
        <v>0</v>
      </c>
      <c r="I506" s="201">
        <v>0.8</v>
      </c>
      <c r="J506" s="216" t="s">
        <v>608</v>
      </c>
      <c r="K506" s="311">
        <v>2500000000</v>
      </c>
    </row>
    <row r="507" spans="1:11" ht="14.25" customHeight="1">
      <c r="A507" s="231"/>
      <c r="B507" s="204">
        <v>14</v>
      </c>
      <c r="C507" s="205" t="s">
        <v>603</v>
      </c>
      <c r="D507" s="206" t="s">
        <v>609</v>
      </c>
      <c r="E507" s="200">
        <v>530000000</v>
      </c>
      <c r="F507" s="200">
        <v>0</v>
      </c>
      <c r="G507" s="200">
        <f t="shared" si="16"/>
        <v>530000000</v>
      </c>
      <c r="H507" s="200">
        <f t="shared" si="15"/>
        <v>0</v>
      </c>
      <c r="I507" s="201">
        <v>0.6</v>
      </c>
      <c r="J507" s="216" t="s">
        <v>608</v>
      </c>
      <c r="K507" s="311">
        <v>530000000</v>
      </c>
    </row>
    <row r="508" spans="1:11" ht="14.25" customHeight="1">
      <c r="A508" s="231"/>
      <c r="B508" s="204">
        <v>15</v>
      </c>
      <c r="C508" s="205" t="s">
        <v>266</v>
      </c>
      <c r="D508" s="206" t="s">
        <v>610</v>
      </c>
      <c r="E508" s="200">
        <v>2000000000</v>
      </c>
      <c r="F508" s="200">
        <v>0</v>
      </c>
      <c r="G508" s="200">
        <f t="shared" si="16"/>
        <v>2000000000</v>
      </c>
      <c r="H508" s="200">
        <v>0</v>
      </c>
      <c r="I508" s="201">
        <v>1.4</v>
      </c>
      <c r="J508" s="216" t="s">
        <v>611</v>
      </c>
      <c r="K508" s="311">
        <v>2000000000</v>
      </c>
    </row>
    <row r="509" spans="1:11" ht="14.25" customHeight="1">
      <c r="A509" s="231"/>
      <c r="B509" s="204">
        <v>14</v>
      </c>
      <c r="C509" s="205" t="s">
        <v>189</v>
      </c>
      <c r="D509" s="206" t="s">
        <v>304</v>
      </c>
      <c r="E509" s="200">
        <v>70000000</v>
      </c>
      <c r="F509" s="200">
        <v>0</v>
      </c>
      <c r="G509" s="200">
        <f t="shared" si="16"/>
        <v>70000000</v>
      </c>
      <c r="H509" s="200">
        <f t="shared" si="15"/>
        <v>0</v>
      </c>
      <c r="I509" s="201">
        <v>1</v>
      </c>
      <c r="J509" s="216" t="s">
        <v>611</v>
      </c>
      <c r="K509" s="311">
        <v>70000000</v>
      </c>
    </row>
    <row r="510" spans="1:11" ht="14.25" customHeight="1">
      <c r="A510" s="231"/>
      <c r="B510" s="204">
        <v>15</v>
      </c>
      <c r="C510" s="205" t="s">
        <v>189</v>
      </c>
      <c r="D510" s="206" t="s">
        <v>612</v>
      </c>
      <c r="E510" s="200">
        <v>989000000</v>
      </c>
      <c r="F510" s="200">
        <v>0</v>
      </c>
      <c r="G510" s="200">
        <f t="shared" si="16"/>
        <v>989000000</v>
      </c>
      <c r="H510" s="200">
        <f t="shared" si="15"/>
        <v>0</v>
      </c>
      <c r="I510" s="201">
        <v>1.1000000000000001</v>
      </c>
      <c r="J510" s="216" t="s">
        <v>267</v>
      </c>
      <c r="K510" s="311">
        <v>989000000</v>
      </c>
    </row>
    <row r="511" spans="1:11" ht="14.25" customHeight="1">
      <c r="A511" s="231"/>
      <c r="B511" s="204">
        <v>16</v>
      </c>
      <c r="C511" s="205" t="s">
        <v>266</v>
      </c>
      <c r="D511" s="206" t="s">
        <v>613</v>
      </c>
      <c r="E511" s="200">
        <v>2000000000</v>
      </c>
      <c r="F511" s="200">
        <v>0</v>
      </c>
      <c r="G511" s="200">
        <f t="shared" si="16"/>
        <v>2000000000</v>
      </c>
      <c r="H511" s="200">
        <f t="shared" si="15"/>
        <v>0</v>
      </c>
      <c r="I511" s="201">
        <v>1.3</v>
      </c>
      <c r="J511" s="216" t="s">
        <v>614</v>
      </c>
      <c r="K511" s="311">
        <v>2000000000</v>
      </c>
    </row>
    <row r="512" spans="1:11" ht="14.25" customHeight="1">
      <c r="A512" s="231"/>
      <c r="B512" s="204">
        <v>17</v>
      </c>
      <c r="C512" s="205" t="s">
        <v>266</v>
      </c>
      <c r="D512" s="206" t="s">
        <v>615</v>
      </c>
      <c r="E512" s="200">
        <v>2000000000</v>
      </c>
      <c r="F512" s="200">
        <v>2000000000</v>
      </c>
      <c r="G512" s="200">
        <f t="shared" si="16"/>
        <v>2000000000</v>
      </c>
      <c r="H512" s="200">
        <f t="shared" si="15"/>
        <v>0</v>
      </c>
      <c r="I512" s="201">
        <v>1.5</v>
      </c>
      <c r="J512" s="216" t="s">
        <v>167</v>
      </c>
      <c r="K512" s="311">
        <v>0</v>
      </c>
    </row>
    <row r="513" spans="1:11" ht="14.25" customHeight="1">
      <c r="A513" s="231"/>
      <c r="B513" s="204">
        <v>16</v>
      </c>
      <c r="C513" s="205" t="s">
        <v>189</v>
      </c>
      <c r="D513" s="206" t="s">
        <v>616</v>
      </c>
      <c r="E513" s="200">
        <v>255000000</v>
      </c>
      <c r="F513" s="200">
        <v>18930965</v>
      </c>
      <c r="G513" s="200">
        <f t="shared" si="16"/>
        <v>255000000</v>
      </c>
      <c r="H513" s="200">
        <f t="shared" si="15"/>
        <v>0</v>
      </c>
      <c r="I513" s="201">
        <v>1.2</v>
      </c>
      <c r="J513" s="216" t="s">
        <v>617</v>
      </c>
      <c r="K513" s="311">
        <v>236069035</v>
      </c>
    </row>
    <row r="514" spans="1:11" ht="14.25" customHeight="1">
      <c r="A514" s="231"/>
      <c r="B514" s="204">
        <v>18</v>
      </c>
      <c r="C514" s="205" t="s">
        <v>266</v>
      </c>
      <c r="D514" s="204" t="s">
        <v>618</v>
      </c>
      <c r="E514" s="200">
        <v>500000000</v>
      </c>
      <c r="F514" s="200">
        <v>0</v>
      </c>
      <c r="G514" s="200">
        <f t="shared" si="16"/>
        <v>0</v>
      </c>
      <c r="H514" s="200">
        <f t="shared" si="15"/>
        <v>500000000</v>
      </c>
      <c r="I514" s="201">
        <v>1.8</v>
      </c>
      <c r="J514" s="202" t="s">
        <v>619</v>
      </c>
      <c r="K514" s="311">
        <v>0</v>
      </c>
    </row>
    <row r="515" spans="1:11" ht="14.25" customHeight="1">
      <c r="A515" s="231"/>
      <c r="B515" s="204">
        <v>18</v>
      </c>
      <c r="C515" s="205" t="s">
        <v>189</v>
      </c>
      <c r="D515" s="204" t="s">
        <v>347</v>
      </c>
      <c r="E515" s="200">
        <v>187000000</v>
      </c>
      <c r="F515" s="200">
        <v>27591923</v>
      </c>
      <c r="G515" s="200">
        <f t="shared" si="16"/>
        <v>158950931</v>
      </c>
      <c r="H515" s="200">
        <f t="shared" si="15"/>
        <v>28049069</v>
      </c>
      <c r="I515" s="201">
        <v>1.65</v>
      </c>
      <c r="J515" s="202" t="s">
        <v>276</v>
      </c>
      <c r="K515" s="311">
        <v>131359008</v>
      </c>
    </row>
    <row r="516" spans="1:11" ht="14.25" customHeight="1">
      <c r="A516" s="231"/>
      <c r="B516" s="204">
        <v>19</v>
      </c>
      <c r="C516" s="205" t="s">
        <v>620</v>
      </c>
      <c r="D516" s="204" t="s">
        <v>621</v>
      </c>
      <c r="E516" s="200">
        <v>2000000000</v>
      </c>
      <c r="F516" s="200">
        <v>0</v>
      </c>
      <c r="G516" s="200">
        <f t="shared" si="16"/>
        <v>0</v>
      </c>
      <c r="H516" s="200">
        <f t="shared" si="15"/>
        <v>2000000000</v>
      </c>
      <c r="I516" s="201">
        <v>1.65</v>
      </c>
      <c r="J516" s="202" t="s">
        <v>622</v>
      </c>
      <c r="K516" s="311">
        <v>0</v>
      </c>
    </row>
    <row r="517" spans="1:11" ht="14.25" customHeight="1">
      <c r="A517" s="231"/>
      <c r="B517" s="204">
        <v>19</v>
      </c>
      <c r="C517" s="205" t="s">
        <v>189</v>
      </c>
      <c r="D517" s="204" t="s">
        <v>348</v>
      </c>
      <c r="E517" s="200">
        <v>273000000</v>
      </c>
      <c r="F517" s="200">
        <v>39513969</v>
      </c>
      <c r="G517" s="200">
        <f t="shared" si="16"/>
        <v>192359095</v>
      </c>
      <c r="H517" s="200">
        <f t="shared" si="15"/>
        <v>80640905</v>
      </c>
      <c r="I517" s="201">
        <v>1.35</v>
      </c>
      <c r="J517" s="202" t="s">
        <v>277</v>
      </c>
      <c r="K517" s="311">
        <v>152845126</v>
      </c>
    </row>
    <row r="518" spans="1:11" ht="14.25" customHeight="1">
      <c r="A518" s="231"/>
      <c r="B518" s="204">
        <v>20</v>
      </c>
      <c r="C518" s="205" t="s">
        <v>266</v>
      </c>
      <c r="D518" s="204" t="s">
        <v>623</v>
      </c>
      <c r="E518" s="200">
        <v>2000000000</v>
      </c>
      <c r="F518" s="200">
        <v>0</v>
      </c>
      <c r="G518" s="200">
        <f t="shared" si="16"/>
        <v>0</v>
      </c>
      <c r="H518" s="200">
        <f t="shared" si="15"/>
        <v>2000000000</v>
      </c>
      <c r="I518" s="201">
        <v>1.48</v>
      </c>
      <c r="J518" s="202" t="s">
        <v>280</v>
      </c>
      <c r="K518" s="311">
        <v>0</v>
      </c>
    </row>
    <row r="519" spans="1:11" ht="14.25" customHeight="1">
      <c r="A519" s="231"/>
      <c r="B519" s="204">
        <v>20</v>
      </c>
      <c r="C519" s="217" t="s">
        <v>695</v>
      </c>
      <c r="D519" s="204" t="s">
        <v>624</v>
      </c>
      <c r="E519" s="200">
        <v>605000000</v>
      </c>
      <c r="F519" s="200">
        <v>86411374</v>
      </c>
      <c r="G519" s="200">
        <f t="shared" si="16"/>
        <v>340533409</v>
      </c>
      <c r="H519" s="200">
        <f t="shared" si="15"/>
        <v>264466591</v>
      </c>
      <c r="I519" s="201">
        <v>1</v>
      </c>
      <c r="J519" s="202" t="s">
        <v>280</v>
      </c>
      <c r="K519" s="311">
        <v>254122035</v>
      </c>
    </row>
    <row r="520" spans="1:11" ht="14.25" customHeight="1">
      <c r="A520" s="232"/>
      <c r="B520" s="204">
        <v>20</v>
      </c>
      <c r="C520" s="217" t="s">
        <v>695</v>
      </c>
      <c r="D520" s="204" t="s">
        <v>624</v>
      </c>
      <c r="E520" s="200">
        <v>363000000</v>
      </c>
      <c r="F520" s="200">
        <v>51846824</v>
      </c>
      <c r="G520" s="200">
        <f t="shared" si="16"/>
        <v>204320045</v>
      </c>
      <c r="H520" s="200">
        <f t="shared" si="15"/>
        <v>158679955</v>
      </c>
      <c r="I520" s="201">
        <v>1</v>
      </c>
      <c r="J520" s="202" t="s">
        <v>689</v>
      </c>
      <c r="K520" s="311">
        <v>152473221</v>
      </c>
    </row>
    <row r="521" spans="1:11" ht="14.25" customHeight="1">
      <c r="A521" s="231"/>
      <c r="B521" s="204">
        <v>21</v>
      </c>
      <c r="C521" s="217" t="s">
        <v>698</v>
      </c>
      <c r="D521" s="204" t="s">
        <v>808</v>
      </c>
      <c r="E521" s="200">
        <v>1423000000</v>
      </c>
      <c r="F521" s="200">
        <v>201435931</v>
      </c>
      <c r="G521" s="200">
        <f>K521+F521</f>
        <v>598921614</v>
      </c>
      <c r="H521" s="200">
        <f>E521-G521</f>
        <v>824078386</v>
      </c>
      <c r="I521" s="201">
        <v>0.9</v>
      </c>
      <c r="J521" s="202" t="s">
        <v>283</v>
      </c>
      <c r="K521" s="311">
        <v>397485683</v>
      </c>
    </row>
    <row r="522" spans="1:11" ht="14.25" customHeight="1">
      <c r="A522" s="231"/>
      <c r="B522" s="204">
        <v>22</v>
      </c>
      <c r="C522" s="217" t="s">
        <v>886</v>
      </c>
      <c r="D522" s="204" t="s">
        <v>1339</v>
      </c>
      <c r="E522" s="200">
        <v>965000000</v>
      </c>
      <c r="F522" s="200">
        <v>134984095</v>
      </c>
      <c r="G522" s="200">
        <f>K522+F522</f>
        <v>134984095</v>
      </c>
      <c r="H522" s="200">
        <f t="shared" si="15"/>
        <v>830015905</v>
      </c>
      <c r="I522" s="201">
        <v>0.7</v>
      </c>
      <c r="J522" s="202" t="s">
        <v>1377</v>
      </c>
      <c r="K522" s="311">
        <v>0</v>
      </c>
    </row>
    <row r="523" spans="1:11" ht="14.25" customHeight="1">
      <c r="A523" s="231"/>
      <c r="B523" s="204">
        <v>24</v>
      </c>
      <c r="C523" s="217" t="s">
        <v>886</v>
      </c>
      <c r="D523" s="128" t="s">
        <v>80</v>
      </c>
      <c r="E523" s="200">
        <v>1800000000</v>
      </c>
      <c r="F523" s="200">
        <v>0</v>
      </c>
      <c r="G523" s="200">
        <v>0</v>
      </c>
      <c r="H523" s="200">
        <f>E523-G523</f>
        <v>1800000000</v>
      </c>
      <c r="I523" s="201">
        <v>0.4</v>
      </c>
      <c r="J523" s="147" t="s">
        <v>81</v>
      </c>
      <c r="K523" s="311">
        <v>0</v>
      </c>
    </row>
    <row r="524" spans="1:11" ht="14.25" customHeight="1">
      <c r="A524" s="318"/>
      <c r="B524" s="204">
        <v>25</v>
      </c>
      <c r="C524" s="217" t="s">
        <v>886</v>
      </c>
      <c r="D524" s="128" t="s">
        <v>1711</v>
      </c>
      <c r="E524" s="200">
        <v>2000000000</v>
      </c>
      <c r="F524" s="200">
        <v>0</v>
      </c>
      <c r="G524" s="200">
        <v>0</v>
      </c>
      <c r="H524" s="200">
        <f>E524-G524</f>
        <v>2000000000</v>
      </c>
      <c r="I524" s="201">
        <v>0.4</v>
      </c>
      <c r="J524" s="147" t="s">
        <v>1712</v>
      </c>
      <c r="K524" s="311">
        <v>0</v>
      </c>
    </row>
    <row r="525" spans="1:11" ht="14.25" customHeight="1">
      <c r="A525" s="231"/>
      <c r="B525" s="204">
        <v>26</v>
      </c>
      <c r="C525" s="184" t="s">
        <v>345</v>
      </c>
      <c r="D525" s="128" t="s">
        <v>1713</v>
      </c>
      <c r="E525" s="200">
        <v>2000000000</v>
      </c>
      <c r="F525" s="200">
        <v>0</v>
      </c>
      <c r="G525" s="200">
        <v>0</v>
      </c>
      <c r="H525" s="200">
        <v>2000000000</v>
      </c>
      <c r="I525" s="201">
        <v>0.4</v>
      </c>
      <c r="J525" s="147" t="s">
        <v>1714</v>
      </c>
    </row>
    <row r="526" spans="1:11" ht="14.25" customHeight="1">
      <c r="A526" s="231"/>
      <c r="B526" s="204">
        <v>27</v>
      </c>
      <c r="C526" s="184" t="s">
        <v>886</v>
      </c>
      <c r="D526" s="128" t="s">
        <v>1716</v>
      </c>
      <c r="E526" s="200">
        <v>2000000000</v>
      </c>
      <c r="F526" s="200">
        <v>0</v>
      </c>
      <c r="G526" s="200">
        <v>0</v>
      </c>
      <c r="H526" s="200">
        <v>2000000000</v>
      </c>
      <c r="I526" s="201">
        <v>0.1</v>
      </c>
      <c r="J526" s="147" t="s">
        <v>1715</v>
      </c>
    </row>
    <row r="527" spans="1:11" ht="17.25" customHeight="1" thickBot="1">
      <c r="A527" s="219" t="s">
        <v>376</v>
      </c>
      <c r="B527" s="220" t="s">
        <v>173</v>
      </c>
      <c r="C527" s="221" t="s">
        <v>173</v>
      </c>
      <c r="D527" s="222" t="s">
        <v>173</v>
      </c>
      <c r="E527" s="245">
        <f>SUM(E503:E526)</f>
        <v>27576000000</v>
      </c>
      <c r="F527" s="245">
        <f>SUM(F503:F526)</f>
        <v>2592428590</v>
      </c>
      <c r="G527" s="245">
        <f>SUM(G503:G526)</f>
        <v>12564198267</v>
      </c>
      <c r="H527" s="245">
        <f>SUM(H503:H526)</f>
        <v>15011801733</v>
      </c>
      <c r="I527" s="223"/>
      <c r="J527" s="224" t="s">
        <v>173</v>
      </c>
    </row>
    <row r="528" spans="1:11" ht="14.25" customHeight="1">
      <c r="A528" s="479" t="s">
        <v>26</v>
      </c>
      <c r="B528" s="481" t="s">
        <v>311</v>
      </c>
      <c r="C528" s="483" t="s">
        <v>27</v>
      </c>
      <c r="D528" s="481" t="s">
        <v>312</v>
      </c>
      <c r="E528" s="485" t="s">
        <v>28</v>
      </c>
      <c r="F528" s="487" t="s">
        <v>29</v>
      </c>
      <c r="G528" s="493"/>
      <c r="H528" s="489" t="s">
        <v>174</v>
      </c>
      <c r="I528" s="491" t="s">
        <v>30</v>
      </c>
      <c r="J528" s="477" t="s">
        <v>313</v>
      </c>
    </row>
    <row r="529" spans="1:11" ht="14.25" customHeight="1">
      <c r="A529" s="480"/>
      <c r="B529" s="482"/>
      <c r="C529" s="484"/>
      <c r="D529" s="482"/>
      <c r="E529" s="486"/>
      <c r="F529" s="207" t="s">
        <v>176</v>
      </c>
      <c r="G529" s="207" t="s">
        <v>305</v>
      </c>
      <c r="H529" s="490"/>
      <c r="I529" s="492"/>
      <c r="J529" s="478"/>
    </row>
    <row r="530" spans="1:11" ht="14.25" customHeight="1">
      <c r="A530" s="225" t="s">
        <v>168</v>
      </c>
      <c r="B530" s="204" t="s">
        <v>319</v>
      </c>
      <c r="C530" s="233" t="s">
        <v>189</v>
      </c>
      <c r="D530" s="206" t="s">
        <v>309</v>
      </c>
      <c r="E530" s="234">
        <v>29000000</v>
      </c>
      <c r="F530" s="200">
        <v>1722211</v>
      </c>
      <c r="G530" s="200">
        <f>K530+F530</f>
        <v>16400730</v>
      </c>
      <c r="H530" s="200">
        <f t="shared" si="15"/>
        <v>12599270</v>
      </c>
      <c r="I530" s="201">
        <v>1.1000000000000001</v>
      </c>
      <c r="J530" s="235" t="s">
        <v>686</v>
      </c>
      <c r="K530" s="311">
        <v>14678519</v>
      </c>
    </row>
    <row r="531" spans="1:11" ht="14.25" customHeight="1">
      <c r="A531" s="236" t="s">
        <v>169</v>
      </c>
      <c r="B531" s="204">
        <v>15</v>
      </c>
      <c r="C531" s="237" t="s">
        <v>189</v>
      </c>
      <c r="D531" s="206" t="s">
        <v>612</v>
      </c>
      <c r="E531" s="238">
        <v>67000000</v>
      </c>
      <c r="F531" s="200">
        <v>3929191</v>
      </c>
      <c r="G531" s="200">
        <f t="shared" ref="G531:G536" si="17">K531+F531</f>
        <v>33206948</v>
      </c>
      <c r="H531" s="200">
        <f t="shared" si="15"/>
        <v>33793052</v>
      </c>
      <c r="I531" s="201">
        <v>1.6</v>
      </c>
      <c r="J531" s="216" t="s">
        <v>626</v>
      </c>
      <c r="K531" s="311">
        <v>29277757</v>
      </c>
    </row>
    <row r="532" spans="1:11" ht="14.25" customHeight="1">
      <c r="A532" s="236"/>
      <c r="B532" s="204">
        <v>16</v>
      </c>
      <c r="C532" s="237" t="s">
        <v>189</v>
      </c>
      <c r="D532" s="206" t="s">
        <v>137</v>
      </c>
      <c r="E532" s="238">
        <v>62000000</v>
      </c>
      <c r="F532" s="200">
        <v>3573539</v>
      </c>
      <c r="G532" s="200">
        <f t="shared" si="17"/>
        <v>26963973</v>
      </c>
      <c r="H532" s="200">
        <f t="shared" si="15"/>
        <v>35036027</v>
      </c>
      <c r="I532" s="201">
        <v>1.7</v>
      </c>
      <c r="J532" s="202" t="s">
        <v>628</v>
      </c>
      <c r="K532" s="311">
        <v>23390434</v>
      </c>
    </row>
    <row r="533" spans="1:11" ht="14.25" customHeight="1">
      <c r="A533" s="236"/>
      <c r="B533" s="204">
        <v>17</v>
      </c>
      <c r="C533" s="237" t="s">
        <v>189</v>
      </c>
      <c r="D533" s="206" t="s">
        <v>629</v>
      </c>
      <c r="E533" s="238">
        <v>124000000</v>
      </c>
      <c r="F533" s="200">
        <v>7010289</v>
      </c>
      <c r="G533" s="200">
        <f t="shared" si="17"/>
        <v>46533514</v>
      </c>
      <c r="H533" s="200">
        <f t="shared" si="15"/>
        <v>77466486</v>
      </c>
      <c r="I533" s="201">
        <v>1.8</v>
      </c>
      <c r="J533" s="202" t="s">
        <v>43</v>
      </c>
      <c r="K533" s="311">
        <v>39523225</v>
      </c>
    </row>
    <row r="534" spans="1:11" ht="14.25" customHeight="1">
      <c r="A534" s="236"/>
      <c r="B534" s="204">
        <v>18</v>
      </c>
      <c r="C534" s="237" t="s">
        <v>189</v>
      </c>
      <c r="D534" s="206" t="s">
        <v>347</v>
      </c>
      <c r="E534" s="238">
        <v>38000000</v>
      </c>
      <c r="F534" s="200">
        <v>2102978</v>
      </c>
      <c r="G534" s="200">
        <f t="shared" si="17"/>
        <v>12041506</v>
      </c>
      <c r="H534" s="200">
        <f t="shared" si="15"/>
        <v>25958494</v>
      </c>
      <c r="I534" s="201">
        <v>1.9</v>
      </c>
      <c r="J534" s="202" t="s">
        <v>294</v>
      </c>
      <c r="K534" s="311">
        <v>9938528</v>
      </c>
    </row>
    <row r="535" spans="1:11" ht="14.25" customHeight="1">
      <c r="A535" s="236"/>
      <c r="B535" s="204">
        <v>19</v>
      </c>
      <c r="C535" s="237" t="s">
        <v>495</v>
      </c>
      <c r="D535" s="204" t="s">
        <v>632</v>
      </c>
      <c r="E535" s="238">
        <v>71000000</v>
      </c>
      <c r="F535" s="200">
        <v>3881146</v>
      </c>
      <c r="G535" s="200">
        <f t="shared" si="17"/>
        <v>18746823</v>
      </c>
      <c r="H535" s="200">
        <f t="shared" si="15"/>
        <v>52253177</v>
      </c>
      <c r="I535" s="201">
        <v>1.75</v>
      </c>
      <c r="J535" s="202" t="s">
        <v>633</v>
      </c>
      <c r="K535" s="311">
        <v>14865677</v>
      </c>
    </row>
    <row r="536" spans="1:11" ht="14.25" customHeight="1">
      <c r="A536" s="236"/>
      <c r="B536" s="204">
        <v>20</v>
      </c>
      <c r="C536" s="217" t="s">
        <v>695</v>
      </c>
      <c r="D536" s="204" t="s">
        <v>624</v>
      </c>
      <c r="E536" s="238">
        <v>55000000</v>
      </c>
      <c r="F536" s="200">
        <v>2978418</v>
      </c>
      <c r="G536" s="200">
        <f t="shared" si="17"/>
        <v>11634107</v>
      </c>
      <c r="H536" s="200">
        <f t="shared" si="15"/>
        <v>43365893</v>
      </c>
      <c r="I536" s="201">
        <v>1.6</v>
      </c>
      <c r="J536" s="202" t="s">
        <v>296</v>
      </c>
      <c r="K536" s="311">
        <v>8655689</v>
      </c>
    </row>
    <row r="537" spans="1:11" ht="17.25" customHeight="1">
      <c r="A537" s="316" t="s">
        <v>376</v>
      </c>
      <c r="B537" s="248" t="s">
        <v>173</v>
      </c>
      <c r="C537" s="249" t="s">
        <v>173</v>
      </c>
      <c r="D537" s="210" t="s">
        <v>173</v>
      </c>
      <c r="E537" s="250">
        <f>SUM(E530:E536)</f>
        <v>446000000</v>
      </c>
      <c r="F537" s="250">
        <f>SUM(F530:F536)</f>
        <v>25197772</v>
      </c>
      <c r="G537" s="250">
        <f>SUM(G530:G536)</f>
        <v>165527601</v>
      </c>
      <c r="H537" s="250">
        <f>SUM(H530:H536)</f>
        <v>280472399</v>
      </c>
      <c r="I537" s="213"/>
      <c r="J537" s="214" t="s">
        <v>173</v>
      </c>
    </row>
    <row r="538" spans="1:11" ht="14.25" customHeight="1">
      <c r="A538" s="247" t="s">
        <v>706</v>
      </c>
      <c r="B538" s="248" t="s">
        <v>320</v>
      </c>
      <c r="C538" s="249" t="s">
        <v>163</v>
      </c>
      <c r="D538" s="211" t="s">
        <v>310</v>
      </c>
      <c r="E538" s="250">
        <v>1006000000</v>
      </c>
      <c r="F538" s="250">
        <v>35345878</v>
      </c>
      <c r="G538" s="250">
        <f>K538+F538</f>
        <v>233266576</v>
      </c>
      <c r="H538" s="250">
        <f t="shared" ref="H538:H547" si="18">E538-G538</f>
        <v>772733424</v>
      </c>
      <c r="I538" s="213">
        <v>2</v>
      </c>
      <c r="J538" s="235" t="s">
        <v>63</v>
      </c>
      <c r="K538" s="311">
        <v>197920698</v>
      </c>
    </row>
    <row r="539" spans="1:11" ht="14.25" customHeight="1">
      <c r="A539" s="236" t="s">
        <v>707</v>
      </c>
      <c r="B539" s="204">
        <v>16</v>
      </c>
      <c r="C539" s="237" t="s">
        <v>189</v>
      </c>
      <c r="D539" s="206" t="s">
        <v>137</v>
      </c>
      <c r="E539" s="200">
        <v>288000000</v>
      </c>
      <c r="F539" s="200">
        <v>10941255</v>
      </c>
      <c r="G539" s="200">
        <f t="shared" ref="G539:G545" si="19">K539+F539</f>
        <v>62346657</v>
      </c>
      <c r="H539" s="200">
        <f t="shared" si="18"/>
        <v>225653343</v>
      </c>
      <c r="I539" s="201">
        <v>2.1</v>
      </c>
      <c r="J539" s="202" t="s">
        <v>58</v>
      </c>
      <c r="K539" s="311">
        <v>51405402</v>
      </c>
    </row>
    <row r="540" spans="1:11" ht="14.25" customHeight="1">
      <c r="A540" s="232"/>
      <c r="B540" s="204">
        <v>16</v>
      </c>
      <c r="C540" s="205" t="s">
        <v>163</v>
      </c>
      <c r="D540" s="206" t="s">
        <v>138</v>
      </c>
      <c r="E540" s="200">
        <v>2952000000</v>
      </c>
      <c r="F540" s="200">
        <v>100867494</v>
      </c>
      <c r="G540" s="200">
        <f t="shared" si="19"/>
        <v>574774188</v>
      </c>
      <c r="H540" s="200">
        <f t="shared" si="18"/>
        <v>2377225812</v>
      </c>
      <c r="I540" s="201">
        <v>2.1</v>
      </c>
      <c r="J540" s="202" t="s">
        <v>139</v>
      </c>
      <c r="K540" s="311">
        <v>473906694</v>
      </c>
    </row>
    <row r="541" spans="1:11" ht="14.25" customHeight="1">
      <c r="A541" s="232"/>
      <c r="B541" s="204">
        <v>17</v>
      </c>
      <c r="C541" s="205" t="s">
        <v>163</v>
      </c>
      <c r="D541" s="206" t="s">
        <v>140</v>
      </c>
      <c r="E541" s="200">
        <v>3534000000</v>
      </c>
      <c r="F541" s="200">
        <v>118257526</v>
      </c>
      <c r="G541" s="200">
        <f t="shared" si="19"/>
        <v>567339520</v>
      </c>
      <c r="H541" s="200">
        <f t="shared" si="18"/>
        <v>2966660480</v>
      </c>
      <c r="I541" s="201">
        <v>2.1</v>
      </c>
      <c r="J541" s="202" t="s">
        <v>141</v>
      </c>
      <c r="K541" s="311">
        <v>449081994</v>
      </c>
    </row>
    <row r="542" spans="1:11" ht="14.25" customHeight="1">
      <c r="A542" s="232"/>
      <c r="B542" s="204">
        <v>18</v>
      </c>
      <c r="C542" s="205" t="s">
        <v>266</v>
      </c>
      <c r="D542" s="204" t="s">
        <v>346</v>
      </c>
      <c r="E542" s="200">
        <v>1500000000</v>
      </c>
      <c r="F542" s="200">
        <v>0</v>
      </c>
      <c r="G542" s="200">
        <f t="shared" si="19"/>
        <v>0</v>
      </c>
      <c r="H542" s="200">
        <f t="shared" si="18"/>
        <v>1500000000</v>
      </c>
      <c r="I542" s="201">
        <v>1.8</v>
      </c>
      <c r="J542" s="202" t="s">
        <v>276</v>
      </c>
      <c r="K542" s="311">
        <v>0</v>
      </c>
    </row>
    <row r="543" spans="1:11" ht="14.25" customHeight="1">
      <c r="A543" s="232"/>
      <c r="B543" s="204">
        <v>18</v>
      </c>
      <c r="C543" s="205" t="s">
        <v>163</v>
      </c>
      <c r="D543" s="204" t="s">
        <v>675</v>
      </c>
      <c r="E543" s="200">
        <v>1800000000</v>
      </c>
      <c r="F543" s="200">
        <v>58987788</v>
      </c>
      <c r="G543" s="200">
        <f t="shared" si="19"/>
        <v>228734461</v>
      </c>
      <c r="H543" s="200">
        <f t="shared" si="18"/>
        <v>1571265539</v>
      </c>
      <c r="I543" s="201">
        <v>2.1</v>
      </c>
      <c r="J543" s="202" t="s">
        <v>662</v>
      </c>
      <c r="K543" s="311">
        <v>169746673</v>
      </c>
    </row>
    <row r="544" spans="1:11" ht="14.25" customHeight="1">
      <c r="A544" s="232"/>
      <c r="B544" s="204">
        <v>19</v>
      </c>
      <c r="C544" s="205" t="s">
        <v>345</v>
      </c>
      <c r="D544" s="204" t="s">
        <v>632</v>
      </c>
      <c r="E544" s="200">
        <v>3666000000</v>
      </c>
      <c r="F544" s="200">
        <v>117654741</v>
      </c>
      <c r="G544" s="200">
        <f t="shared" si="19"/>
        <v>345717391</v>
      </c>
      <c r="H544" s="200">
        <f t="shared" si="18"/>
        <v>3320282609</v>
      </c>
      <c r="I544" s="201">
        <v>2.1</v>
      </c>
      <c r="J544" s="202" t="s">
        <v>677</v>
      </c>
      <c r="K544" s="311">
        <v>228062650</v>
      </c>
    </row>
    <row r="545" spans="1:11" ht="14.25" customHeight="1">
      <c r="A545" s="232"/>
      <c r="B545" s="204">
        <v>20</v>
      </c>
      <c r="C545" s="205" t="s">
        <v>345</v>
      </c>
      <c r="D545" s="204" t="s">
        <v>624</v>
      </c>
      <c r="E545" s="200">
        <v>3348000000</v>
      </c>
      <c r="F545" s="200">
        <v>107764554</v>
      </c>
      <c r="G545" s="200">
        <f t="shared" si="19"/>
        <v>213510394</v>
      </c>
      <c r="H545" s="200">
        <f t="shared" si="18"/>
        <v>3134489606</v>
      </c>
      <c r="I545" s="201">
        <v>1.9</v>
      </c>
      <c r="J545" s="202" t="s">
        <v>636</v>
      </c>
      <c r="K545" s="311">
        <v>105745840</v>
      </c>
    </row>
    <row r="546" spans="1:11" ht="14.25" customHeight="1">
      <c r="A546" s="232"/>
      <c r="B546" s="204">
        <v>21</v>
      </c>
      <c r="C546" s="237" t="s">
        <v>163</v>
      </c>
      <c r="D546" s="204" t="s">
        <v>808</v>
      </c>
      <c r="E546" s="200">
        <v>1744000000</v>
      </c>
      <c r="F546" s="200">
        <v>53680702</v>
      </c>
      <c r="G546" s="200">
        <f>'25.企業債（23決算）'!G542+'25.企業債（2７決算） '!F546</f>
        <v>53680702</v>
      </c>
      <c r="H546" s="200">
        <f>E546-G546</f>
        <v>1690319298</v>
      </c>
      <c r="I546" s="201">
        <v>2.1</v>
      </c>
      <c r="J546" s="202" t="s">
        <v>696</v>
      </c>
    </row>
    <row r="547" spans="1:11" ht="14.25" customHeight="1">
      <c r="A547" s="232"/>
      <c r="B547" s="204">
        <v>22</v>
      </c>
      <c r="C547" s="237" t="s">
        <v>163</v>
      </c>
      <c r="D547" s="204" t="s">
        <v>887</v>
      </c>
      <c r="E547" s="200">
        <v>416000000</v>
      </c>
      <c r="F547" s="200">
        <v>0</v>
      </c>
      <c r="G547" s="200">
        <f>'25.企業債（23決算）'!G543+'25.企業債（2７決算） '!F547</f>
        <v>0</v>
      </c>
      <c r="H547" s="200">
        <f t="shared" si="18"/>
        <v>416000000</v>
      </c>
      <c r="I547" s="201">
        <v>1.9</v>
      </c>
      <c r="J547" s="202" t="s">
        <v>888</v>
      </c>
    </row>
    <row r="548" spans="1:11" ht="15.75" customHeight="1">
      <c r="A548" s="219" t="s">
        <v>376</v>
      </c>
      <c r="B548" s="220"/>
      <c r="C548" s="221"/>
      <c r="D548" s="222"/>
      <c r="E548" s="245">
        <f>SUM(E538:E547)</f>
        <v>20254000000</v>
      </c>
      <c r="F548" s="245">
        <f>SUM(F538:F547)</f>
        <v>603499938</v>
      </c>
      <c r="G548" s="245">
        <f>SUM(G538:G547)</f>
        <v>2279369889</v>
      </c>
      <c r="H548" s="245">
        <f>SUM(H538:H547)</f>
        <v>17974630111</v>
      </c>
      <c r="I548" s="223"/>
      <c r="J548" s="224"/>
    </row>
    <row r="549" spans="1:11" ht="24" customHeight="1" thickBot="1">
      <c r="A549" s="239" t="s">
        <v>170</v>
      </c>
      <c r="B549" s="240" t="s">
        <v>173</v>
      </c>
      <c r="C549" s="241" t="s">
        <v>173</v>
      </c>
      <c r="D549" s="242" t="s">
        <v>173</v>
      </c>
      <c r="E549" s="246">
        <f>E24+E43+E78+E161+E195+E287+E385+E389+E427+E493+E496+E499+E502+E527+E537+E548</f>
        <v>531595236889</v>
      </c>
      <c r="F549" s="246">
        <f>F24+F43+F78+F161+F195+F287+F385+F389+F427+F493+F496+F499+F502+F527+F537+F548</f>
        <v>10916736486</v>
      </c>
      <c r="G549" s="246">
        <f>G24+G43+G78+G161+G195+G287+G385+G389+G427+G493+G496+G499+G502+G527+G537+G548</f>
        <v>384258495213</v>
      </c>
      <c r="H549" s="246">
        <f>H24+H43+H78+H161+H195+H287+H385+H389+H427+H493+H496+H499+H502+H527+H537+H548</f>
        <v>147336741676</v>
      </c>
      <c r="I549" s="243"/>
      <c r="J549" s="244" t="s">
        <v>173</v>
      </c>
    </row>
    <row r="550" spans="1:11">
      <c r="E550" s="313"/>
      <c r="F550" s="313"/>
      <c r="G550" s="313"/>
      <c r="H550" s="313"/>
      <c r="I550" s="311"/>
      <c r="J550" s="311"/>
    </row>
    <row r="551" spans="1:11">
      <c r="C551" s="314"/>
      <c r="D551" s="314"/>
      <c r="E551" s="315"/>
      <c r="F551" s="315">
        <v>10916736486</v>
      </c>
      <c r="G551" s="315"/>
      <c r="H551" s="315">
        <v>147336741676</v>
      </c>
      <c r="I551" s="314"/>
      <c r="J551" s="314"/>
    </row>
    <row r="552" spans="1:11">
      <c r="C552" s="314"/>
      <c r="D552" s="314"/>
      <c r="E552" s="315"/>
      <c r="F552" s="315">
        <f>F551-F549</f>
        <v>0</v>
      </c>
      <c r="G552" s="315"/>
      <c r="H552" s="315">
        <f>H551-H549</f>
        <v>0</v>
      </c>
      <c r="I552" s="314"/>
      <c r="J552" s="314"/>
    </row>
    <row r="553" spans="1:11">
      <c r="C553" s="314"/>
      <c r="D553" s="314"/>
      <c r="E553" s="315"/>
      <c r="F553" s="315"/>
      <c r="G553" s="315"/>
      <c r="H553" s="315"/>
      <c r="I553" s="314"/>
      <c r="J553" s="314"/>
    </row>
    <row r="554" spans="1:11">
      <c r="C554" s="314"/>
      <c r="D554" s="314"/>
      <c r="E554" s="315"/>
      <c r="F554" s="315"/>
      <c r="G554" s="315"/>
      <c r="H554" s="315">
        <v>147336741676</v>
      </c>
      <c r="I554" s="314"/>
      <c r="J554" s="314"/>
    </row>
    <row r="555" spans="1:11">
      <c r="C555" s="314"/>
      <c r="D555" s="314"/>
      <c r="E555" s="315"/>
      <c r="F555" s="315"/>
      <c r="G555" s="315"/>
      <c r="H555" s="315">
        <f>E549-G549</f>
        <v>147336741676</v>
      </c>
      <c r="I555" s="314"/>
      <c r="J555" s="314"/>
    </row>
    <row r="556" spans="1:11">
      <c r="C556" s="314"/>
      <c r="D556" s="314"/>
      <c r="E556" s="315"/>
      <c r="F556" s="315"/>
      <c r="G556" s="315"/>
      <c r="H556" s="315"/>
      <c r="I556" s="314"/>
      <c r="J556" s="314"/>
    </row>
    <row r="557" spans="1:11">
      <c r="C557" s="314"/>
      <c r="D557" s="314"/>
      <c r="E557" s="315"/>
      <c r="F557" s="315"/>
      <c r="G557" s="315"/>
      <c r="H557" s="315"/>
      <c r="I557" s="314"/>
      <c r="J557" s="314"/>
    </row>
    <row r="558" spans="1:11">
      <c r="C558" s="314"/>
      <c r="D558" s="314"/>
      <c r="E558" s="315"/>
      <c r="F558" s="315"/>
      <c r="G558" s="315"/>
      <c r="H558" s="315"/>
      <c r="I558" s="314"/>
      <c r="J558" s="314"/>
    </row>
    <row r="559" spans="1:11">
      <c r="C559" s="314"/>
      <c r="D559" s="314"/>
      <c r="E559" s="315"/>
      <c r="F559" s="315"/>
      <c r="G559" s="315"/>
      <c r="H559" s="315"/>
      <c r="I559" s="314"/>
      <c r="J559" s="314"/>
    </row>
    <row r="560" spans="1:11">
      <c r="C560" s="314"/>
      <c r="D560" s="314"/>
      <c r="E560" s="315"/>
      <c r="F560" s="315"/>
      <c r="G560" s="315"/>
      <c r="H560" s="315"/>
      <c r="I560" s="314"/>
      <c r="J560" s="314"/>
    </row>
  </sheetData>
  <autoFilter ref="A3:L3" xr:uid="{00000000-0009-0000-0000-000001000000}"/>
  <mergeCells count="90">
    <mergeCell ref="I528:I529"/>
    <mergeCell ref="J528:J529"/>
    <mergeCell ref="H468:H469"/>
    <mergeCell ref="I468:I469"/>
    <mergeCell ref="J468:J469"/>
    <mergeCell ref="F528:G528"/>
    <mergeCell ref="H528:H529"/>
    <mergeCell ref="A468:A469"/>
    <mergeCell ref="B468:B469"/>
    <mergeCell ref="C468:C469"/>
    <mergeCell ref="D468:D469"/>
    <mergeCell ref="E468:E469"/>
    <mergeCell ref="F468:G468"/>
    <mergeCell ref="A528:A529"/>
    <mergeCell ref="B528:B529"/>
    <mergeCell ref="C528:C529"/>
    <mergeCell ref="D528:D529"/>
    <mergeCell ref="E528:E529"/>
    <mergeCell ref="J346:J347"/>
    <mergeCell ref="A408:A409"/>
    <mergeCell ref="B408:B409"/>
    <mergeCell ref="C408:C409"/>
    <mergeCell ref="D408:D409"/>
    <mergeCell ref="E408:E409"/>
    <mergeCell ref="F408:G408"/>
    <mergeCell ref="H408:H409"/>
    <mergeCell ref="I408:I409"/>
    <mergeCell ref="J408:J409"/>
    <mergeCell ref="A346:A347"/>
    <mergeCell ref="B346:B347"/>
    <mergeCell ref="C346:C347"/>
    <mergeCell ref="D346:D347"/>
    <mergeCell ref="E346:E347"/>
    <mergeCell ref="H228:H229"/>
    <mergeCell ref="I228:I229"/>
    <mergeCell ref="F346:G346"/>
    <mergeCell ref="H346:H347"/>
    <mergeCell ref="I346:I347"/>
    <mergeCell ref="J228:J229"/>
    <mergeCell ref="A289:A290"/>
    <mergeCell ref="B289:B290"/>
    <mergeCell ref="C289:C290"/>
    <mergeCell ref="D289:D290"/>
    <mergeCell ref="E289:E290"/>
    <mergeCell ref="F289:G289"/>
    <mergeCell ref="H289:H290"/>
    <mergeCell ref="I289:I290"/>
    <mergeCell ref="J289:J290"/>
    <mergeCell ref="A228:A229"/>
    <mergeCell ref="B228:B229"/>
    <mergeCell ref="C228:C229"/>
    <mergeCell ref="D228:D229"/>
    <mergeCell ref="E228:E229"/>
    <mergeCell ref="F228:G228"/>
    <mergeCell ref="J113:J114"/>
    <mergeCell ref="A171:A172"/>
    <mergeCell ref="B171:B172"/>
    <mergeCell ref="C171:C172"/>
    <mergeCell ref="D171:D172"/>
    <mergeCell ref="E171:E172"/>
    <mergeCell ref="F171:G171"/>
    <mergeCell ref="H171:H172"/>
    <mergeCell ref="I171:I172"/>
    <mergeCell ref="J171:J172"/>
    <mergeCell ref="A113:A114"/>
    <mergeCell ref="B113:B114"/>
    <mergeCell ref="C113:C114"/>
    <mergeCell ref="D113:D114"/>
    <mergeCell ref="E113:E114"/>
    <mergeCell ref="H2:H3"/>
    <mergeCell ref="I2:I3"/>
    <mergeCell ref="F113:G113"/>
    <mergeCell ref="H113:H114"/>
    <mergeCell ref="I113:I114"/>
    <mergeCell ref="J2:J3"/>
    <mergeCell ref="A57:A58"/>
    <mergeCell ref="B57:B58"/>
    <mergeCell ref="C57:C58"/>
    <mergeCell ref="D57:D58"/>
    <mergeCell ref="E57:E58"/>
    <mergeCell ref="F57:G57"/>
    <mergeCell ref="H57:H58"/>
    <mergeCell ref="I57:I58"/>
    <mergeCell ref="J57:J58"/>
    <mergeCell ref="A2:A3"/>
    <mergeCell ref="B2:B3"/>
    <mergeCell ref="C2:C3"/>
    <mergeCell ref="D2:D3"/>
    <mergeCell ref="E2:E3"/>
    <mergeCell ref="F2:G2"/>
  </mergeCells>
  <phoneticPr fontId="2"/>
  <pageMargins left="0.98425196850393704" right="0.39370078740157483" top="0.98425196850393704" bottom="0.74803149606299213" header="0.31496062992125984" footer="0.31496062992125984"/>
  <pageSetup paperSize="9" scale="89" firstPageNumber="100" orientation="portrait" useFirstPageNumber="1" r:id="rId1"/>
  <headerFooter>
    <oddFooter>&amp;C&amp;P</oddFooter>
  </headerFooter>
  <rowBreaks count="9" manualBreakCount="9">
    <brk id="56" max="16383" man="1"/>
    <brk id="112" max="16383" man="1"/>
    <brk id="170" max="16383" man="1"/>
    <brk id="227" max="16383" man="1"/>
    <brk id="288" max="16383" man="1"/>
    <brk id="345" max="16383" man="1"/>
    <brk id="407" max="16383" man="1"/>
    <brk id="467" max="16383" man="1"/>
    <brk id="527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51"/>
  <sheetViews>
    <sheetView view="pageBreakPreview" zoomScale="115" zoomScaleNormal="100" zoomScaleSheetLayoutView="115" workbookViewId="0">
      <pane ySplit="3" topLeftCell="A475" activePane="bottomLeft" state="frozen"/>
      <selection activeCell="A2" sqref="A2:A3"/>
      <selection pane="bottomLeft" activeCell="A2" sqref="A2:A3"/>
    </sheetView>
  </sheetViews>
  <sheetFormatPr defaultColWidth="9" defaultRowHeight="13.5"/>
  <cols>
    <col min="1" max="1" width="10.875" style="256" customWidth="1"/>
    <col min="2" max="2" width="4.5" style="256" customWidth="1"/>
    <col min="3" max="3" width="12.75" style="256" customWidth="1"/>
    <col min="4" max="4" width="8.875" style="256" customWidth="1"/>
    <col min="5" max="5" width="12.75" style="273" customWidth="1"/>
    <col min="6" max="6" width="11.875" style="273" customWidth="1"/>
    <col min="7" max="8" width="12.75" style="273" customWidth="1"/>
    <col min="9" max="9" width="5" style="256" customWidth="1"/>
    <col min="10" max="10" width="4.25" style="256" customWidth="1"/>
    <col min="11" max="12" width="14" style="256" bestFit="1" customWidth="1"/>
    <col min="13" max="16384" width="9" style="256"/>
  </cols>
  <sheetData>
    <row r="1" spans="1:10" ht="20.25" customHeight="1" thickBot="1">
      <c r="A1" s="275" t="s">
        <v>637</v>
      </c>
      <c r="B1" s="251"/>
      <c r="C1" s="252"/>
      <c r="D1" s="251"/>
      <c r="E1" s="253"/>
      <c r="F1" s="254"/>
      <c r="G1" s="253"/>
      <c r="H1" s="253"/>
      <c r="I1" s="255"/>
      <c r="J1" s="252"/>
    </row>
    <row r="2" spans="1:10">
      <c r="A2" s="479" t="s">
        <v>26</v>
      </c>
      <c r="B2" s="481" t="s">
        <v>311</v>
      </c>
      <c r="C2" s="483" t="s">
        <v>27</v>
      </c>
      <c r="D2" s="481" t="s">
        <v>312</v>
      </c>
      <c r="E2" s="485" t="s">
        <v>28</v>
      </c>
      <c r="F2" s="487" t="s">
        <v>29</v>
      </c>
      <c r="G2" s="493"/>
      <c r="H2" s="489" t="s">
        <v>174</v>
      </c>
      <c r="I2" s="491" t="s">
        <v>30</v>
      </c>
      <c r="J2" s="477" t="s">
        <v>313</v>
      </c>
    </row>
    <row r="3" spans="1:10">
      <c r="A3" s="480"/>
      <c r="B3" s="482"/>
      <c r="C3" s="484"/>
      <c r="D3" s="482"/>
      <c r="E3" s="486"/>
      <c r="F3" s="207" t="s">
        <v>176</v>
      </c>
      <c r="G3" s="207" t="s">
        <v>305</v>
      </c>
      <c r="H3" s="490"/>
      <c r="I3" s="492"/>
      <c r="J3" s="478"/>
    </row>
    <row r="4" spans="1:10" ht="14.25" customHeight="1">
      <c r="A4" s="209"/>
      <c r="B4" s="210"/>
      <c r="C4" s="210"/>
      <c r="D4" s="211" t="s">
        <v>177</v>
      </c>
      <c r="E4" s="212" t="s">
        <v>178</v>
      </c>
      <c r="F4" s="212" t="s">
        <v>172</v>
      </c>
      <c r="G4" s="212" t="s">
        <v>178</v>
      </c>
      <c r="H4" s="212" t="s">
        <v>178</v>
      </c>
      <c r="I4" s="213" t="s">
        <v>31</v>
      </c>
      <c r="J4" s="214" t="s">
        <v>175</v>
      </c>
    </row>
    <row r="5" spans="1:10" ht="14.25" customHeight="1">
      <c r="A5" s="215" t="s">
        <v>179</v>
      </c>
      <c r="B5" s="206" t="s">
        <v>356</v>
      </c>
      <c r="C5" s="263" t="s">
        <v>180</v>
      </c>
      <c r="D5" s="206" t="s">
        <v>357</v>
      </c>
      <c r="E5" s="200">
        <v>40000000</v>
      </c>
      <c r="F5" s="200">
        <v>0</v>
      </c>
      <c r="G5" s="200">
        <v>40000000</v>
      </c>
      <c r="H5" s="200">
        <f t="shared" ref="H5:H55" si="0">E5-G5</f>
        <v>0</v>
      </c>
      <c r="I5" s="201">
        <v>7.8</v>
      </c>
      <c r="J5" s="216" t="s">
        <v>358</v>
      </c>
    </row>
    <row r="6" spans="1:10" ht="14.25" customHeight="1">
      <c r="A6" s="203" t="s">
        <v>182</v>
      </c>
      <c r="B6" s="204" t="s">
        <v>183</v>
      </c>
      <c r="C6" s="263" t="s">
        <v>184</v>
      </c>
      <c r="D6" s="206" t="s">
        <v>359</v>
      </c>
      <c r="E6" s="200">
        <v>10000000</v>
      </c>
      <c r="F6" s="200">
        <v>0</v>
      </c>
      <c r="G6" s="200">
        <v>10000000</v>
      </c>
      <c r="H6" s="200">
        <f t="shared" si="0"/>
        <v>0</v>
      </c>
      <c r="I6" s="201">
        <v>7.8</v>
      </c>
      <c r="J6" s="216" t="s">
        <v>181</v>
      </c>
    </row>
    <row r="7" spans="1:10" ht="14.25" customHeight="1">
      <c r="A7" s="203"/>
      <c r="B7" s="204" t="s">
        <v>183</v>
      </c>
      <c r="C7" s="205" t="s">
        <v>185</v>
      </c>
      <c r="D7" s="206" t="s">
        <v>360</v>
      </c>
      <c r="E7" s="200">
        <v>50000000</v>
      </c>
      <c r="F7" s="200">
        <v>0</v>
      </c>
      <c r="G7" s="200">
        <v>50000000</v>
      </c>
      <c r="H7" s="200">
        <f t="shared" si="0"/>
        <v>0</v>
      </c>
      <c r="I7" s="201">
        <v>6.5</v>
      </c>
      <c r="J7" s="216" t="s">
        <v>186</v>
      </c>
    </row>
    <row r="8" spans="1:10" ht="14.25" customHeight="1">
      <c r="A8" s="203"/>
      <c r="B8" s="204" t="s">
        <v>187</v>
      </c>
      <c r="C8" s="205" t="s">
        <v>185</v>
      </c>
      <c r="D8" s="206" t="s">
        <v>361</v>
      </c>
      <c r="E8" s="200">
        <v>150000000</v>
      </c>
      <c r="F8" s="200">
        <v>0</v>
      </c>
      <c r="G8" s="200">
        <v>150000000</v>
      </c>
      <c r="H8" s="200">
        <f t="shared" si="0"/>
        <v>0</v>
      </c>
      <c r="I8" s="201">
        <v>6.5</v>
      </c>
      <c r="J8" s="216" t="s">
        <v>188</v>
      </c>
    </row>
    <row r="9" spans="1:10" ht="14.25" customHeight="1">
      <c r="A9" s="203"/>
      <c r="B9" s="204" t="s">
        <v>187</v>
      </c>
      <c r="C9" s="205" t="s">
        <v>189</v>
      </c>
      <c r="D9" s="206" t="s">
        <v>362</v>
      </c>
      <c r="E9" s="200">
        <v>200000000</v>
      </c>
      <c r="F9" s="200">
        <v>0</v>
      </c>
      <c r="G9" s="200">
        <v>200000000</v>
      </c>
      <c r="H9" s="200">
        <f t="shared" si="0"/>
        <v>0</v>
      </c>
      <c r="I9" s="201">
        <v>7.6</v>
      </c>
      <c r="J9" s="216" t="s">
        <v>190</v>
      </c>
    </row>
    <row r="10" spans="1:10" ht="14.25" customHeight="1">
      <c r="A10" s="203"/>
      <c r="B10" s="204" t="s">
        <v>191</v>
      </c>
      <c r="C10" s="205" t="s">
        <v>189</v>
      </c>
      <c r="D10" s="206" t="s">
        <v>363</v>
      </c>
      <c r="E10" s="200">
        <v>200000000</v>
      </c>
      <c r="F10" s="200">
        <v>0</v>
      </c>
      <c r="G10" s="200">
        <v>200000000</v>
      </c>
      <c r="H10" s="200">
        <f t="shared" si="0"/>
        <v>0</v>
      </c>
      <c r="I10" s="201">
        <v>7.6</v>
      </c>
      <c r="J10" s="216" t="s">
        <v>192</v>
      </c>
    </row>
    <row r="11" spans="1:10" ht="14.25" customHeight="1">
      <c r="A11" s="203"/>
      <c r="B11" s="204" t="s">
        <v>191</v>
      </c>
      <c r="C11" s="205" t="s">
        <v>193</v>
      </c>
      <c r="D11" s="206" t="s">
        <v>364</v>
      </c>
      <c r="E11" s="200">
        <v>200000000</v>
      </c>
      <c r="F11" s="200">
        <v>0</v>
      </c>
      <c r="G11" s="200">
        <v>200000000</v>
      </c>
      <c r="H11" s="200">
        <f t="shared" si="0"/>
        <v>0</v>
      </c>
      <c r="I11" s="201">
        <v>6.5</v>
      </c>
      <c r="J11" s="216" t="s">
        <v>194</v>
      </c>
    </row>
    <row r="12" spans="1:10" ht="14.25" customHeight="1">
      <c r="A12" s="203"/>
      <c r="B12" s="204" t="s">
        <v>195</v>
      </c>
      <c r="C12" s="205" t="s">
        <v>189</v>
      </c>
      <c r="D12" s="206" t="s">
        <v>365</v>
      </c>
      <c r="E12" s="200">
        <v>250000000</v>
      </c>
      <c r="F12" s="200">
        <v>0</v>
      </c>
      <c r="G12" s="200">
        <v>250000000</v>
      </c>
      <c r="H12" s="200">
        <f t="shared" si="0"/>
        <v>0</v>
      </c>
      <c r="I12" s="201">
        <v>7.6</v>
      </c>
      <c r="J12" s="216" t="s">
        <v>196</v>
      </c>
    </row>
    <row r="13" spans="1:10" ht="14.25" customHeight="1">
      <c r="A13" s="203"/>
      <c r="B13" s="204" t="s">
        <v>195</v>
      </c>
      <c r="C13" s="263" t="s">
        <v>180</v>
      </c>
      <c r="D13" s="206" t="s">
        <v>366</v>
      </c>
      <c r="E13" s="200">
        <v>100000000</v>
      </c>
      <c r="F13" s="200">
        <v>0</v>
      </c>
      <c r="G13" s="200">
        <v>100000000</v>
      </c>
      <c r="H13" s="200">
        <f t="shared" si="0"/>
        <v>0</v>
      </c>
      <c r="I13" s="201">
        <v>7.3</v>
      </c>
      <c r="J13" s="216" t="s">
        <v>197</v>
      </c>
    </row>
    <row r="14" spans="1:10" ht="14.25" customHeight="1">
      <c r="A14" s="203"/>
      <c r="B14" s="204" t="s">
        <v>195</v>
      </c>
      <c r="C14" s="205" t="s">
        <v>193</v>
      </c>
      <c r="D14" s="206" t="s">
        <v>367</v>
      </c>
      <c r="E14" s="200">
        <v>250000000</v>
      </c>
      <c r="F14" s="200">
        <v>0</v>
      </c>
      <c r="G14" s="200">
        <v>250000000</v>
      </c>
      <c r="H14" s="200">
        <f t="shared" si="0"/>
        <v>0</v>
      </c>
      <c r="I14" s="201">
        <v>6.5</v>
      </c>
      <c r="J14" s="216" t="s">
        <v>198</v>
      </c>
    </row>
    <row r="15" spans="1:10" ht="14.25" customHeight="1">
      <c r="A15" s="203"/>
      <c r="B15" s="204" t="s">
        <v>199</v>
      </c>
      <c r="C15" s="205" t="s">
        <v>189</v>
      </c>
      <c r="D15" s="206" t="s">
        <v>368</v>
      </c>
      <c r="E15" s="200">
        <v>100000000</v>
      </c>
      <c r="F15" s="200">
        <v>0</v>
      </c>
      <c r="G15" s="200">
        <v>100000000</v>
      </c>
      <c r="H15" s="200">
        <f t="shared" si="0"/>
        <v>0</v>
      </c>
      <c r="I15" s="201">
        <v>7.6</v>
      </c>
      <c r="J15" s="216" t="s">
        <v>186</v>
      </c>
    </row>
    <row r="16" spans="1:10" ht="14.25" customHeight="1">
      <c r="A16" s="203"/>
      <c r="B16" s="204" t="s">
        <v>199</v>
      </c>
      <c r="C16" s="205" t="s">
        <v>189</v>
      </c>
      <c r="D16" s="206" t="s">
        <v>369</v>
      </c>
      <c r="E16" s="200">
        <v>170000000</v>
      </c>
      <c r="F16" s="200">
        <v>0</v>
      </c>
      <c r="G16" s="200">
        <v>170000000</v>
      </c>
      <c r="H16" s="200">
        <f t="shared" si="0"/>
        <v>0</v>
      </c>
      <c r="I16" s="201">
        <v>7.6</v>
      </c>
      <c r="J16" s="216" t="s">
        <v>186</v>
      </c>
    </row>
    <row r="17" spans="1:10" ht="14.25" customHeight="1">
      <c r="A17" s="203"/>
      <c r="B17" s="204" t="s">
        <v>199</v>
      </c>
      <c r="C17" s="263" t="s">
        <v>180</v>
      </c>
      <c r="D17" s="206" t="s">
        <v>370</v>
      </c>
      <c r="E17" s="200">
        <v>60000000</v>
      </c>
      <c r="F17" s="200">
        <v>0</v>
      </c>
      <c r="G17" s="200">
        <v>60000000</v>
      </c>
      <c r="H17" s="200">
        <f t="shared" si="0"/>
        <v>0</v>
      </c>
      <c r="I17" s="201">
        <v>7.3</v>
      </c>
      <c r="J17" s="216" t="s">
        <v>200</v>
      </c>
    </row>
    <row r="18" spans="1:10" ht="14.25" customHeight="1">
      <c r="A18" s="203"/>
      <c r="B18" s="204" t="s">
        <v>199</v>
      </c>
      <c r="C18" s="205" t="s">
        <v>193</v>
      </c>
      <c r="D18" s="206" t="s">
        <v>371</v>
      </c>
      <c r="E18" s="200">
        <v>270000000</v>
      </c>
      <c r="F18" s="200">
        <v>0</v>
      </c>
      <c r="G18" s="200">
        <v>270000000</v>
      </c>
      <c r="H18" s="200">
        <f t="shared" si="0"/>
        <v>0</v>
      </c>
      <c r="I18" s="201">
        <v>6.5</v>
      </c>
      <c r="J18" s="216" t="s">
        <v>201</v>
      </c>
    </row>
    <row r="19" spans="1:10" ht="14.25" customHeight="1">
      <c r="A19" s="203"/>
      <c r="B19" s="204" t="s">
        <v>202</v>
      </c>
      <c r="C19" s="205" t="s">
        <v>189</v>
      </c>
      <c r="D19" s="206" t="s">
        <v>372</v>
      </c>
      <c r="E19" s="200">
        <v>160000000</v>
      </c>
      <c r="F19" s="200">
        <v>0</v>
      </c>
      <c r="G19" s="200">
        <v>160000000</v>
      </c>
      <c r="H19" s="200">
        <f t="shared" si="0"/>
        <v>0</v>
      </c>
      <c r="I19" s="201">
        <v>7.4</v>
      </c>
      <c r="J19" s="216" t="s">
        <v>203</v>
      </c>
    </row>
    <row r="20" spans="1:10" ht="14.25" customHeight="1">
      <c r="A20" s="203"/>
      <c r="B20" s="204" t="s">
        <v>202</v>
      </c>
      <c r="C20" s="205" t="s">
        <v>193</v>
      </c>
      <c r="D20" s="206" t="s">
        <v>373</v>
      </c>
      <c r="E20" s="200">
        <v>200000000</v>
      </c>
      <c r="F20" s="200">
        <v>0</v>
      </c>
      <c r="G20" s="200">
        <v>200000000</v>
      </c>
      <c r="H20" s="200">
        <f t="shared" si="0"/>
        <v>0</v>
      </c>
      <c r="I20" s="201">
        <v>6.5</v>
      </c>
      <c r="J20" s="216" t="s">
        <v>204</v>
      </c>
    </row>
    <row r="21" spans="1:10" ht="14.25" customHeight="1">
      <c r="A21" s="203"/>
      <c r="B21" s="204" t="s">
        <v>205</v>
      </c>
      <c r="C21" s="263" t="s">
        <v>180</v>
      </c>
      <c r="D21" s="206" t="s">
        <v>374</v>
      </c>
      <c r="E21" s="200">
        <v>30000000</v>
      </c>
      <c r="F21" s="200">
        <v>0</v>
      </c>
      <c r="G21" s="200">
        <v>30000000</v>
      </c>
      <c r="H21" s="200">
        <f t="shared" si="0"/>
        <v>0</v>
      </c>
      <c r="I21" s="201">
        <v>7.1</v>
      </c>
      <c r="J21" s="216" t="s">
        <v>206</v>
      </c>
    </row>
    <row r="22" spans="1:10" ht="14.25" customHeight="1">
      <c r="A22" s="203"/>
      <c r="B22" s="204" t="s">
        <v>205</v>
      </c>
      <c r="C22" s="263" t="s">
        <v>184</v>
      </c>
      <c r="D22" s="206" t="s">
        <v>375</v>
      </c>
      <c r="E22" s="200">
        <v>50000000</v>
      </c>
      <c r="F22" s="200">
        <v>0</v>
      </c>
      <c r="G22" s="200">
        <v>50000000</v>
      </c>
      <c r="H22" s="200">
        <f t="shared" si="0"/>
        <v>0</v>
      </c>
      <c r="I22" s="201">
        <v>7.1</v>
      </c>
      <c r="J22" s="216" t="s">
        <v>171</v>
      </c>
    </row>
    <row r="23" spans="1:10" ht="14.25" customHeight="1">
      <c r="A23" s="276"/>
      <c r="B23" s="277" t="s">
        <v>205</v>
      </c>
      <c r="C23" s="278" t="s">
        <v>207</v>
      </c>
      <c r="D23" s="279" t="s">
        <v>375</v>
      </c>
      <c r="E23" s="280">
        <v>50000000</v>
      </c>
      <c r="F23" s="200">
        <v>0</v>
      </c>
      <c r="G23" s="200">
        <v>50000000</v>
      </c>
      <c r="H23" s="200">
        <f t="shared" si="0"/>
        <v>0</v>
      </c>
      <c r="I23" s="208">
        <v>7.1</v>
      </c>
      <c r="J23" s="281" t="s">
        <v>171</v>
      </c>
    </row>
    <row r="24" spans="1:10" ht="17.25" customHeight="1">
      <c r="A24" s="219" t="s">
        <v>376</v>
      </c>
      <c r="B24" s="220" t="s">
        <v>173</v>
      </c>
      <c r="C24" s="221" t="s">
        <v>173</v>
      </c>
      <c r="D24" s="222" t="s">
        <v>173</v>
      </c>
      <c r="E24" s="245">
        <f>SUM(E5:E23)</f>
        <v>2540000000</v>
      </c>
      <c r="F24" s="245">
        <f>SUM(F5:F23)</f>
        <v>0</v>
      </c>
      <c r="G24" s="245">
        <f>SUM(G5:G23)</f>
        <v>2540000000</v>
      </c>
      <c r="H24" s="245">
        <f>SUM(H5:H23)</f>
        <v>0</v>
      </c>
      <c r="I24" s="223"/>
      <c r="J24" s="224" t="s">
        <v>173</v>
      </c>
    </row>
    <row r="25" spans="1:10" ht="14.25" customHeight="1">
      <c r="A25" s="209" t="s">
        <v>208</v>
      </c>
      <c r="B25" s="265" t="s">
        <v>377</v>
      </c>
      <c r="C25" s="249" t="s">
        <v>189</v>
      </c>
      <c r="D25" s="211" t="s">
        <v>378</v>
      </c>
      <c r="E25" s="250">
        <v>340000000</v>
      </c>
      <c r="F25" s="200">
        <v>0</v>
      </c>
      <c r="G25" s="200">
        <v>340000000</v>
      </c>
      <c r="H25" s="200">
        <f t="shared" si="0"/>
        <v>0</v>
      </c>
      <c r="I25" s="213">
        <v>7.4</v>
      </c>
      <c r="J25" s="235" t="s">
        <v>209</v>
      </c>
    </row>
    <row r="26" spans="1:10" ht="14.25" customHeight="1">
      <c r="A26" s="203" t="s">
        <v>182</v>
      </c>
      <c r="B26" s="282" t="s">
        <v>205</v>
      </c>
      <c r="C26" s="263" t="s">
        <v>180</v>
      </c>
      <c r="D26" s="206" t="s">
        <v>375</v>
      </c>
      <c r="E26" s="200">
        <v>200000000</v>
      </c>
      <c r="F26" s="200">
        <v>0</v>
      </c>
      <c r="G26" s="200">
        <v>200000000</v>
      </c>
      <c r="H26" s="200">
        <f t="shared" si="0"/>
        <v>0</v>
      </c>
      <c r="I26" s="201">
        <v>7.1</v>
      </c>
      <c r="J26" s="216" t="s">
        <v>171</v>
      </c>
    </row>
    <row r="27" spans="1:10" ht="14.25" customHeight="1">
      <c r="A27" s="203"/>
      <c r="B27" s="282" t="s">
        <v>205</v>
      </c>
      <c r="C27" s="205" t="s">
        <v>193</v>
      </c>
      <c r="D27" s="206" t="s">
        <v>379</v>
      </c>
      <c r="E27" s="200">
        <v>370000000</v>
      </c>
      <c r="F27" s="200">
        <v>0</v>
      </c>
      <c r="G27" s="200">
        <v>370000000</v>
      </c>
      <c r="H27" s="200">
        <f t="shared" si="0"/>
        <v>0</v>
      </c>
      <c r="I27" s="201">
        <v>6.5</v>
      </c>
      <c r="J27" s="216" t="s">
        <v>210</v>
      </c>
    </row>
    <row r="28" spans="1:10" ht="14.25" customHeight="1">
      <c r="A28" s="203"/>
      <c r="B28" s="282" t="s">
        <v>211</v>
      </c>
      <c r="C28" s="205" t="s">
        <v>189</v>
      </c>
      <c r="D28" s="206" t="s">
        <v>380</v>
      </c>
      <c r="E28" s="200">
        <v>200000000</v>
      </c>
      <c r="F28" s="200">
        <v>0</v>
      </c>
      <c r="G28" s="200">
        <v>200000000</v>
      </c>
      <c r="H28" s="200">
        <f t="shared" si="0"/>
        <v>0</v>
      </c>
      <c r="I28" s="201">
        <v>7.3</v>
      </c>
      <c r="J28" s="216" t="s">
        <v>212</v>
      </c>
    </row>
    <row r="29" spans="1:10" ht="14.25" customHeight="1">
      <c r="A29" s="203"/>
      <c r="B29" s="282" t="s">
        <v>211</v>
      </c>
      <c r="C29" s="205" t="s">
        <v>213</v>
      </c>
      <c r="D29" s="206" t="s">
        <v>381</v>
      </c>
      <c r="E29" s="200">
        <v>300000000</v>
      </c>
      <c r="F29" s="200">
        <v>0</v>
      </c>
      <c r="G29" s="200">
        <v>300000000</v>
      </c>
      <c r="H29" s="200">
        <f t="shared" si="0"/>
        <v>0</v>
      </c>
      <c r="I29" s="201">
        <v>6.5</v>
      </c>
      <c r="J29" s="216" t="s">
        <v>214</v>
      </c>
    </row>
    <row r="30" spans="1:10" ht="14.25" customHeight="1">
      <c r="A30" s="203"/>
      <c r="B30" s="282" t="s">
        <v>211</v>
      </c>
      <c r="C30" s="205" t="s">
        <v>189</v>
      </c>
      <c r="D30" s="206" t="s">
        <v>382</v>
      </c>
      <c r="E30" s="200">
        <v>220000000</v>
      </c>
      <c r="F30" s="200">
        <v>0</v>
      </c>
      <c r="G30" s="200">
        <v>220000000</v>
      </c>
      <c r="H30" s="200">
        <f t="shared" si="0"/>
        <v>0</v>
      </c>
      <c r="I30" s="201">
        <v>7.3</v>
      </c>
      <c r="J30" s="216" t="s">
        <v>212</v>
      </c>
    </row>
    <row r="31" spans="1:10" ht="14.25" customHeight="1">
      <c r="A31" s="203"/>
      <c r="B31" s="282" t="s">
        <v>211</v>
      </c>
      <c r="C31" s="263" t="s">
        <v>180</v>
      </c>
      <c r="D31" s="206" t="s">
        <v>383</v>
      </c>
      <c r="E31" s="200">
        <v>100000000</v>
      </c>
      <c r="F31" s="200">
        <v>0</v>
      </c>
      <c r="G31" s="200">
        <v>100000000</v>
      </c>
      <c r="H31" s="200">
        <f t="shared" si="0"/>
        <v>0</v>
      </c>
      <c r="I31" s="201">
        <v>7.3</v>
      </c>
      <c r="J31" s="216" t="s">
        <v>171</v>
      </c>
    </row>
    <row r="32" spans="1:10" ht="14.25" customHeight="1">
      <c r="A32" s="203"/>
      <c r="B32" s="282" t="s">
        <v>211</v>
      </c>
      <c r="C32" s="205" t="s">
        <v>193</v>
      </c>
      <c r="D32" s="206" t="s">
        <v>384</v>
      </c>
      <c r="E32" s="200">
        <v>480000000</v>
      </c>
      <c r="F32" s="200">
        <v>0</v>
      </c>
      <c r="G32" s="200">
        <v>480000000</v>
      </c>
      <c r="H32" s="200">
        <f t="shared" si="0"/>
        <v>0</v>
      </c>
      <c r="I32" s="201">
        <v>6.5</v>
      </c>
      <c r="J32" s="216" t="s">
        <v>214</v>
      </c>
    </row>
    <row r="33" spans="1:10" ht="14.25" customHeight="1">
      <c r="A33" s="203"/>
      <c r="B33" s="282" t="s">
        <v>215</v>
      </c>
      <c r="C33" s="205" t="s">
        <v>189</v>
      </c>
      <c r="D33" s="206" t="s">
        <v>385</v>
      </c>
      <c r="E33" s="200">
        <v>300000000</v>
      </c>
      <c r="F33" s="200">
        <v>0</v>
      </c>
      <c r="G33" s="200">
        <v>300000000</v>
      </c>
      <c r="H33" s="200">
        <f t="shared" si="0"/>
        <v>0</v>
      </c>
      <c r="I33" s="201">
        <v>7.3</v>
      </c>
      <c r="J33" s="216" t="s">
        <v>188</v>
      </c>
    </row>
    <row r="34" spans="1:10" ht="14.25" customHeight="1">
      <c r="A34" s="203"/>
      <c r="B34" s="282" t="s">
        <v>215</v>
      </c>
      <c r="C34" s="205" t="s">
        <v>189</v>
      </c>
      <c r="D34" s="206" t="s">
        <v>385</v>
      </c>
      <c r="E34" s="200">
        <v>620000000</v>
      </c>
      <c r="F34" s="200">
        <v>0</v>
      </c>
      <c r="G34" s="200">
        <v>620000000</v>
      </c>
      <c r="H34" s="200">
        <f t="shared" si="0"/>
        <v>0</v>
      </c>
      <c r="I34" s="201">
        <v>7.3</v>
      </c>
      <c r="J34" s="216" t="s">
        <v>188</v>
      </c>
    </row>
    <row r="35" spans="1:10" ht="14.25" customHeight="1">
      <c r="A35" s="203"/>
      <c r="B35" s="282" t="s">
        <v>215</v>
      </c>
      <c r="C35" s="263" t="s">
        <v>180</v>
      </c>
      <c r="D35" s="206" t="s">
        <v>386</v>
      </c>
      <c r="E35" s="200">
        <v>100000000</v>
      </c>
      <c r="F35" s="200">
        <v>0</v>
      </c>
      <c r="G35" s="200">
        <v>100000000</v>
      </c>
      <c r="H35" s="200">
        <f t="shared" si="0"/>
        <v>0</v>
      </c>
      <c r="I35" s="201">
        <v>7.1</v>
      </c>
      <c r="J35" s="216" t="s">
        <v>216</v>
      </c>
    </row>
    <row r="36" spans="1:10" ht="14.25" customHeight="1">
      <c r="A36" s="203"/>
      <c r="B36" s="282" t="s">
        <v>215</v>
      </c>
      <c r="C36" s="205" t="s">
        <v>193</v>
      </c>
      <c r="D36" s="206" t="s">
        <v>387</v>
      </c>
      <c r="E36" s="200">
        <v>280000000</v>
      </c>
      <c r="F36" s="200">
        <v>0</v>
      </c>
      <c r="G36" s="200">
        <v>280000000</v>
      </c>
      <c r="H36" s="200">
        <f t="shared" si="0"/>
        <v>0</v>
      </c>
      <c r="I36" s="201">
        <v>6.5</v>
      </c>
      <c r="J36" s="202" t="s">
        <v>217</v>
      </c>
    </row>
    <row r="37" spans="1:10" ht="14.25" customHeight="1">
      <c r="A37" s="203"/>
      <c r="B37" s="282" t="s">
        <v>218</v>
      </c>
      <c r="C37" s="205" t="s">
        <v>189</v>
      </c>
      <c r="D37" s="206" t="s">
        <v>388</v>
      </c>
      <c r="E37" s="200">
        <v>350000000</v>
      </c>
      <c r="F37" s="200">
        <v>0</v>
      </c>
      <c r="G37" s="200">
        <v>350000000</v>
      </c>
      <c r="H37" s="200">
        <f t="shared" si="0"/>
        <v>0</v>
      </c>
      <c r="I37" s="201">
        <v>7.3</v>
      </c>
      <c r="J37" s="202" t="s">
        <v>214</v>
      </c>
    </row>
    <row r="38" spans="1:10" ht="14.25" customHeight="1">
      <c r="A38" s="203"/>
      <c r="B38" s="282" t="s">
        <v>218</v>
      </c>
      <c r="C38" s="205" t="s">
        <v>185</v>
      </c>
      <c r="D38" s="206" t="s">
        <v>389</v>
      </c>
      <c r="E38" s="200">
        <v>780000000</v>
      </c>
      <c r="F38" s="200">
        <v>0</v>
      </c>
      <c r="G38" s="200">
        <v>780000000</v>
      </c>
      <c r="H38" s="200">
        <f t="shared" si="0"/>
        <v>0</v>
      </c>
      <c r="I38" s="201">
        <v>6.5</v>
      </c>
      <c r="J38" s="202" t="s">
        <v>219</v>
      </c>
    </row>
    <row r="39" spans="1:10" ht="14.25" customHeight="1">
      <c r="A39" s="203"/>
      <c r="B39" s="282" t="s">
        <v>218</v>
      </c>
      <c r="C39" s="205" t="s">
        <v>189</v>
      </c>
      <c r="D39" s="206" t="s">
        <v>390</v>
      </c>
      <c r="E39" s="200">
        <v>210000000</v>
      </c>
      <c r="F39" s="200">
        <v>0</v>
      </c>
      <c r="G39" s="200">
        <v>210000000</v>
      </c>
      <c r="H39" s="200">
        <f t="shared" si="0"/>
        <v>0</v>
      </c>
      <c r="I39" s="201">
        <v>7.3</v>
      </c>
      <c r="J39" s="202" t="s">
        <v>214</v>
      </c>
    </row>
    <row r="40" spans="1:10" ht="14.25" customHeight="1">
      <c r="A40" s="203"/>
      <c r="B40" s="282" t="s">
        <v>220</v>
      </c>
      <c r="C40" s="205" t="s">
        <v>189</v>
      </c>
      <c r="D40" s="206" t="s">
        <v>391</v>
      </c>
      <c r="E40" s="200">
        <v>200000000</v>
      </c>
      <c r="F40" s="200">
        <v>0</v>
      </c>
      <c r="G40" s="200">
        <v>200000000</v>
      </c>
      <c r="H40" s="200">
        <f t="shared" si="0"/>
        <v>0</v>
      </c>
      <c r="I40" s="201">
        <v>7</v>
      </c>
      <c r="J40" s="202" t="s">
        <v>217</v>
      </c>
    </row>
    <row r="41" spans="1:10" ht="14.25" customHeight="1">
      <c r="A41" s="203"/>
      <c r="B41" s="282" t="s">
        <v>220</v>
      </c>
      <c r="C41" s="205" t="s">
        <v>193</v>
      </c>
      <c r="D41" s="206" t="s">
        <v>392</v>
      </c>
      <c r="E41" s="200">
        <v>230000000</v>
      </c>
      <c r="F41" s="200">
        <v>0</v>
      </c>
      <c r="G41" s="200">
        <v>230000000</v>
      </c>
      <c r="H41" s="200">
        <f t="shared" si="0"/>
        <v>0</v>
      </c>
      <c r="I41" s="201">
        <v>6.5</v>
      </c>
      <c r="J41" s="202" t="s">
        <v>221</v>
      </c>
    </row>
    <row r="42" spans="1:10" ht="14.25" customHeight="1">
      <c r="A42" s="276"/>
      <c r="B42" s="282" t="s">
        <v>218</v>
      </c>
      <c r="C42" s="205" t="s">
        <v>180</v>
      </c>
      <c r="D42" s="206" t="s">
        <v>393</v>
      </c>
      <c r="E42" s="200">
        <v>60000000</v>
      </c>
      <c r="F42" s="200">
        <v>0</v>
      </c>
      <c r="G42" s="200">
        <v>60000000</v>
      </c>
      <c r="H42" s="200">
        <f t="shared" si="0"/>
        <v>0</v>
      </c>
      <c r="I42" s="201">
        <v>7.1</v>
      </c>
      <c r="J42" s="202" t="s">
        <v>196</v>
      </c>
    </row>
    <row r="43" spans="1:10" ht="17.25" customHeight="1">
      <c r="A43" s="219" t="s">
        <v>376</v>
      </c>
      <c r="B43" s="220" t="s">
        <v>173</v>
      </c>
      <c r="C43" s="221" t="s">
        <v>173</v>
      </c>
      <c r="D43" s="222" t="s">
        <v>173</v>
      </c>
      <c r="E43" s="245">
        <f>SUM(E25:E42)</f>
        <v>5340000000</v>
      </c>
      <c r="F43" s="245">
        <f>SUM(F25:F42)</f>
        <v>0</v>
      </c>
      <c r="G43" s="245">
        <f>SUM(G25:G42)</f>
        <v>5340000000</v>
      </c>
      <c r="H43" s="245">
        <f>SUM(H25:H42)</f>
        <v>0</v>
      </c>
      <c r="I43" s="223"/>
      <c r="J43" s="224" t="s">
        <v>173</v>
      </c>
    </row>
    <row r="44" spans="1:10" ht="14.25" customHeight="1">
      <c r="A44" s="215" t="s">
        <v>222</v>
      </c>
      <c r="B44" s="204" t="s">
        <v>394</v>
      </c>
      <c r="C44" s="205" t="s">
        <v>189</v>
      </c>
      <c r="D44" s="206" t="s">
        <v>395</v>
      </c>
      <c r="E44" s="200">
        <v>40000000</v>
      </c>
      <c r="F44" s="200">
        <v>0</v>
      </c>
      <c r="G44" s="200">
        <v>40000000</v>
      </c>
      <c r="H44" s="200">
        <f t="shared" si="0"/>
        <v>0</v>
      </c>
      <c r="I44" s="201">
        <v>7.3</v>
      </c>
      <c r="J44" s="202" t="s">
        <v>214</v>
      </c>
    </row>
    <row r="45" spans="1:10" ht="14.25" customHeight="1">
      <c r="A45" s="203" t="s">
        <v>182</v>
      </c>
      <c r="B45" s="204" t="s">
        <v>218</v>
      </c>
      <c r="C45" s="205" t="s">
        <v>185</v>
      </c>
      <c r="D45" s="206" t="s">
        <v>396</v>
      </c>
      <c r="E45" s="200">
        <v>25000000</v>
      </c>
      <c r="F45" s="200">
        <v>0</v>
      </c>
      <c r="G45" s="200">
        <v>25000000</v>
      </c>
      <c r="H45" s="200">
        <f t="shared" si="0"/>
        <v>0</v>
      </c>
      <c r="I45" s="201">
        <v>6.5</v>
      </c>
      <c r="J45" s="202" t="s">
        <v>219</v>
      </c>
    </row>
    <row r="46" spans="1:10" ht="14.25" customHeight="1">
      <c r="A46" s="203"/>
      <c r="B46" s="204" t="s">
        <v>220</v>
      </c>
      <c r="C46" s="205" t="s">
        <v>189</v>
      </c>
      <c r="D46" s="206" t="s">
        <v>391</v>
      </c>
      <c r="E46" s="200">
        <v>300000000</v>
      </c>
      <c r="F46" s="200">
        <v>0</v>
      </c>
      <c r="G46" s="200">
        <v>300000000</v>
      </c>
      <c r="H46" s="200">
        <f t="shared" si="0"/>
        <v>0</v>
      </c>
      <c r="I46" s="201">
        <v>7</v>
      </c>
      <c r="J46" s="202" t="s">
        <v>217</v>
      </c>
    </row>
    <row r="47" spans="1:10" ht="14.25" customHeight="1">
      <c r="A47" s="203"/>
      <c r="B47" s="204" t="s">
        <v>220</v>
      </c>
      <c r="C47" s="205" t="s">
        <v>189</v>
      </c>
      <c r="D47" s="206" t="s">
        <v>397</v>
      </c>
      <c r="E47" s="200">
        <v>570000000</v>
      </c>
      <c r="F47" s="200">
        <v>0</v>
      </c>
      <c r="G47" s="200">
        <v>570000000</v>
      </c>
      <c r="H47" s="200">
        <f t="shared" si="0"/>
        <v>0</v>
      </c>
      <c r="I47" s="201">
        <v>7</v>
      </c>
      <c r="J47" s="202" t="s">
        <v>217</v>
      </c>
    </row>
    <row r="48" spans="1:10" ht="14.25" customHeight="1">
      <c r="A48" s="215"/>
      <c r="B48" s="204" t="s">
        <v>220</v>
      </c>
      <c r="C48" s="205" t="s">
        <v>180</v>
      </c>
      <c r="D48" s="206" t="s">
        <v>398</v>
      </c>
      <c r="E48" s="200">
        <v>300000000</v>
      </c>
      <c r="F48" s="200">
        <v>0</v>
      </c>
      <c r="G48" s="200">
        <v>300000000</v>
      </c>
      <c r="H48" s="200">
        <f t="shared" si="0"/>
        <v>0</v>
      </c>
      <c r="I48" s="201">
        <v>7.1</v>
      </c>
      <c r="J48" s="202" t="s">
        <v>203</v>
      </c>
    </row>
    <row r="49" spans="1:10" ht="14.25" customHeight="1">
      <c r="A49" s="215"/>
      <c r="B49" s="204" t="s">
        <v>218</v>
      </c>
      <c r="C49" s="205" t="s">
        <v>180</v>
      </c>
      <c r="D49" s="206" t="s">
        <v>393</v>
      </c>
      <c r="E49" s="200">
        <v>650000000</v>
      </c>
      <c r="F49" s="200">
        <v>0</v>
      </c>
      <c r="G49" s="200">
        <v>650000000</v>
      </c>
      <c r="H49" s="200">
        <f t="shared" si="0"/>
        <v>0</v>
      </c>
      <c r="I49" s="201">
        <v>7.1</v>
      </c>
      <c r="J49" s="202" t="s">
        <v>196</v>
      </c>
    </row>
    <row r="50" spans="1:10" ht="14.25" customHeight="1">
      <c r="A50" s="215"/>
      <c r="B50" s="206" t="s">
        <v>399</v>
      </c>
      <c r="C50" s="205" t="s">
        <v>185</v>
      </c>
      <c r="D50" s="206" t="s">
        <v>400</v>
      </c>
      <c r="E50" s="200">
        <v>1330000000</v>
      </c>
      <c r="F50" s="200">
        <v>0</v>
      </c>
      <c r="G50" s="200">
        <v>1330000000</v>
      </c>
      <c r="H50" s="200">
        <f t="shared" si="0"/>
        <v>0</v>
      </c>
      <c r="I50" s="201">
        <v>6.5</v>
      </c>
      <c r="J50" s="202" t="s">
        <v>221</v>
      </c>
    </row>
    <row r="51" spans="1:10" ht="14.25" customHeight="1">
      <c r="A51" s="215"/>
      <c r="B51" s="204">
        <v>42</v>
      </c>
      <c r="C51" s="205" t="s">
        <v>189</v>
      </c>
      <c r="D51" s="206" t="s">
        <v>401</v>
      </c>
      <c r="E51" s="200">
        <v>480000000</v>
      </c>
      <c r="F51" s="200">
        <v>0</v>
      </c>
      <c r="G51" s="200">
        <v>480000000</v>
      </c>
      <c r="H51" s="200">
        <f t="shared" si="0"/>
        <v>0</v>
      </c>
      <c r="I51" s="201">
        <v>7</v>
      </c>
      <c r="J51" s="202" t="s">
        <v>223</v>
      </c>
    </row>
    <row r="52" spans="1:10" ht="14.25" customHeight="1">
      <c r="A52" s="203"/>
      <c r="B52" s="204" t="s">
        <v>224</v>
      </c>
      <c r="C52" s="205" t="s">
        <v>185</v>
      </c>
      <c r="D52" s="206" t="s">
        <v>402</v>
      </c>
      <c r="E52" s="200">
        <v>990000000</v>
      </c>
      <c r="F52" s="200">
        <v>0</v>
      </c>
      <c r="G52" s="200">
        <v>990000000</v>
      </c>
      <c r="H52" s="200">
        <f t="shared" si="0"/>
        <v>0</v>
      </c>
      <c r="I52" s="201">
        <v>6.5</v>
      </c>
      <c r="J52" s="202" t="s">
        <v>225</v>
      </c>
    </row>
    <row r="53" spans="1:10" ht="14.25" customHeight="1">
      <c r="A53" s="218"/>
      <c r="B53" s="204">
        <v>42</v>
      </c>
      <c r="C53" s="205" t="s">
        <v>180</v>
      </c>
      <c r="D53" s="206" t="s">
        <v>711</v>
      </c>
      <c r="E53" s="200">
        <v>230000000</v>
      </c>
      <c r="F53" s="200">
        <v>0</v>
      </c>
      <c r="G53" s="200">
        <v>230000000</v>
      </c>
      <c r="H53" s="200">
        <f t="shared" si="0"/>
        <v>0</v>
      </c>
      <c r="I53" s="201">
        <v>7.1</v>
      </c>
      <c r="J53" s="283" t="s">
        <v>203</v>
      </c>
    </row>
    <row r="54" spans="1:10" ht="14.25" customHeight="1">
      <c r="A54" s="218"/>
      <c r="B54" s="204" t="s">
        <v>226</v>
      </c>
      <c r="C54" s="205" t="s">
        <v>189</v>
      </c>
      <c r="D54" s="206" t="s">
        <v>322</v>
      </c>
      <c r="E54" s="200">
        <v>300000000</v>
      </c>
      <c r="F54" s="200">
        <v>0</v>
      </c>
      <c r="G54" s="200">
        <v>300000000</v>
      </c>
      <c r="H54" s="200">
        <f t="shared" si="0"/>
        <v>0</v>
      </c>
      <c r="I54" s="201">
        <v>7</v>
      </c>
      <c r="J54" s="283" t="s">
        <v>227</v>
      </c>
    </row>
    <row r="55" spans="1:10" ht="14.25" customHeight="1" thickBot="1">
      <c r="A55" s="284"/>
      <c r="B55" s="285">
        <v>43</v>
      </c>
      <c r="C55" s="286" t="s">
        <v>189</v>
      </c>
      <c r="D55" s="287" t="s">
        <v>323</v>
      </c>
      <c r="E55" s="268">
        <v>500000000</v>
      </c>
      <c r="F55" s="268">
        <v>0</v>
      </c>
      <c r="G55" s="268">
        <v>500000000</v>
      </c>
      <c r="H55" s="268">
        <f t="shared" si="0"/>
        <v>0</v>
      </c>
      <c r="I55" s="288">
        <v>7</v>
      </c>
      <c r="J55" s="289" t="s">
        <v>227</v>
      </c>
    </row>
    <row r="56" spans="1:10" ht="9.75" customHeight="1" thickBot="1">
      <c r="A56" s="252"/>
      <c r="B56" s="282"/>
      <c r="C56" s="252"/>
      <c r="D56" s="265"/>
      <c r="E56" s="253"/>
      <c r="F56" s="253"/>
      <c r="G56" s="253"/>
      <c r="H56" s="253"/>
      <c r="I56" s="255"/>
      <c r="J56" s="251"/>
    </row>
    <row r="57" spans="1:10">
      <c r="A57" s="479" t="s">
        <v>26</v>
      </c>
      <c r="B57" s="481" t="s">
        <v>311</v>
      </c>
      <c r="C57" s="483" t="s">
        <v>27</v>
      </c>
      <c r="D57" s="481" t="s">
        <v>312</v>
      </c>
      <c r="E57" s="485" t="s">
        <v>28</v>
      </c>
      <c r="F57" s="487" t="s">
        <v>29</v>
      </c>
      <c r="G57" s="488"/>
      <c r="H57" s="489" t="s">
        <v>174</v>
      </c>
      <c r="I57" s="491" t="s">
        <v>30</v>
      </c>
      <c r="J57" s="477" t="s">
        <v>313</v>
      </c>
    </row>
    <row r="58" spans="1:10">
      <c r="A58" s="480"/>
      <c r="B58" s="482"/>
      <c r="C58" s="484"/>
      <c r="D58" s="482"/>
      <c r="E58" s="486"/>
      <c r="F58" s="207" t="s">
        <v>176</v>
      </c>
      <c r="G58" s="290" t="s">
        <v>305</v>
      </c>
      <c r="H58" s="490"/>
      <c r="I58" s="492"/>
      <c r="J58" s="478"/>
    </row>
    <row r="59" spans="1:10">
      <c r="A59" s="209"/>
      <c r="B59" s="210"/>
      <c r="C59" s="210"/>
      <c r="D59" s="211" t="s">
        <v>177</v>
      </c>
      <c r="E59" s="212" t="s">
        <v>178</v>
      </c>
      <c r="F59" s="212" t="s">
        <v>172</v>
      </c>
      <c r="G59" s="291" t="s">
        <v>178</v>
      </c>
      <c r="H59" s="212" t="s">
        <v>178</v>
      </c>
      <c r="I59" s="213" t="s">
        <v>31</v>
      </c>
      <c r="J59" s="214" t="s">
        <v>175</v>
      </c>
    </row>
    <row r="60" spans="1:10" ht="14.25" customHeight="1">
      <c r="A60" s="215" t="s">
        <v>222</v>
      </c>
      <c r="B60" s="204" t="s">
        <v>330</v>
      </c>
      <c r="C60" s="205" t="s">
        <v>189</v>
      </c>
      <c r="D60" s="206" t="s">
        <v>690</v>
      </c>
      <c r="E60" s="200">
        <v>310000000</v>
      </c>
      <c r="F60" s="200">
        <v>0</v>
      </c>
      <c r="G60" s="292">
        <v>310000000</v>
      </c>
      <c r="H60" s="200">
        <f t="shared" ref="H60:H111" si="1">E60-G60</f>
        <v>0</v>
      </c>
      <c r="I60" s="201">
        <v>7</v>
      </c>
      <c r="J60" s="202" t="s">
        <v>227</v>
      </c>
    </row>
    <row r="61" spans="1:10" ht="14.25" customHeight="1">
      <c r="A61" s="203" t="s">
        <v>182</v>
      </c>
      <c r="B61" s="204" t="s">
        <v>226</v>
      </c>
      <c r="C61" s="205" t="s">
        <v>180</v>
      </c>
      <c r="D61" s="206" t="s">
        <v>405</v>
      </c>
      <c r="E61" s="200">
        <v>260000000</v>
      </c>
      <c r="F61" s="200">
        <v>0</v>
      </c>
      <c r="G61" s="292">
        <v>260000000</v>
      </c>
      <c r="H61" s="200">
        <f t="shared" si="1"/>
        <v>0</v>
      </c>
      <c r="I61" s="201">
        <v>7.1</v>
      </c>
      <c r="J61" s="202" t="s">
        <v>209</v>
      </c>
    </row>
    <row r="62" spans="1:10" ht="14.25" customHeight="1">
      <c r="A62" s="203"/>
      <c r="B62" s="204" t="s">
        <v>226</v>
      </c>
      <c r="C62" s="205" t="s">
        <v>185</v>
      </c>
      <c r="D62" s="206" t="s">
        <v>406</v>
      </c>
      <c r="E62" s="200">
        <v>2130000000</v>
      </c>
      <c r="F62" s="200">
        <v>0</v>
      </c>
      <c r="G62" s="292">
        <v>2130000000</v>
      </c>
      <c r="H62" s="200">
        <f t="shared" si="1"/>
        <v>0</v>
      </c>
      <c r="I62" s="201">
        <v>6.5</v>
      </c>
      <c r="J62" s="202" t="s">
        <v>228</v>
      </c>
    </row>
    <row r="63" spans="1:10" ht="14.25" customHeight="1">
      <c r="A63" s="203"/>
      <c r="B63" s="204" t="s">
        <v>229</v>
      </c>
      <c r="C63" s="205" t="s">
        <v>189</v>
      </c>
      <c r="D63" s="206" t="s">
        <v>407</v>
      </c>
      <c r="E63" s="200">
        <v>300000000</v>
      </c>
      <c r="F63" s="200">
        <v>0</v>
      </c>
      <c r="G63" s="292">
        <v>300000000</v>
      </c>
      <c r="H63" s="200">
        <f t="shared" si="1"/>
        <v>0</v>
      </c>
      <c r="I63" s="201">
        <v>7</v>
      </c>
      <c r="J63" s="202" t="s">
        <v>230</v>
      </c>
    </row>
    <row r="64" spans="1:10" ht="14.25" customHeight="1">
      <c r="A64" s="203"/>
      <c r="B64" s="204" t="s">
        <v>229</v>
      </c>
      <c r="C64" s="205" t="s">
        <v>189</v>
      </c>
      <c r="D64" s="206" t="s">
        <v>408</v>
      </c>
      <c r="E64" s="200">
        <v>520000000</v>
      </c>
      <c r="F64" s="200">
        <v>0</v>
      </c>
      <c r="G64" s="292">
        <v>520000000</v>
      </c>
      <c r="H64" s="200">
        <f t="shared" si="1"/>
        <v>0</v>
      </c>
      <c r="I64" s="201">
        <v>7</v>
      </c>
      <c r="J64" s="202" t="s">
        <v>230</v>
      </c>
    </row>
    <row r="65" spans="1:10" ht="14.25" customHeight="1">
      <c r="A65" s="203"/>
      <c r="B65" s="204" t="s">
        <v>229</v>
      </c>
      <c r="C65" s="205" t="s">
        <v>189</v>
      </c>
      <c r="D65" s="206" t="s">
        <v>409</v>
      </c>
      <c r="E65" s="200">
        <v>130000000</v>
      </c>
      <c r="F65" s="200">
        <v>0</v>
      </c>
      <c r="G65" s="292">
        <v>130000000</v>
      </c>
      <c r="H65" s="200">
        <f t="shared" si="1"/>
        <v>0</v>
      </c>
      <c r="I65" s="201">
        <v>7</v>
      </c>
      <c r="J65" s="202" t="s">
        <v>230</v>
      </c>
    </row>
    <row r="66" spans="1:10" ht="14.25" customHeight="1">
      <c r="A66" s="203"/>
      <c r="B66" s="204" t="s">
        <v>229</v>
      </c>
      <c r="C66" s="205" t="s">
        <v>180</v>
      </c>
      <c r="D66" s="206" t="s">
        <v>410</v>
      </c>
      <c r="E66" s="200">
        <v>150000000</v>
      </c>
      <c r="F66" s="200">
        <v>0</v>
      </c>
      <c r="G66" s="292">
        <v>150000000</v>
      </c>
      <c r="H66" s="200">
        <f t="shared" si="1"/>
        <v>0</v>
      </c>
      <c r="I66" s="201">
        <v>7.1</v>
      </c>
      <c r="J66" s="202" t="s">
        <v>231</v>
      </c>
    </row>
    <row r="67" spans="1:10" ht="14.25" customHeight="1">
      <c r="A67" s="203"/>
      <c r="B67" s="204" t="s">
        <v>229</v>
      </c>
      <c r="C67" s="205" t="s">
        <v>185</v>
      </c>
      <c r="D67" s="206" t="s">
        <v>411</v>
      </c>
      <c r="E67" s="200">
        <v>1700000000</v>
      </c>
      <c r="F67" s="200">
        <v>0</v>
      </c>
      <c r="G67" s="292">
        <v>1700000000</v>
      </c>
      <c r="H67" s="200">
        <f t="shared" si="1"/>
        <v>0</v>
      </c>
      <c r="I67" s="201">
        <v>6.5</v>
      </c>
      <c r="J67" s="202" t="s">
        <v>232</v>
      </c>
    </row>
    <row r="68" spans="1:10" ht="14.25" customHeight="1">
      <c r="A68" s="203"/>
      <c r="B68" s="204" t="s">
        <v>233</v>
      </c>
      <c r="C68" s="205" t="s">
        <v>189</v>
      </c>
      <c r="D68" s="206" t="s">
        <v>412</v>
      </c>
      <c r="E68" s="200">
        <v>200000000</v>
      </c>
      <c r="F68" s="200">
        <v>0</v>
      </c>
      <c r="G68" s="292">
        <v>200000000</v>
      </c>
      <c r="H68" s="200">
        <f t="shared" si="1"/>
        <v>0</v>
      </c>
      <c r="I68" s="201">
        <v>6.7</v>
      </c>
      <c r="J68" s="202" t="s">
        <v>234</v>
      </c>
    </row>
    <row r="69" spans="1:10" ht="14.25" customHeight="1">
      <c r="A69" s="203"/>
      <c r="B69" s="204" t="s">
        <v>233</v>
      </c>
      <c r="C69" s="205" t="s">
        <v>189</v>
      </c>
      <c r="D69" s="206" t="s">
        <v>412</v>
      </c>
      <c r="E69" s="200">
        <v>600000000</v>
      </c>
      <c r="F69" s="200">
        <v>0</v>
      </c>
      <c r="G69" s="292">
        <v>600000000</v>
      </c>
      <c r="H69" s="200">
        <f t="shared" si="1"/>
        <v>0</v>
      </c>
      <c r="I69" s="201">
        <v>6.7</v>
      </c>
      <c r="J69" s="202" t="s">
        <v>234</v>
      </c>
    </row>
    <row r="70" spans="1:10" ht="14.25" customHeight="1">
      <c r="A70" s="203"/>
      <c r="B70" s="204" t="s">
        <v>233</v>
      </c>
      <c r="C70" s="205" t="s">
        <v>185</v>
      </c>
      <c r="D70" s="206" t="s">
        <v>413</v>
      </c>
      <c r="E70" s="200">
        <v>1560000000</v>
      </c>
      <c r="F70" s="200">
        <v>0</v>
      </c>
      <c r="G70" s="292">
        <v>1560000000</v>
      </c>
      <c r="H70" s="200">
        <f t="shared" si="1"/>
        <v>0</v>
      </c>
      <c r="I70" s="201">
        <v>6.5</v>
      </c>
      <c r="J70" s="202" t="s">
        <v>235</v>
      </c>
    </row>
    <row r="71" spans="1:10" ht="14.25" customHeight="1">
      <c r="A71" s="203"/>
      <c r="B71" s="204" t="s">
        <v>233</v>
      </c>
      <c r="C71" s="205" t="s">
        <v>180</v>
      </c>
      <c r="D71" s="206" t="s">
        <v>414</v>
      </c>
      <c r="E71" s="200">
        <v>240000000</v>
      </c>
      <c r="F71" s="200">
        <v>0</v>
      </c>
      <c r="G71" s="292">
        <v>240000000</v>
      </c>
      <c r="H71" s="200">
        <f t="shared" si="1"/>
        <v>0</v>
      </c>
      <c r="I71" s="201">
        <v>7.1</v>
      </c>
      <c r="J71" s="202" t="s">
        <v>209</v>
      </c>
    </row>
    <row r="72" spans="1:10" ht="14.25" customHeight="1">
      <c r="A72" s="203"/>
      <c r="B72" s="204" t="s">
        <v>236</v>
      </c>
      <c r="C72" s="205" t="s">
        <v>189</v>
      </c>
      <c r="D72" s="206" t="s">
        <v>415</v>
      </c>
      <c r="E72" s="200">
        <v>108000000</v>
      </c>
      <c r="F72" s="200">
        <v>0</v>
      </c>
      <c r="G72" s="292">
        <v>108000000</v>
      </c>
      <c r="H72" s="200">
        <f t="shared" si="1"/>
        <v>0</v>
      </c>
      <c r="I72" s="201">
        <v>6.7</v>
      </c>
      <c r="J72" s="202" t="s">
        <v>237</v>
      </c>
    </row>
    <row r="73" spans="1:10" ht="14.25" customHeight="1">
      <c r="A73" s="203"/>
      <c r="B73" s="204" t="s">
        <v>236</v>
      </c>
      <c r="C73" s="205" t="s">
        <v>189</v>
      </c>
      <c r="D73" s="206" t="s">
        <v>416</v>
      </c>
      <c r="E73" s="200">
        <v>90000000</v>
      </c>
      <c r="F73" s="200">
        <v>0</v>
      </c>
      <c r="G73" s="292">
        <v>90000000</v>
      </c>
      <c r="H73" s="200">
        <f t="shared" si="1"/>
        <v>0</v>
      </c>
      <c r="I73" s="201">
        <v>6.7</v>
      </c>
      <c r="J73" s="202" t="s">
        <v>237</v>
      </c>
    </row>
    <row r="74" spans="1:10" ht="14.25" customHeight="1">
      <c r="A74" s="203"/>
      <c r="B74" s="204" t="s">
        <v>236</v>
      </c>
      <c r="C74" s="205" t="s">
        <v>180</v>
      </c>
      <c r="D74" s="206" t="s">
        <v>416</v>
      </c>
      <c r="E74" s="200">
        <v>50000000</v>
      </c>
      <c r="F74" s="200">
        <v>0</v>
      </c>
      <c r="G74" s="292">
        <v>50000000</v>
      </c>
      <c r="H74" s="200">
        <f t="shared" si="1"/>
        <v>0</v>
      </c>
      <c r="I74" s="201">
        <v>7.1</v>
      </c>
      <c r="J74" s="202" t="s">
        <v>238</v>
      </c>
    </row>
    <row r="75" spans="1:10" ht="14.25" customHeight="1">
      <c r="A75" s="203"/>
      <c r="B75" s="204" t="s">
        <v>236</v>
      </c>
      <c r="C75" s="205" t="s">
        <v>180</v>
      </c>
      <c r="D75" s="206" t="s">
        <v>417</v>
      </c>
      <c r="E75" s="200">
        <v>100000000</v>
      </c>
      <c r="F75" s="200">
        <v>0</v>
      </c>
      <c r="G75" s="292">
        <v>100000000</v>
      </c>
      <c r="H75" s="200">
        <f t="shared" si="1"/>
        <v>0</v>
      </c>
      <c r="I75" s="201">
        <v>6.9</v>
      </c>
      <c r="J75" s="202" t="s">
        <v>238</v>
      </c>
    </row>
    <row r="76" spans="1:10" ht="14.25" customHeight="1">
      <c r="A76" s="203"/>
      <c r="B76" s="204" t="s">
        <v>236</v>
      </c>
      <c r="C76" s="205" t="s">
        <v>185</v>
      </c>
      <c r="D76" s="206" t="s">
        <v>418</v>
      </c>
      <c r="E76" s="200">
        <v>232000000</v>
      </c>
      <c r="F76" s="200">
        <v>0</v>
      </c>
      <c r="G76" s="292">
        <v>232000000</v>
      </c>
      <c r="H76" s="200">
        <f t="shared" si="1"/>
        <v>0</v>
      </c>
      <c r="I76" s="201">
        <v>6.5</v>
      </c>
      <c r="J76" s="202" t="s">
        <v>239</v>
      </c>
    </row>
    <row r="77" spans="1:10" ht="14.25" customHeight="1">
      <c r="A77" s="276"/>
      <c r="B77" s="277" t="s">
        <v>236</v>
      </c>
      <c r="C77" s="293" t="s">
        <v>180</v>
      </c>
      <c r="D77" s="279" t="s">
        <v>418</v>
      </c>
      <c r="E77" s="280">
        <v>100000000</v>
      </c>
      <c r="F77" s="200">
        <v>0</v>
      </c>
      <c r="G77" s="292">
        <v>100000000</v>
      </c>
      <c r="H77" s="200">
        <f t="shared" si="1"/>
        <v>0</v>
      </c>
      <c r="I77" s="208">
        <v>6.8</v>
      </c>
      <c r="J77" s="294" t="s">
        <v>212</v>
      </c>
    </row>
    <row r="78" spans="1:10" ht="17.25" customHeight="1">
      <c r="A78" s="219" t="s">
        <v>376</v>
      </c>
      <c r="B78" s="220" t="s">
        <v>173</v>
      </c>
      <c r="C78" s="221" t="s">
        <v>173</v>
      </c>
      <c r="D78" s="222" t="s">
        <v>173</v>
      </c>
      <c r="E78" s="245">
        <f>SUM(E44:E55,E60:E77)</f>
        <v>14495000000</v>
      </c>
      <c r="F78" s="245">
        <f>SUM(F44:F55,F60:F77)</f>
        <v>0</v>
      </c>
      <c r="G78" s="245">
        <f>SUM(G44:G55,G60:G77)</f>
        <v>14495000000</v>
      </c>
      <c r="H78" s="245">
        <f>SUM(H44:H55,H60:H77)</f>
        <v>0</v>
      </c>
      <c r="I78" s="223"/>
      <c r="J78" s="224" t="s">
        <v>173</v>
      </c>
    </row>
    <row r="79" spans="1:10" ht="14.25" customHeight="1">
      <c r="A79" s="209" t="s">
        <v>240</v>
      </c>
      <c r="B79" s="211" t="s">
        <v>419</v>
      </c>
      <c r="C79" s="249" t="s">
        <v>189</v>
      </c>
      <c r="D79" s="211" t="s">
        <v>420</v>
      </c>
      <c r="E79" s="250">
        <v>150000000</v>
      </c>
      <c r="F79" s="200">
        <v>0</v>
      </c>
      <c r="G79" s="292">
        <v>150000000</v>
      </c>
      <c r="H79" s="200">
        <f t="shared" si="1"/>
        <v>0</v>
      </c>
      <c r="I79" s="213">
        <v>6.7</v>
      </c>
      <c r="J79" s="214" t="s">
        <v>237</v>
      </c>
    </row>
    <row r="80" spans="1:10" ht="14.25" customHeight="1">
      <c r="A80" s="203" t="s">
        <v>182</v>
      </c>
      <c r="B80" s="204" t="s">
        <v>236</v>
      </c>
      <c r="C80" s="205" t="s">
        <v>189</v>
      </c>
      <c r="D80" s="206" t="s">
        <v>416</v>
      </c>
      <c r="E80" s="200">
        <v>482714000</v>
      </c>
      <c r="F80" s="200">
        <v>0</v>
      </c>
      <c r="G80" s="292">
        <v>482714000</v>
      </c>
      <c r="H80" s="200">
        <f t="shared" si="1"/>
        <v>0</v>
      </c>
      <c r="I80" s="201">
        <v>6.7</v>
      </c>
      <c r="J80" s="202" t="s">
        <v>237</v>
      </c>
    </row>
    <row r="81" spans="1:10" ht="14.25" customHeight="1">
      <c r="A81" s="203"/>
      <c r="B81" s="204" t="s">
        <v>236</v>
      </c>
      <c r="C81" s="263" t="s">
        <v>180</v>
      </c>
      <c r="D81" s="206" t="s">
        <v>417</v>
      </c>
      <c r="E81" s="200">
        <v>200000000</v>
      </c>
      <c r="F81" s="200">
        <v>0</v>
      </c>
      <c r="G81" s="292">
        <v>200000000</v>
      </c>
      <c r="H81" s="200">
        <f t="shared" si="1"/>
        <v>0</v>
      </c>
      <c r="I81" s="201">
        <v>6.9</v>
      </c>
      <c r="J81" s="202" t="s">
        <v>238</v>
      </c>
    </row>
    <row r="82" spans="1:10" ht="14.25" customHeight="1">
      <c r="A82" s="203"/>
      <c r="B82" s="204" t="s">
        <v>236</v>
      </c>
      <c r="C82" s="205" t="s">
        <v>189</v>
      </c>
      <c r="D82" s="206" t="s">
        <v>421</v>
      </c>
      <c r="E82" s="200">
        <v>125000000</v>
      </c>
      <c r="F82" s="200">
        <v>0</v>
      </c>
      <c r="G82" s="292">
        <v>125000000</v>
      </c>
      <c r="H82" s="200">
        <f t="shared" si="1"/>
        <v>0</v>
      </c>
      <c r="I82" s="201">
        <v>6.7</v>
      </c>
      <c r="J82" s="202" t="s">
        <v>237</v>
      </c>
    </row>
    <row r="83" spans="1:10" ht="14.25" customHeight="1">
      <c r="A83" s="203"/>
      <c r="B83" s="204" t="s">
        <v>236</v>
      </c>
      <c r="C83" s="263" t="s">
        <v>180</v>
      </c>
      <c r="D83" s="206" t="s">
        <v>422</v>
      </c>
      <c r="E83" s="200">
        <v>500000000</v>
      </c>
      <c r="F83" s="200">
        <v>0</v>
      </c>
      <c r="G83" s="292">
        <v>500000000</v>
      </c>
      <c r="H83" s="200">
        <f t="shared" si="1"/>
        <v>0</v>
      </c>
      <c r="I83" s="201">
        <v>6.8</v>
      </c>
      <c r="J83" s="202" t="s">
        <v>238</v>
      </c>
    </row>
    <row r="84" spans="1:10" ht="14.25" customHeight="1">
      <c r="A84" s="203"/>
      <c r="B84" s="204" t="s">
        <v>236</v>
      </c>
      <c r="C84" s="263" t="s">
        <v>180</v>
      </c>
      <c r="D84" s="206" t="s">
        <v>418</v>
      </c>
      <c r="E84" s="200">
        <v>200000000</v>
      </c>
      <c r="F84" s="200">
        <v>0</v>
      </c>
      <c r="G84" s="292">
        <v>200000000</v>
      </c>
      <c r="H84" s="200">
        <f t="shared" si="1"/>
        <v>0</v>
      </c>
      <c r="I84" s="201">
        <v>6.8</v>
      </c>
      <c r="J84" s="202" t="s">
        <v>212</v>
      </c>
    </row>
    <row r="85" spans="1:10" ht="14.25" customHeight="1">
      <c r="A85" s="203"/>
      <c r="B85" s="204" t="s">
        <v>236</v>
      </c>
      <c r="C85" s="205" t="s">
        <v>185</v>
      </c>
      <c r="D85" s="206" t="s">
        <v>423</v>
      </c>
      <c r="E85" s="200">
        <v>2114870889</v>
      </c>
      <c r="F85" s="200">
        <v>0</v>
      </c>
      <c r="G85" s="292">
        <v>2114870889</v>
      </c>
      <c r="H85" s="200">
        <f t="shared" si="1"/>
        <v>0</v>
      </c>
      <c r="I85" s="201">
        <v>6.5</v>
      </c>
      <c r="J85" s="202" t="s">
        <v>239</v>
      </c>
    </row>
    <row r="86" spans="1:10" ht="14.25" customHeight="1">
      <c r="A86" s="203"/>
      <c r="B86" s="204" t="s">
        <v>236</v>
      </c>
      <c r="C86" s="263" t="s">
        <v>180</v>
      </c>
      <c r="D86" s="206" t="s">
        <v>423</v>
      </c>
      <c r="E86" s="200">
        <v>300000000</v>
      </c>
      <c r="F86" s="200">
        <v>0</v>
      </c>
      <c r="G86" s="292">
        <v>300000000</v>
      </c>
      <c r="H86" s="200">
        <f t="shared" si="1"/>
        <v>0</v>
      </c>
      <c r="I86" s="201">
        <v>6.8</v>
      </c>
      <c r="J86" s="202" t="s">
        <v>212</v>
      </c>
    </row>
    <row r="87" spans="1:10" ht="14.25" customHeight="1">
      <c r="A87" s="203"/>
      <c r="B87" s="204" t="s">
        <v>241</v>
      </c>
      <c r="C87" s="205" t="s">
        <v>189</v>
      </c>
      <c r="D87" s="206" t="s">
        <v>424</v>
      </c>
      <c r="E87" s="200">
        <v>700000000</v>
      </c>
      <c r="F87" s="200">
        <v>0</v>
      </c>
      <c r="G87" s="292">
        <v>700000000</v>
      </c>
      <c r="H87" s="200">
        <f t="shared" si="1"/>
        <v>0</v>
      </c>
      <c r="I87" s="201">
        <v>6.4</v>
      </c>
      <c r="J87" s="202" t="s">
        <v>219</v>
      </c>
    </row>
    <row r="88" spans="1:10" ht="14.25" customHeight="1">
      <c r="A88" s="215"/>
      <c r="B88" s="206">
        <v>47</v>
      </c>
      <c r="C88" s="205" t="s">
        <v>189</v>
      </c>
      <c r="D88" s="206" t="s">
        <v>425</v>
      </c>
      <c r="E88" s="200">
        <v>1361276000</v>
      </c>
      <c r="F88" s="200">
        <v>0</v>
      </c>
      <c r="G88" s="292">
        <v>1361276000</v>
      </c>
      <c r="H88" s="200">
        <f t="shared" si="1"/>
        <v>0</v>
      </c>
      <c r="I88" s="201">
        <v>6.4</v>
      </c>
      <c r="J88" s="202" t="s">
        <v>219</v>
      </c>
    </row>
    <row r="89" spans="1:10" ht="14.25" customHeight="1">
      <c r="A89" s="203"/>
      <c r="B89" s="204" t="s">
        <v>241</v>
      </c>
      <c r="C89" s="263" t="s">
        <v>180</v>
      </c>
      <c r="D89" s="206" t="s">
        <v>426</v>
      </c>
      <c r="E89" s="200">
        <v>130000000</v>
      </c>
      <c r="F89" s="200">
        <v>0</v>
      </c>
      <c r="G89" s="292">
        <v>130000000</v>
      </c>
      <c r="H89" s="200">
        <f t="shared" si="1"/>
        <v>0</v>
      </c>
      <c r="I89" s="201">
        <v>6.8</v>
      </c>
      <c r="J89" s="202" t="s">
        <v>212</v>
      </c>
    </row>
    <row r="90" spans="1:10" ht="14.25" customHeight="1">
      <c r="A90" s="203"/>
      <c r="B90" s="204" t="s">
        <v>241</v>
      </c>
      <c r="C90" s="263" t="s">
        <v>180</v>
      </c>
      <c r="D90" s="206" t="s">
        <v>427</v>
      </c>
      <c r="E90" s="200">
        <v>1280000000</v>
      </c>
      <c r="F90" s="200">
        <v>0</v>
      </c>
      <c r="G90" s="292">
        <v>1280000000</v>
      </c>
      <c r="H90" s="200">
        <f t="shared" si="1"/>
        <v>0</v>
      </c>
      <c r="I90" s="201">
        <v>7</v>
      </c>
      <c r="J90" s="202" t="s">
        <v>188</v>
      </c>
    </row>
    <row r="91" spans="1:10" ht="14.25" customHeight="1">
      <c r="A91" s="203"/>
      <c r="B91" s="204" t="s">
        <v>241</v>
      </c>
      <c r="C91" s="205" t="s">
        <v>185</v>
      </c>
      <c r="D91" s="206" t="s">
        <v>428</v>
      </c>
      <c r="E91" s="200">
        <v>3053639000</v>
      </c>
      <c r="F91" s="200">
        <v>0</v>
      </c>
      <c r="G91" s="292">
        <v>3053639000</v>
      </c>
      <c r="H91" s="200">
        <f t="shared" si="1"/>
        <v>0</v>
      </c>
      <c r="I91" s="201">
        <v>6.75</v>
      </c>
      <c r="J91" s="202" t="s">
        <v>242</v>
      </c>
    </row>
    <row r="92" spans="1:10" ht="14.25" customHeight="1">
      <c r="A92" s="203"/>
      <c r="B92" s="204" t="s">
        <v>243</v>
      </c>
      <c r="C92" s="205" t="s">
        <v>189</v>
      </c>
      <c r="D92" s="206" t="s">
        <v>429</v>
      </c>
      <c r="E92" s="200">
        <v>921935000</v>
      </c>
      <c r="F92" s="200">
        <v>0</v>
      </c>
      <c r="G92" s="292">
        <v>921935000</v>
      </c>
      <c r="H92" s="200">
        <f t="shared" si="1"/>
        <v>0</v>
      </c>
      <c r="I92" s="201">
        <v>7.7</v>
      </c>
      <c r="J92" s="202" t="s">
        <v>228</v>
      </c>
    </row>
    <row r="93" spans="1:10" ht="14.25" customHeight="1">
      <c r="A93" s="203"/>
      <c r="B93" s="204" t="s">
        <v>243</v>
      </c>
      <c r="C93" s="205" t="s">
        <v>189</v>
      </c>
      <c r="D93" s="206" t="s">
        <v>430</v>
      </c>
      <c r="E93" s="200">
        <v>565354000</v>
      </c>
      <c r="F93" s="200">
        <v>0</v>
      </c>
      <c r="G93" s="292">
        <v>565354000</v>
      </c>
      <c r="H93" s="200">
        <f t="shared" si="1"/>
        <v>0</v>
      </c>
      <c r="I93" s="201">
        <v>7.7</v>
      </c>
      <c r="J93" s="202" t="s">
        <v>228</v>
      </c>
    </row>
    <row r="94" spans="1:10" ht="14.25" customHeight="1">
      <c r="A94" s="203"/>
      <c r="B94" s="204" t="s">
        <v>243</v>
      </c>
      <c r="C94" s="205" t="s">
        <v>189</v>
      </c>
      <c r="D94" s="206" t="s">
        <v>431</v>
      </c>
      <c r="E94" s="200">
        <v>500000000</v>
      </c>
      <c r="F94" s="200">
        <v>0</v>
      </c>
      <c r="G94" s="292">
        <v>500000000</v>
      </c>
      <c r="H94" s="200">
        <f t="shared" si="1"/>
        <v>0</v>
      </c>
      <c r="I94" s="201">
        <v>7.7</v>
      </c>
      <c r="J94" s="202" t="s">
        <v>228</v>
      </c>
    </row>
    <row r="95" spans="1:10" ht="14.25" customHeight="1">
      <c r="A95" s="203"/>
      <c r="B95" s="204" t="s">
        <v>243</v>
      </c>
      <c r="C95" s="263" t="s">
        <v>180</v>
      </c>
      <c r="D95" s="206" t="s">
        <v>432</v>
      </c>
      <c r="E95" s="200">
        <v>1546000000</v>
      </c>
      <c r="F95" s="200">
        <v>0</v>
      </c>
      <c r="G95" s="292">
        <v>1546000000</v>
      </c>
      <c r="H95" s="200">
        <f t="shared" si="1"/>
        <v>0</v>
      </c>
      <c r="I95" s="201">
        <v>8.5</v>
      </c>
      <c r="J95" s="202" t="s">
        <v>194</v>
      </c>
    </row>
    <row r="96" spans="1:10" ht="14.25" customHeight="1">
      <c r="A96" s="203"/>
      <c r="B96" s="204" t="s">
        <v>243</v>
      </c>
      <c r="C96" s="205" t="s">
        <v>185</v>
      </c>
      <c r="D96" s="206" t="s">
        <v>433</v>
      </c>
      <c r="E96" s="200">
        <v>4283722000</v>
      </c>
      <c r="F96" s="200">
        <v>0</v>
      </c>
      <c r="G96" s="292">
        <v>4283722000</v>
      </c>
      <c r="H96" s="200">
        <f t="shared" si="1"/>
        <v>0</v>
      </c>
      <c r="I96" s="201">
        <v>8</v>
      </c>
      <c r="J96" s="202" t="s">
        <v>244</v>
      </c>
    </row>
    <row r="97" spans="1:10" ht="14.25" customHeight="1">
      <c r="A97" s="203"/>
      <c r="B97" s="204" t="s">
        <v>245</v>
      </c>
      <c r="C97" s="205" t="s">
        <v>189</v>
      </c>
      <c r="D97" s="206" t="s">
        <v>434</v>
      </c>
      <c r="E97" s="200">
        <v>1341938000</v>
      </c>
      <c r="F97" s="200">
        <v>0</v>
      </c>
      <c r="G97" s="292">
        <v>1341938000</v>
      </c>
      <c r="H97" s="200">
        <f t="shared" si="1"/>
        <v>0</v>
      </c>
      <c r="I97" s="201">
        <v>8.1999999999999993</v>
      </c>
      <c r="J97" s="202" t="s">
        <v>242</v>
      </c>
    </row>
    <row r="98" spans="1:10" ht="14.25" customHeight="1">
      <c r="A98" s="215"/>
      <c r="B98" s="204" t="s">
        <v>245</v>
      </c>
      <c r="C98" s="263" t="s">
        <v>180</v>
      </c>
      <c r="D98" s="206" t="s">
        <v>435</v>
      </c>
      <c r="E98" s="200">
        <v>1000000000</v>
      </c>
      <c r="F98" s="200">
        <v>0</v>
      </c>
      <c r="G98" s="292">
        <v>1000000000</v>
      </c>
      <c r="H98" s="200">
        <f t="shared" si="1"/>
        <v>0</v>
      </c>
      <c r="I98" s="201">
        <v>9.1</v>
      </c>
      <c r="J98" s="202" t="s">
        <v>198</v>
      </c>
    </row>
    <row r="99" spans="1:10" ht="14.25" customHeight="1">
      <c r="A99" s="203"/>
      <c r="B99" s="204" t="s">
        <v>245</v>
      </c>
      <c r="C99" s="205" t="s">
        <v>189</v>
      </c>
      <c r="D99" s="206" t="s">
        <v>436</v>
      </c>
      <c r="E99" s="200">
        <v>1030000000</v>
      </c>
      <c r="F99" s="200">
        <v>0</v>
      </c>
      <c r="G99" s="292">
        <v>1030000000</v>
      </c>
      <c r="H99" s="200">
        <f t="shared" si="1"/>
        <v>0</v>
      </c>
      <c r="I99" s="201">
        <v>8.1999999999999993</v>
      </c>
      <c r="J99" s="202" t="s">
        <v>242</v>
      </c>
    </row>
    <row r="100" spans="1:10" ht="14.25" customHeight="1">
      <c r="A100" s="215"/>
      <c r="B100" s="206" t="s">
        <v>437</v>
      </c>
      <c r="C100" s="263" t="s">
        <v>180</v>
      </c>
      <c r="D100" s="206" t="s">
        <v>142</v>
      </c>
      <c r="E100" s="200">
        <v>600000000</v>
      </c>
      <c r="F100" s="200">
        <v>0</v>
      </c>
      <c r="G100" s="292">
        <v>600000000</v>
      </c>
      <c r="H100" s="200">
        <f t="shared" si="1"/>
        <v>0</v>
      </c>
      <c r="I100" s="201">
        <v>9.1</v>
      </c>
      <c r="J100" s="202" t="s">
        <v>198</v>
      </c>
    </row>
    <row r="101" spans="1:10" ht="14.25" customHeight="1">
      <c r="A101" s="215"/>
      <c r="B101" s="204">
        <v>49</v>
      </c>
      <c r="C101" s="205" t="s">
        <v>189</v>
      </c>
      <c r="D101" s="206" t="s">
        <v>439</v>
      </c>
      <c r="E101" s="200">
        <v>416040000</v>
      </c>
      <c r="F101" s="200">
        <v>0</v>
      </c>
      <c r="G101" s="292">
        <v>416040000</v>
      </c>
      <c r="H101" s="200">
        <f t="shared" si="1"/>
        <v>0</v>
      </c>
      <c r="I101" s="201">
        <v>8.1999999999999993</v>
      </c>
      <c r="J101" s="202" t="s">
        <v>242</v>
      </c>
    </row>
    <row r="102" spans="1:10" ht="14.25" customHeight="1">
      <c r="A102" s="203"/>
      <c r="B102" s="204" t="s">
        <v>245</v>
      </c>
      <c r="C102" s="263" t="s">
        <v>180</v>
      </c>
      <c r="D102" s="206" t="s">
        <v>440</v>
      </c>
      <c r="E102" s="200">
        <v>310000000</v>
      </c>
      <c r="F102" s="200">
        <v>0</v>
      </c>
      <c r="G102" s="292">
        <v>310000000</v>
      </c>
      <c r="H102" s="200">
        <f t="shared" si="1"/>
        <v>0</v>
      </c>
      <c r="I102" s="201">
        <v>9.1</v>
      </c>
      <c r="J102" s="202" t="s">
        <v>201</v>
      </c>
    </row>
    <row r="103" spans="1:10" ht="14.25" customHeight="1">
      <c r="A103" s="203"/>
      <c r="B103" s="204" t="s">
        <v>245</v>
      </c>
      <c r="C103" s="263" t="s">
        <v>180</v>
      </c>
      <c r="D103" s="206" t="s">
        <v>441</v>
      </c>
      <c r="E103" s="200">
        <v>2000000000</v>
      </c>
      <c r="F103" s="200">
        <v>0</v>
      </c>
      <c r="G103" s="292">
        <v>2000000000</v>
      </c>
      <c r="H103" s="200">
        <f t="shared" si="1"/>
        <v>0</v>
      </c>
      <c r="I103" s="201">
        <v>8.6</v>
      </c>
      <c r="J103" s="202" t="s">
        <v>201</v>
      </c>
    </row>
    <row r="104" spans="1:10" ht="14.25" customHeight="1">
      <c r="A104" s="203"/>
      <c r="B104" s="204" t="s">
        <v>245</v>
      </c>
      <c r="C104" s="263" t="s">
        <v>180</v>
      </c>
      <c r="D104" s="206" t="s">
        <v>442</v>
      </c>
      <c r="E104" s="200">
        <v>1000000000</v>
      </c>
      <c r="F104" s="200">
        <v>0</v>
      </c>
      <c r="G104" s="292">
        <v>1000000000</v>
      </c>
      <c r="H104" s="200">
        <f t="shared" si="1"/>
        <v>0</v>
      </c>
      <c r="I104" s="201">
        <v>8.6</v>
      </c>
      <c r="J104" s="202" t="s">
        <v>201</v>
      </c>
    </row>
    <row r="105" spans="1:10" ht="14.25" customHeight="1">
      <c r="A105" s="203"/>
      <c r="B105" s="204">
        <v>50</v>
      </c>
      <c r="C105" s="205" t="s">
        <v>189</v>
      </c>
      <c r="D105" s="206" t="s">
        <v>443</v>
      </c>
      <c r="E105" s="200">
        <v>1422752000</v>
      </c>
      <c r="F105" s="200">
        <v>0</v>
      </c>
      <c r="G105" s="292">
        <v>1422752000</v>
      </c>
      <c r="H105" s="200">
        <f t="shared" si="1"/>
        <v>0</v>
      </c>
      <c r="I105" s="201">
        <v>7.7</v>
      </c>
      <c r="J105" s="216" t="s">
        <v>246</v>
      </c>
    </row>
    <row r="106" spans="1:10" ht="14.25" customHeight="1">
      <c r="A106" s="218"/>
      <c r="B106" s="204">
        <v>49</v>
      </c>
      <c r="C106" s="205" t="s">
        <v>185</v>
      </c>
      <c r="D106" s="206" t="s">
        <v>712</v>
      </c>
      <c r="E106" s="200">
        <v>13759150000</v>
      </c>
      <c r="F106" s="200">
        <v>0</v>
      </c>
      <c r="G106" s="200">
        <v>13759150000</v>
      </c>
      <c r="H106" s="200">
        <f t="shared" si="1"/>
        <v>0</v>
      </c>
      <c r="I106" s="201">
        <v>7.5</v>
      </c>
      <c r="J106" s="295" t="s">
        <v>247</v>
      </c>
    </row>
    <row r="107" spans="1:10" ht="14.25" customHeight="1">
      <c r="A107" s="218"/>
      <c r="B107" s="204">
        <v>50</v>
      </c>
      <c r="C107" s="205" t="s">
        <v>189</v>
      </c>
      <c r="D107" s="206" t="s">
        <v>324</v>
      </c>
      <c r="E107" s="200">
        <v>1878457000</v>
      </c>
      <c r="F107" s="200">
        <v>0</v>
      </c>
      <c r="G107" s="200">
        <v>1878457000</v>
      </c>
      <c r="H107" s="200">
        <f t="shared" si="1"/>
        <v>0</v>
      </c>
      <c r="I107" s="201">
        <v>7.7</v>
      </c>
      <c r="J107" s="295" t="s">
        <v>246</v>
      </c>
    </row>
    <row r="108" spans="1:10" ht="14.25" customHeight="1">
      <c r="A108" s="218"/>
      <c r="B108" s="204" t="s">
        <v>248</v>
      </c>
      <c r="C108" s="205" t="s">
        <v>189</v>
      </c>
      <c r="D108" s="206" t="s">
        <v>325</v>
      </c>
      <c r="E108" s="200">
        <v>2740000000</v>
      </c>
      <c r="F108" s="200">
        <v>0</v>
      </c>
      <c r="G108" s="200">
        <v>2740000000</v>
      </c>
      <c r="H108" s="200">
        <f t="shared" si="1"/>
        <v>0</v>
      </c>
      <c r="I108" s="201">
        <v>7.7</v>
      </c>
      <c r="J108" s="295" t="s">
        <v>246</v>
      </c>
    </row>
    <row r="109" spans="1:10" ht="14.25" customHeight="1">
      <c r="A109" s="218"/>
      <c r="B109" s="204" t="s">
        <v>248</v>
      </c>
      <c r="C109" s="205" t="s">
        <v>185</v>
      </c>
      <c r="D109" s="206" t="s">
        <v>326</v>
      </c>
      <c r="E109" s="200">
        <v>7512771000</v>
      </c>
      <c r="F109" s="200">
        <v>0</v>
      </c>
      <c r="G109" s="200">
        <v>7512771000</v>
      </c>
      <c r="H109" s="200">
        <f t="shared" si="1"/>
        <v>0</v>
      </c>
      <c r="I109" s="201">
        <v>7.5</v>
      </c>
      <c r="J109" s="295" t="s">
        <v>249</v>
      </c>
    </row>
    <row r="110" spans="1:10" ht="14.25" customHeight="1">
      <c r="A110" s="218"/>
      <c r="B110" s="204" t="s">
        <v>250</v>
      </c>
      <c r="C110" s="205" t="s">
        <v>189</v>
      </c>
      <c r="D110" s="206" t="s">
        <v>327</v>
      </c>
      <c r="E110" s="200">
        <v>2103702000</v>
      </c>
      <c r="F110" s="200">
        <v>0</v>
      </c>
      <c r="G110" s="200">
        <v>2103702000</v>
      </c>
      <c r="H110" s="200">
        <f t="shared" si="1"/>
        <v>0</v>
      </c>
      <c r="I110" s="201">
        <v>7.7</v>
      </c>
      <c r="J110" s="295" t="s">
        <v>244</v>
      </c>
    </row>
    <row r="111" spans="1:10" ht="14.25" customHeight="1" thickBot="1">
      <c r="A111" s="284"/>
      <c r="B111" s="285" t="s">
        <v>250</v>
      </c>
      <c r="C111" s="286" t="s">
        <v>189</v>
      </c>
      <c r="D111" s="287" t="s">
        <v>328</v>
      </c>
      <c r="E111" s="268">
        <v>1485841000</v>
      </c>
      <c r="F111" s="268">
        <v>0</v>
      </c>
      <c r="G111" s="268">
        <v>1485841000</v>
      </c>
      <c r="H111" s="200">
        <f t="shared" si="1"/>
        <v>0</v>
      </c>
      <c r="I111" s="288">
        <v>7.7</v>
      </c>
      <c r="J111" s="296" t="s">
        <v>244</v>
      </c>
    </row>
    <row r="112" spans="1:10" ht="9.75" customHeight="1" thickBot="1">
      <c r="A112" s="297"/>
      <c r="B112" s="272"/>
      <c r="C112" s="257"/>
      <c r="D112" s="258"/>
      <c r="E112" s="259"/>
      <c r="F112" s="259"/>
      <c r="G112" s="259"/>
      <c r="H112" s="259"/>
      <c r="I112" s="260"/>
      <c r="J112" s="270"/>
    </row>
    <row r="113" spans="1:10">
      <c r="A113" s="479" t="s">
        <v>26</v>
      </c>
      <c r="B113" s="481" t="s">
        <v>311</v>
      </c>
      <c r="C113" s="483" t="s">
        <v>27</v>
      </c>
      <c r="D113" s="481" t="s">
        <v>312</v>
      </c>
      <c r="E113" s="485" t="s">
        <v>28</v>
      </c>
      <c r="F113" s="487" t="s">
        <v>29</v>
      </c>
      <c r="G113" s="493"/>
      <c r="H113" s="489" t="s">
        <v>174</v>
      </c>
      <c r="I113" s="491" t="s">
        <v>30</v>
      </c>
      <c r="J113" s="477" t="s">
        <v>313</v>
      </c>
    </row>
    <row r="114" spans="1:10">
      <c r="A114" s="480"/>
      <c r="B114" s="482"/>
      <c r="C114" s="484"/>
      <c r="D114" s="482"/>
      <c r="E114" s="486"/>
      <c r="F114" s="207" t="s">
        <v>176</v>
      </c>
      <c r="G114" s="207" t="s">
        <v>305</v>
      </c>
      <c r="H114" s="490"/>
      <c r="I114" s="492"/>
      <c r="J114" s="478"/>
    </row>
    <row r="115" spans="1:10">
      <c r="A115" s="209"/>
      <c r="B115" s="210"/>
      <c r="C115" s="210"/>
      <c r="D115" s="211" t="s">
        <v>177</v>
      </c>
      <c r="E115" s="212" t="s">
        <v>178</v>
      </c>
      <c r="F115" s="212" t="s">
        <v>172</v>
      </c>
      <c r="G115" s="212" t="s">
        <v>178</v>
      </c>
      <c r="H115" s="212" t="s">
        <v>178</v>
      </c>
      <c r="I115" s="213" t="s">
        <v>31</v>
      </c>
      <c r="J115" s="214" t="s">
        <v>175</v>
      </c>
    </row>
    <row r="116" spans="1:10" ht="14.25" customHeight="1">
      <c r="A116" s="215" t="s">
        <v>240</v>
      </c>
      <c r="B116" s="204" t="s">
        <v>329</v>
      </c>
      <c r="C116" s="205" t="s">
        <v>189</v>
      </c>
      <c r="D116" s="206" t="s">
        <v>691</v>
      </c>
      <c r="E116" s="200">
        <v>4952879000</v>
      </c>
      <c r="F116" s="200">
        <v>0</v>
      </c>
      <c r="G116" s="200">
        <v>4952879000</v>
      </c>
      <c r="H116" s="200">
        <f t="shared" ref="H116:H169" si="2">E116-G116</f>
        <v>0</v>
      </c>
      <c r="I116" s="201">
        <v>7.7</v>
      </c>
      <c r="J116" s="202" t="s">
        <v>244</v>
      </c>
    </row>
    <row r="117" spans="1:10" ht="14.25" customHeight="1">
      <c r="A117" s="203" t="s">
        <v>182</v>
      </c>
      <c r="B117" s="204" t="s">
        <v>250</v>
      </c>
      <c r="C117" s="205" t="s">
        <v>189</v>
      </c>
      <c r="D117" s="206" t="s">
        <v>444</v>
      </c>
      <c r="E117" s="200">
        <v>700000000</v>
      </c>
      <c r="F117" s="200">
        <v>0</v>
      </c>
      <c r="G117" s="200">
        <v>700000000</v>
      </c>
      <c r="H117" s="200">
        <f t="shared" si="2"/>
        <v>0</v>
      </c>
      <c r="I117" s="201">
        <v>6.95</v>
      </c>
      <c r="J117" s="202" t="s">
        <v>244</v>
      </c>
    </row>
    <row r="118" spans="1:10" ht="14.25" customHeight="1">
      <c r="A118" s="203"/>
      <c r="B118" s="204" t="s">
        <v>250</v>
      </c>
      <c r="C118" s="205" t="s">
        <v>189</v>
      </c>
      <c r="D118" s="206" t="s">
        <v>445</v>
      </c>
      <c r="E118" s="200">
        <v>700000000</v>
      </c>
      <c r="F118" s="200">
        <v>0</v>
      </c>
      <c r="G118" s="200">
        <v>700000000</v>
      </c>
      <c r="H118" s="200">
        <f t="shared" si="2"/>
        <v>0</v>
      </c>
      <c r="I118" s="201">
        <v>6.95</v>
      </c>
      <c r="J118" s="202" t="s">
        <v>244</v>
      </c>
    </row>
    <row r="119" spans="1:10" ht="14.25" customHeight="1">
      <c r="A119" s="203"/>
      <c r="B119" s="204" t="s">
        <v>250</v>
      </c>
      <c r="C119" s="205" t="s">
        <v>189</v>
      </c>
      <c r="D119" s="206" t="s">
        <v>446</v>
      </c>
      <c r="E119" s="200">
        <v>2000000000</v>
      </c>
      <c r="F119" s="200">
        <v>0</v>
      </c>
      <c r="G119" s="200">
        <v>2000000000</v>
      </c>
      <c r="H119" s="200">
        <f t="shared" si="2"/>
        <v>0</v>
      </c>
      <c r="I119" s="201">
        <v>6.95</v>
      </c>
      <c r="J119" s="202" t="s">
        <v>244</v>
      </c>
    </row>
    <row r="120" spans="1:10" ht="14.25" customHeight="1">
      <c r="A120" s="203"/>
      <c r="B120" s="204" t="s">
        <v>250</v>
      </c>
      <c r="C120" s="205" t="s">
        <v>189</v>
      </c>
      <c r="D120" s="206" t="s">
        <v>447</v>
      </c>
      <c r="E120" s="200">
        <v>410000000</v>
      </c>
      <c r="F120" s="200">
        <v>0</v>
      </c>
      <c r="G120" s="200">
        <v>410000000</v>
      </c>
      <c r="H120" s="200">
        <f t="shared" si="2"/>
        <v>0</v>
      </c>
      <c r="I120" s="201">
        <v>6.95</v>
      </c>
      <c r="J120" s="202" t="s">
        <v>247</v>
      </c>
    </row>
    <row r="121" spans="1:10" ht="14.25" customHeight="1">
      <c r="A121" s="203"/>
      <c r="B121" s="204">
        <v>52</v>
      </c>
      <c r="C121" s="205" t="s">
        <v>189</v>
      </c>
      <c r="D121" s="206" t="s">
        <v>448</v>
      </c>
      <c r="E121" s="200">
        <v>906331000</v>
      </c>
      <c r="F121" s="200">
        <v>0</v>
      </c>
      <c r="G121" s="200">
        <v>906331000</v>
      </c>
      <c r="H121" s="200">
        <f t="shared" si="2"/>
        <v>0</v>
      </c>
      <c r="I121" s="201">
        <v>6.7</v>
      </c>
      <c r="J121" s="216" t="s">
        <v>247</v>
      </c>
    </row>
    <row r="122" spans="1:10" ht="14.25" customHeight="1">
      <c r="A122" s="203"/>
      <c r="B122" s="204" t="s">
        <v>250</v>
      </c>
      <c r="C122" s="205" t="s">
        <v>185</v>
      </c>
      <c r="D122" s="206" t="s">
        <v>449</v>
      </c>
      <c r="E122" s="200">
        <v>3969362000</v>
      </c>
      <c r="F122" s="200">
        <v>0</v>
      </c>
      <c r="G122" s="200">
        <v>3969362000</v>
      </c>
      <c r="H122" s="200">
        <f t="shared" si="2"/>
        <v>0</v>
      </c>
      <c r="I122" s="201">
        <v>6.5</v>
      </c>
      <c r="J122" s="202" t="s">
        <v>251</v>
      </c>
    </row>
    <row r="123" spans="1:10" ht="14.25" customHeight="1">
      <c r="A123" s="203"/>
      <c r="B123" s="204" t="s">
        <v>252</v>
      </c>
      <c r="C123" s="205" t="s">
        <v>189</v>
      </c>
      <c r="D123" s="206" t="s">
        <v>450</v>
      </c>
      <c r="E123" s="200">
        <v>1480274000</v>
      </c>
      <c r="F123" s="200">
        <v>0</v>
      </c>
      <c r="G123" s="200">
        <v>1480274000</v>
      </c>
      <c r="H123" s="200">
        <f t="shared" si="2"/>
        <v>0</v>
      </c>
      <c r="I123" s="201">
        <v>6.7</v>
      </c>
      <c r="J123" s="202" t="s">
        <v>247</v>
      </c>
    </row>
    <row r="124" spans="1:10" ht="14.25" customHeight="1">
      <c r="A124" s="203"/>
      <c r="B124" s="204" t="s">
        <v>252</v>
      </c>
      <c r="C124" s="205" t="s">
        <v>189</v>
      </c>
      <c r="D124" s="206" t="s">
        <v>451</v>
      </c>
      <c r="E124" s="200">
        <v>700000000</v>
      </c>
      <c r="F124" s="200">
        <v>0</v>
      </c>
      <c r="G124" s="200">
        <v>700000000</v>
      </c>
      <c r="H124" s="200">
        <f t="shared" si="2"/>
        <v>0</v>
      </c>
      <c r="I124" s="201">
        <v>6.25</v>
      </c>
      <c r="J124" s="202" t="s">
        <v>247</v>
      </c>
    </row>
    <row r="125" spans="1:10" ht="14.25" customHeight="1">
      <c r="A125" s="203"/>
      <c r="B125" s="204" t="s">
        <v>252</v>
      </c>
      <c r="C125" s="205" t="s">
        <v>189</v>
      </c>
      <c r="D125" s="206" t="s">
        <v>452</v>
      </c>
      <c r="E125" s="200">
        <v>2000000000</v>
      </c>
      <c r="F125" s="200">
        <v>0</v>
      </c>
      <c r="G125" s="200">
        <v>2000000000</v>
      </c>
      <c r="H125" s="200">
        <f t="shared" si="2"/>
        <v>0</v>
      </c>
      <c r="I125" s="201">
        <v>6.25</v>
      </c>
      <c r="J125" s="202" t="s">
        <v>247</v>
      </c>
    </row>
    <row r="126" spans="1:10" ht="14.25" customHeight="1">
      <c r="A126" s="203"/>
      <c r="B126" s="204" t="s">
        <v>252</v>
      </c>
      <c r="C126" s="205" t="s">
        <v>189</v>
      </c>
      <c r="D126" s="206" t="s">
        <v>453</v>
      </c>
      <c r="E126" s="200">
        <v>800000000</v>
      </c>
      <c r="F126" s="200">
        <v>0</v>
      </c>
      <c r="G126" s="200">
        <v>800000000</v>
      </c>
      <c r="H126" s="200">
        <f t="shared" si="2"/>
        <v>0</v>
      </c>
      <c r="I126" s="201">
        <v>6.25</v>
      </c>
      <c r="J126" s="202" t="s">
        <v>247</v>
      </c>
    </row>
    <row r="127" spans="1:10" ht="14.25" customHeight="1">
      <c r="A127" s="203"/>
      <c r="B127" s="204" t="s">
        <v>252</v>
      </c>
      <c r="C127" s="205" t="s">
        <v>189</v>
      </c>
      <c r="D127" s="206" t="s">
        <v>454</v>
      </c>
      <c r="E127" s="200">
        <v>2100000000</v>
      </c>
      <c r="F127" s="200">
        <v>0</v>
      </c>
      <c r="G127" s="200">
        <v>2100000000</v>
      </c>
      <c r="H127" s="200">
        <f t="shared" si="2"/>
        <v>0</v>
      </c>
      <c r="I127" s="201">
        <v>6.25</v>
      </c>
      <c r="J127" s="202" t="s">
        <v>249</v>
      </c>
    </row>
    <row r="128" spans="1:10" ht="14.25" customHeight="1">
      <c r="A128" s="203"/>
      <c r="B128" s="204" t="s">
        <v>252</v>
      </c>
      <c r="C128" s="205" t="s">
        <v>189</v>
      </c>
      <c r="D128" s="206" t="s">
        <v>455</v>
      </c>
      <c r="E128" s="200">
        <v>800000000</v>
      </c>
      <c r="F128" s="200">
        <v>0</v>
      </c>
      <c r="G128" s="200">
        <v>800000000</v>
      </c>
      <c r="H128" s="200">
        <f t="shared" si="2"/>
        <v>0</v>
      </c>
      <c r="I128" s="201">
        <v>6.25</v>
      </c>
      <c r="J128" s="202" t="s">
        <v>249</v>
      </c>
    </row>
    <row r="129" spans="1:10" ht="14.25" customHeight="1">
      <c r="A129" s="203"/>
      <c r="B129" s="204" t="s">
        <v>252</v>
      </c>
      <c r="C129" s="205" t="s">
        <v>185</v>
      </c>
      <c r="D129" s="206" t="s">
        <v>456</v>
      </c>
      <c r="E129" s="200">
        <v>1257999000</v>
      </c>
      <c r="F129" s="200">
        <v>0</v>
      </c>
      <c r="G129" s="200">
        <v>1257999000</v>
      </c>
      <c r="H129" s="200">
        <f t="shared" si="2"/>
        <v>0</v>
      </c>
      <c r="I129" s="201">
        <v>6.05</v>
      </c>
      <c r="J129" s="202" t="s">
        <v>253</v>
      </c>
    </row>
    <row r="130" spans="1:10" ht="14.25" customHeight="1">
      <c r="A130" s="203"/>
      <c r="B130" s="204" t="s">
        <v>252</v>
      </c>
      <c r="C130" s="205" t="s">
        <v>189</v>
      </c>
      <c r="D130" s="206" t="s">
        <v>456</v>
      </c>
      <c r="E130" s="200">
        <v>1525000000</v>
      </c>
      <c r="F130" s="200">
        <v>0</v>
      </c>
      <c r="G130" s="200">
        <v>1525000000</v>
      </c>
      <c r="H130" s="200">
        <f t="shared" si="2"/>
        <v>0</v>
      </c>
      <c r="I130" s="201">
        <v>6.25</v>
      </c>
      <c r="J130" s="202" t="s">
        <v>249</v>
      </c>
    </row>
    <row r="131" spans="1:10" ht="14.25" customHeight="1">
      <c r="A131" s="203"/>
      <c r="B131" s="204" t="s">
        <v>254</v>
      </c>
      <c r="C131" s="205" t="s">
        <v>189</v>
      </c>
      <c r="D131" s="206" t="s">
        <v>457</v>
      </c>
      <c r="E131" s="200">
        <v>1000000000</v>
      </c>
      <c r="F131" s="200">
        <v>0</v>
      </c>
      <c r="G131" s="200">
        <v>1000000000</v>
      </c>
      <c r="H131" s="200">
        <f t="shared" si="2"/>
        <v>0</v>
      </c>
      <c r="I131" s="201">
        <v>6.25</v>
      </c>
      <c r="J131" s="202" t="s">
        <v>249</v>
      </c>
    </row>
    <row r="132" spans="1:10" ht="14.25" customHeight="1">
      <c r="A132" s="215"/>
      <c r="B132" s="206" t="s">
        <v>255</v>
      </c>
      <c r="C132" s="205" t="s">
        <v>189</v>
      </c>
      <c r="D132" s="206" t="s">
        <v>458</v>
      </c>
      <c r="E132" s="200">
        <v>1000000000</v>
      </c>
      <c r="F132" s="200">
        <v>0</v>
      </c>
      <c r="G132" s="200">
        <v>1000000000</v>
      </c>
      <c r="H132" s="200">
        <f t="shared" si="2"/>
        <v>0</v>
      </c>
      <c r="I132" s="201">
        <v>6.25</v>
      </c>
      <c r="J132" s="202" t="s">
        <v>249</v>
      </c>
    </row>
    <row r="133" spans="1:10" ht="14.25" customHeight="1">
      <c r="A133" s="203"/>
      <c r="B133" s="204" t="s">
        <v>254</v>
      </c>
      <c r="C133" s="205" t="s">
        <v>189</v>
      </c>
      <c r="D133" s="206" t="s">
        <v>459</v>
      </c>
      <c r="E133" s="200">
        <v>1000000000</v>
      </c>
      <c r="F133" s="200">
        <v>0</v>
      </c>
      <c r="G133" s="200">
        <v>1000000000</v>
      </c>
      <c r="H133" s="200">
        <f t="shared" si="2"/>
        <v>0</v>
      </c>
      <c r="I133" s="201">
        <v>6.15</v>
      </c>
      <c r="J133" s="202" t="s">
        <v>249</v>
      </c>
    </row>
    <row r="134" spans="1:10" ht="14.25" customHeight="1">
      <c r="A134" s="203"/>
      <c r="B134" s="204" t="s">
        <v>254</v>
      </c>
      <c r="C134" s="205" t="s">
        <v>189</v>
      </c>
      <c r="D134" s="206" t="s">
        <v>460</v>
      </c>
      <c r="E134" s="200">
        <v>1000000000</v>
      </c>
      <c r="F134" s="200">
        <v>0</v>
      </c>
      <c r="G134" s="200">
        <v>1000000000</v>
      </c>
      <c r="H134" s="200">
        <f t="shared" si="2"/>
        <v>0</v>
      </c>
      <c r="I134" s="201">
        <v>6.75</v>
      </c>
      <c r="J134" s="202" t="s">
        <v>249</v>
      </c>
    </row>
    <row r="135" spans="1:10" ht="14.25" customHeight="1">
      <c r="A135" s="203"/>
      <c r="B135" s="204" t="s">
        <v>254</v>
      </c>
      <c r="C135" s="205" t="s">
        <v>189</v>
      </c>
      <c r="D135" s="206" t="s">
        <v>461</v>
      </c>
      <c r="E135" s="200">
        <v>3722000000</v>
      </c>
      <c r="F135" s="200">
        <v>0</v>
      </c>
      <c r="G135" s="200">
        <v>3722000000</v>
      </c>
      <c r="H135" s="200">
        <f t="shared" si="2"/>
        <v>0</v>
      </c>
      <c r="I135" s="201">
        <v>7.25</v>
      </c>
      <c r="J135" s="202" t="s">
        <v>251</v>
      </c>
    </row>
    <row r="136" spans="1:10" ht="14.25" customHeight="1">
      <c r="A136" s="203"/>
      <c r="B136" s="204" t="s">
        <v>254</v>
      </c>
      <c r="C136" s="205" t="s">
        <v>185</v>
      </c>
      <c r="D136" s="206" t="s">
        <v>462</v>
      </c>
      <c r="E136" s="200">
        <v>2078000000</v>
      </c>
      <c r="F136" s="200">
        <v>0</v>
      </c>
      <c r="G136" s="200">
        <v>2078000000</v>
      </c>
      <c r="H136" s="200">
        <f t="shared" si="2"/>
        <v>0</v>
      </c>
      <c r="I136" s="201">
        <v>7.15</v>
      </c>
      <c r="J136" s="202" t="s">
        <v>256</v>
      </c>
    </row>
    <row r="137" spans="1:10" ht="14.25" customHeight="1">
      <c r="A137" s="203"/>
      <c r="B137" s="204" t="s">
        <v>257</v>
      </c>
      <c r="C137" s="205" t="s">
        <v>189</v>
      </c>
      <c r="D137" s="206" t="s">
        <v>463</v>
      </c>
      <c r="E137" s="200">
        <v>3300000000</v>
      </c>
      <c r="F137" s="200">
        <v>0</v>
      </c>
      <c r="G137" s="200">
        <v>3300000000</v>
      </c>
      <c r="H137" s="200">
        <f t="shared" si="2"/>
        <v>0</v>
      </c>
      <c r="I137" s="201">
        <v>7.25</v>
      </c>
      <c r="J137" s="202" t="s">
        <v>251</v>
      </c>
    </row>
    <row r="138" spans="1:10" ht="14.25" customHeight="1">
      <c r="A138" s="203"/>
      <c r="B138" s="204" t="s">
        <v>257</v>
      </c>
      <c r="C138" s="205" t="s">
        <v>189</v>
      </c>
      <c r="D138" s="206" t="s">
        <v>464</v>
      </c>
      <c r="E138" s="200">
        <v>1000000000</v>
      </c>
      <c r="F138" s="200">
        <v>0</v>
      </c>
      <c r="G138" s="200">
        <v>1000000000</v>
      </c>
      <c r="H138" s="200">
        <f t="shared" si="2"/>
        <v>0</v>
      </c>
      <c r="I138" s="201">
        <v>8.6</v>
      </c>
      <c r="J138" s="202" t="s">
        <v>465</v>
      </c>
    </row>
    <row r="139" spans="1:10" ht="14.25" customHeight="1">
      <c r="A139" s="203"/>
      <c r="B139" s="204" t="s">
        <v>257</v>
      </c>
      <c r="C139" s="205" t="s">
        <v>189</v>
      </c>
      <c r="D139" s="206" t="s">
        <v>466</v>
      </c>
      <c r="E139" s="200">
        <v>2500000000</v>
      </c>
      <c r="F139" s="200">
        <v>0</v>
      </c>
      <c r="G139" s="200">
        <v>2500000000</v>
      </c>
      <c r="H139" s="200">
        <f t="shared" si="2"/>
        <v>0</v>
      </c>
      <c r="I139" s="201">
        <v>8.6</v>
      </c>
      <c r="J139" s="202" t="s">
        <v>143</v>
      </c>
    </row>
    <row r="140" spans="1:10" ht="14.25" customHeight="1">
      <c r="A140" s="203"/>
      <c r="B140" s="204" t="s">
        <v>257</v>
      </c>
      <c r="C140" s="205" t="s">
        <v>185</v>
      </c>
      <c r="D140" s="206" t="s">
        <v>468</v>
      </c>
      <c r="E140" s="200">
        <v>1550704816</v>
      </c>
      <c r="F140" s="200">
        <v>0</v>
      </c>
      <c r="G140" s="200">
        <v>1550704816</v>
      </c>
      <c r="H140" s="200">
        <f t="shared" si="2"/>
        <v>0</v>
      </c>
      <c r="I140" s="201">
        <v>8</v>
      </c>
      <c r="J140" s="202" t="s">
        <v>469</v>
      </c>
    </row>
    <row r="141" spans="1:10" ht="14.25" customHeight="1">
      <c r="A141" s="203"/>
      <c r="B141" s="204" t="s">
        <v>257</v>
      </c>
      <c r="C141" s="205" t="s">
        <v>189</v>
      </c>
      <c r="D141" s="206" t="s">
        <v>470</v>
      </c>
      <c r="E141" s="200">
        <v>2579000000</v>
      </c>
      <c r="F141" s="200">
        <v>0</v>
      </c>
      <c r="G141" s="200">
        <v>2579000000</v>
      </c>
      <c r="H141" s="200">
        <f t="shared" si="2"/>
        <v>0</v>
      </c>
      <c r="I141" s="201">
        <v>8.1</v>
      </c>
      <c r="J141" s="202" t="s">
        <v>253</v>
      </c>
    </row>
    <row r="142" spans="1:10" ht="14.25" customHeight="1">
      <c r="A142" s="203"/>
      <c r="B142" s="204" t="s">
        <v>258</v>
      </c>
      <c r="C142" s="205" t="s">
        <v>189</v>
      </c>
      <c r="D142" s="206" t="s">
        <v>471</v>
      </c>
      <c r="E142" s="200">
        <v>3500000000</v>
      </c>
      <c r="F142" s="200">
        <v>0</v>
      </c>
      <c r="G142" s="200">
        <v>3500000000</v>
      </c>
      <c r="H142" s="200">
        <f t="shared" si="2"/>
        <v>0</v>
      </c>
      <c r="I142" s="201">
        <v>8.1</v>
      </c>
      <c r="J142" s="202" t="s">
        <v>465</v>
      </c>
    </row>
    <row r="143" spans="1:10" ht="14.25" customHeight="1">
      <c r="A143" s="203"/>
      <c r="B143" s="204" t="s">
        <v>258</v>
      </c>
      <c r="C143" s="205" t="s">
        <v>189</v>
      </c>
      <c r="D143" s="206" t="s">
        <v>472</v>
      </c>
      <c r="E143" s="200">
        <v>1000000000</v>
      </c>
      <c r="F143" s="200">
        <v>0</v>
      </c>
      <c r="G143" s="200">
        <v>1000000000</v>
      </c>
      <c r="H143" s="200">
        <f t="shared" si="2"/>
        <v>0</v>
      </c>
      <c r="I143" s="201">
        <v>7.6</v>
      </c>
      <c r="J143" s="202" t="s">
        <v>253</v>
      </c>
    </row>
    <row r="144" spans="1:10" ht="14.25" customHeight="1">
      <c r="A144" s="203"/>
      <c r="B144" s="204" t="s">
        <v>258</v>
      </c>
      <c r="C144" s="205" t="s">
        <v>189</v>
      </c>
      <c r="D144" s="206" t="s">
        <v>473</v>
      </c>
      <c r="E144" s="200">
        <v>882000000</v>
      </c>
      <c r="F144" s="200">
        <v>0</v>
      </c>
      <c r="G144" s="200">
        <v>882000000</v>
      </c>
      <c r="H144" s="200">
        <f t="shared" si="2"/>
        <v>0</v>
      </c>
      <c r="I144" s="201">
        <v>7.6</v>
      </c>
      <c r="J144" s="202" t="s">
        <v>256</v>
      </c>
    </row>
    <row r="145" spans="1:10" ht="14.25" customHeight="1">
      <c r="A145" s="203"/>
      <c r="B145" s="204" t="s">
        <v>258</v>
      </c>
      <c r="C145" s="205" t="s">
        <v>185</v>
      </c>
      <c r="D145" s="206" t="s">
        <v>474</v>
      </c>
      <c r="E145" s="200">
        <v>2385295998</v>
      </c>
      <c r="F145" s="200">
        <v>0</v>
      </c>
      <c r="G145" s="200">
        <v>2385295998</v>
      </c>
      <c r="H145" s="200">
        <f t="shared" si="2"/>
        <v>0</v>
      </c>
      <c r="I145" s="201">
        <v>7.5</v>
      </c>
      <c r="J145" s="202" t="s">
        <v>469</v>
      </c>
    </row>
    <row r="146" spans="1:10" ht="14.25" customHeight="1">
      <c r="A146" s="203"/>
      <c r="B146" s="204" t="s">
        <v>259</v>
      </c>
      <c r="C146" s="205" t="s">
        <v>189</v>
      </c>
      <c r="D146" s="206" t="s">
        <v>475</v>
      </c>
      <c r="E146" s="200">
        <v>3800000000</v>
      </c>
      <c r="F146" s="200">
        <v>0</v>
      </c>
      <c r="G146" s="200">
        <v>3800000000</v>
      </c>
      <c r="H146" s="200">
        <f t="shared" si="2"/>
        <v>0</v>
      </c>
      <c r="I146" s="201">
        <v>7.4</v>
      </c>
      <c r="J146" s="202" t="s">
        <v>65</v>
      </c>
    </row>
    <row r="147" spans="1:10" ht="14.25" customHeight="1">
      <c r="A147" s="215"/>
      <c r="B147" s="206" t="s">
        <v>145</v>
      </c>
      <c r="C147" s="205" t="s">
        <v>189</v>
      </c>
      <c r="D147" s="206" t="s">
        <v>146</v>
      </c>
      <c r="E147" s="200">
        <v>527000000</v>
      </c>
      <c r="F147" s="200">
        <v>0</v>
      </c>
      <c r="G147" s="200">
        <v>527000000</v>
      </c>
      <c r="H147" s="200">
        <f t="shared" si="2"/>
        <v>0</v>
      </c>
      <c r="I147" s="201">
        <v>7.4</v>
      </c>
      <c r="J147" s="202" t="s">
        <v>61</v>
      </c>
    </row>
    <row r="148" spans="1:10" ht="14.25" customHeight="1">
      <c r="A148" s="203"/>
      <c r="B148" s="204" t="s">
        <v>259</v>
      </c>
      <c r="C148" s="205" t="s">
        <v>185</v>
      </c>
      <c r="D148" s="206" t="s">
        <v>480</v>
      </c>
      <c r="E148" s="200">
        <v>2101596178</v>
      </c>
      <c r="F148" s="200">
        <v>0</v>
      </c>
      <c r="G148" s="200">
        <v>2101596178</v>
      </c>
      <c r="H148" s="200">
        <f t="shared" si="2"/>
        <v>0</v>
      </c>
      <c r="I148" s="201">
        <v>7.3</v>
      </c>
      <c r="J148" s="202" t="s">
        <v>469</v>
      </c>
    </row>
    <row r="149" spans="1:10" ht="14.25" customHeight="1">
      <c r="A149" s="203"/>
      <c r="B149" s="301">
        <v>54</v>
      </c>
      <c r="C149" s="205" t="s">
        <v>163</v>
      </c>
      <c r="D149" s="206" t="s">
        <v>321</v>
      </c>
      <c r="E149" s="200">
        <v>1020295184</v>
      </c>
      <c r="F149" s="200">
        <v>0</v>
      </c>
      <c r="G149" s="200">
        <v>1020295184</v>
      </c>
      <c r="H149" s="200">
        <f t="shared" si="2"/>
        <v>0</v>
      </c>
      <c r="I149" s="201">
        <v>8</v>
      </c>
      <c r="J149" s="202" t="s">
        <v>638</v>
      </c>
    </row>
    <row r="150" spans="1:10" ht="14.25" customHeight="1">
      <c r="A150" s="203"/>
      <c r="B150" s="301">
        <v>55</v>
      </c>
      <c r="C150" s="205" t="s">
        <v>163</v>
      </c>
      <c r="D150" s="206" t="s">
        <v>639</v>
      </c>
      <c r="E150" s="200">
        <v>1862704002</v>
      </c>
      <c r="F150" s="200">
        <v>0</v>
      </c>
      <c r="G150" s="200">
        <v>1862704002</v>
      </c>
      <c r="H150" s="200">
        <f t="shared" si="2"/>
        <v>0</v>
      </c>
      <c r="I150" s="201">
        <v>7.5</v>
      </c>
      <c r="J150" s="202" t="s">
        <v>638</v>
      </c>
    </row>
    <row r="151" spans="1:10" ht="14.25" customHeight="1">
      <c r="A151" s="215"/>
      <c r="B151" s="204">
        <v>56</v>
      </c>
      <c r="C151" s="205" t="s">
        <v>163</v>
      </c>
      <c r="D151" s="204" t="s">
        <v>639</v>
      </c>
      <c r="E151" s="200">
        <v>1944403822</v>
      </c>
      <c r="F151" s="200">
        <v>0</v>
      </c>
      <c r="G151" s="200">
        <v>1944403822</v>
      </c>
      <c r="H151" s="200">
        <f t="shared" si="2"/>
        <v>0</v>
      </c>
      <c r="I151" s="201">
        <v>7.3</v>
      </c>
      <c r="J151" s="202" t="s">
        <v>638</v>
      </c>
    </row>
    <row r="152" spans="1:10" ht="14.25" customHeight="1">
      <c r="A152" s="203"/>
      <c r="B152" s="302" t="s">
        <v>147</v>
      </c>
      <c r="C152" s="205" t="s">
        <v>189</v>
      </c>
      <c r="D152" s="204" t="s">
        <v>640</v>
      </c>
      <c r="E152" s="200">
        <v>215000000</v>
      </c>
      <c r="F152" s="200">
        <v>0</v>
      </c>
      <c r="G152" s="200">
        <v>215000000</v>
      </c>
      <c r="H152" s="200">
        <f t="shared" si="2"/>
        <v>0</v>
      </c>
      <c r="I152" s="201">
        <v>2.0499999999999998</v>
      </c>
      <c r="J152" s="202" t="s">
        <v>60</v>
      </c>
    </row>
    <row r="153" spans="1:10" ht="14.25" customHeight="1">
      <c r="A153" s="203"/>
      <c r="B153" s="206">
        <v>17</v>
      </c>
      <c r="C153" s="205" t="s">
        <v>189</v>
      </c>
      <c r="D153" s="204" t="s">
        <v>640</v>
      </c>
      <c r="E153" s="200">
        <v>634000000</v>
      </c>
      <c r="F153" s="200">
        <v>0</v>
      </c>
      <c r="G153" s="200">
        <v>634000000</v>
      </c>
      <c r="H153" s="200">
        <f t="shared" si="2"/>
        <v>0</v>
      </c>
      <c r="I153" s="201">
        <v>2.0499999999999998</v>
      </c>
      <c r="J153" s="202" t="s">
        <v>60</v>
      </c>
    </row>
    <row r="154" spans="1:10" ht="14.25" customHeight="1">
      <c r="A154" s="203"/>
      <c r="B154" s="206">
        <v>17</v>
      </c>
      <c r="C154" s="205" t="s">
        <v>189</v>
      </c>
      <c r="D154" s="204" t="s">
        <v>640</v>
      </c>
      <c r="E154" s="200">
        <v>596000000</v>
      </c>
      <c r="F154" s="200">
        <v>0</v>
      </c>
      <c r="G154" s="200">
        <v>596000000</v>
      </c>
      <c r="H154" s="200">
        <f t="shared" si="2"/>
        <v>0</v>
      </c>
      <c r="I154" s="201">
        <v>2.0499999999999998</v>
      </c>
      <c r="J154" s="202" t="s">
        <v>60</v>
      </c>
    </row>
    <row r="155" spans="1:10" ht="14.25" customHeight="1">
      <c r="A155" s="203"/>
      <c r="B155" s="206">
        <v>17</v>
      </c>
      <c r="C155" s="205" t="s">
        <v>189</v>
      </c>
      <c r="D155" s="204" t="s">
        <v>640</v>
      </c>
      <c r="E155" s="200">
        <v>981000000</v>
      </c>
      <c r="F155" s="200">
        <v>0</v>
      </c>
      <c r="G155" s="200">
        <v>981000000</v>
      </c>
      <c r="H155" s="200">
        <f t="shared" si="2"/>
        <v>0</v>
      </c>
      <c r="I155" s="201">
        <v>2.0499999999999998</v>
      </c>
      <c r="J155" s="202" t="s">
        <v>61</v>
      </c>
    </row>
    <row r="156" spans="1:10" ht="14.25" customHeight="1">
      <c r="A156" s="203"/>
      <c r="B156" s="206">
        <v>18</v>
      </c>
      <c r="C156" s="205" t="s">
        <v>189</v>
      </c>
      <c r="D156" s="204" t="s">
        <v>64</v>
      </c>
      <c r="E156" s="200">
        <v>26300000</v>
      </c>
      <c r="F156" s="200">
        <v>0</v>
      </c>
      <c r="G156" s="200">
        <v>26300000</v>
      </c>
      <c r="H156" s="200">
        <f t="shared" si="2"/>
        <v>0</v>
      </c>
      <c r="I156" s="201">
        <v>2.5499999999999998</v>
      </c>
      <c r="J156" s="202" t="s">
        <v>642</v>
      </c>
    </row>
    <row r="157" spans="1:10" ht="14.25" customHeight="1">
      <c r="A157" s="203"/>
      <c r="B157" s="206">
        <v>18</v>
      </c>
      <c r="C157" s="205" t="s">
        <v>189</v>
      </c>
      <c r="D157" s="204" t="s">
        <v>64</v>
      </c>
      <c r="E157" s="200">
        <v>201100000</v>
      </c>
      <c r="F157" s="200">
        <v>0</v>
      </c>
      <c r="G157" s="200">
        <v>201100000</v>
      </c>
      <c r="H157" s="200">
        <f t="shared" si="2"/>
        <v>0</v>
      </c>
      <c r="I157" s="201">
        <v>2.5499999999999998</v>
      </c>
      <c r="J157" s="202" t="s">
        <v>642</v>
      </c>
    </row>
    <row r="158" spans="1:10" ht="14.25" customHeight="1">
      <c r="A158" s="203"/>
      <c r="B158" s="206">
        <v>18</v>
      </c>
      <c r="C158" s="205" t="s">
        <v>189</v>
      </c>
      <c r="D158" s="204" t="s">
        <v>351</v>
      </c>
      <c r="E158" s="200">
        <v>209100000</v>
      </c>
      <c r="F158" s="200">
        <v>0</v>
      </c>
      <c r="G158" s="200">
        <v>209100000</v>
      </c>
      <c r="H158" s="200">
        <f t="shared" si="2"/>
        <v>0</v>
      </c>
      <c r="I158" s="201">
        <v>2.5499999999999998</v>
      </c>
      <c r="J158" s="202" t="s">
        <v>256</v>
      </c>
    </row>
    <row r="159" spans="1:10" ht="14.25" customHeight="1">
      <c r="A159" s="203"/>
      <c r="B159" s="206">
        <v>19</v>
      </c>
      <c r="C159" s="205" t="s">
        <v>495</v>
      </c>
      <c r="D159" s="204" t="s">
        <v>67</v>
      </c>
      <c r="E159" s="200">
        <v>544100000</v>
      </c>
      <c r="F159" s="200">
        <v>0</v>
      </c>
      <c r="G159" s="200">
        <v>544100000</v>
      </c>
      <c r="H159" s="200">
        <f t="shared" si="2"/>
        <v>0</v>
      </c>
      <c r="I159" s="201">
        <v>2.4</v>
      </c>
      <c r="J159" s="202" t="s">
        <v>65</v>
      </c>
    </row>
    <row r="160" spans="1:10" ht="14.25" customHeight="1">
      <c r="A160" s="203"/>
      <c r="B160" s="206">
        <v>19</v>
      </c>
      <c r="C160" s="205" t="s">
        <v>495</v>
      </c>
      <c r="D160" s="204" t="s">
        <v>67</v>
      </c>
      <c r="E160" s="200">
        <v>92100000</v>
      </c>
      <c r="F160" s="200">
        <v>0</v>
      </c>
      <c r="G160" s="200">
        <v>92100000</v>
      </c>
      <c r="H160" s="200">
        <f t="shared" si="2"/>
        <v>0</v>
      </c>
      <c r="I160" s="201">
        <v>2.4</v>
      </c>
      <c r="J160" s="202" t="s">
        <v>69</v>
      </c>
    </row>
    <row r="161" spans="1:10" ht="17.25" customHeight="1">
      <c r="A161" s="219" t="s">
        <v>376</v>
      </c>
      <c r="B161" s="220"/>
      <c r="C161" s="221"/>
      <c r="D161" s="222"/>
      <c r="E161" s="245">
        <f>SUM(E79:E111,E116:E160)</f>
        <v>124568706889</v>
      </c>
      <c r="F161" s="245">
        <f>SUM(F79:F111,F116:F160)</f>
        <v>0</v>
      </c>
      <c r="G161" s="245">
        <f>SUM(G79:G111,G116:G160)</f>
        <v>124568706889</v>
      </c>
      <c r="H161" s="245">
        <f>SUM(H79:H111,H116:H160)</f>
        <v>0</v>
      </c>
      <c r="I161" s="223"/>
      <c r="J161" s="224"/>
    </row>
    <row r="162" spans="1:10" ht="14.25" customHeight="1">
      <c r="A162" s="215" t="s">
        <v>481</v>
      </c>
      <c r="B162" s="206" t="s">
        <v>643</v>
      </c>
      <c r="C162" s="263" t="s">
        <v>184</v>
      </c>
      <c r="D162" s="206" t="s">
        <v>644</v>
      </c>
      <c r="E162" s="200">
        <v>60000000</v>
      </c>
      <c r="F162" s="200">
        <v>0</v>
      </c>
      <c r="G162" s="200">
        <v>60000000</v>
      </c>
      <c r="H162" s="200">
        <f t="shared" si="2"/>
        <v>0</v>
      </c>
      <c r="I162" s="201">
        <v>7.1</v>
      </c>
      <c r="J162" s="202" t="s">
        <v>209</v>
      </c>
    </row>
    <row r="163" spans="1:10" ht="14.25" customHeight="1">
      <c r="A163" s="203" t="s">
        <v>482</v>
      </c>
      <c r="B163" s="204">
        <v>45</v>
      </c>
      <c r="C163" s="205" t="s">
        <v>185</v>
      </c>
      <c r="D163" s="206" t="s">
        <v>645</v>
      </c>
      <c r="E163" s="200">
        <v>340000000</v>
      </c>
      <c r="F163" s="200">
        <v>0</v>
      </c>
      <c r="G163" s="200">
        <v>340000000</v>
      </c>
      <c r="H163" s="200">
        <f t="shared" si="2"/>
        <v>0</v>
      </c>
      <c r="I163" s="201">
        <v>6.5</v>
      </c>
      <c r="J163" s="202" t="s">
        <v>235</v>
      </c>
    </row>
    <row r="164" spans="1:10" ht="14.25" customHeight="1">
      <c r="A164" s="203"/>
      <c r="B164" s="204">
        <v>46</v>
      </c>
      <c r="C164" s="205" t="s">
        <v>189</v>
      </c>
      <c r="D164" s="206" t="s">
        <v>416</v>
      </c>
      <c r="E164" s="200">
        <v>100000000</v>
      </c>
      <c r="F164" s="200">
        <v>0</v>
      </c>
      <c r="G164" s="200">
        <v>100000000</v>
      </c>
      <c r="H164" s="200">
        <f t="shared" si="2"/>
        <v>0</v>
      </c>
      <c r="I164" s="201">
        <v>6.7</v>
      </c>
      <c r="J164" s="202" t="s">
        <v>237</v>
      </c>
    </row>
    <row r="165" spans="1:10" ht="14.25" customHeight="1">
      <c r="A165" s="203"/>
      <c r="B165" s="204">
        <v>46</v>
      </c>
      <c r="C165" s="205" t="s">
        <v>189</v>
      </c>
      <c r="D165" s="206" t="s">
        <v>732</v>
      </c>
      <c r="E165" s="200">
        <v>107000000</v>
      </c>
      <c r="F165" s="200">
        <v>0</v>
      </c>
      <c r="G165" s="200">
        <v>107000000</v>
      </c>
      <c r="H165" s="200">
        <f t="shared" si="2"/>
        <v>0</v>
      </c>
      <c r="I165" s="201">
        <v>6.7</v>
      </c>
      <c r="J165" s="202" t="s">
        <v>237</v>
      </c>
    </row>
    <row r="166" spans="1:10" ht="14.25" customHeight="1">
      <c r="A166" s="203"/>
      <c r="B166" s="204">
        <v>46</v>
      </c>
      <c r="C166" s="205" t="s">
        <v>185</v>
      </c>
      <c r="D166" s="206" t="s">
        <v>331</v>
      </c>
      <c r="E166" s="200">
        <v>238000000</v>
      </c>
      <c r="F166" s="200">
        <v>0</v>
      </c>
      <c r="G166" s="200">
        <v>238000000</v>
      </c>
      <c r="H166" s="200">
        <f t="shared" si="2"/>
        <v>0</v>
      </c>
      <c r="I166" s="201">
        <v>6.5</v>
      </c>
      <c r="J166" s="202" t="s">
        <v>239</v>
      </c>
    </row>
    <row r="167" spans="1:10" ht="14.25" customHeight="1">
      <c r="A167" s="203"/>
      <c r="B167" s="204">
        <v>46</v>
      </c>
      <c r="C167" s="205" t="s">
        <v>180</v>
      </c>
      <c r="D167" s="206" t="s">
        <v>331</v>
      </c>
      <c r="E167" s="200">
        <v>250000000</v>
      </c>
      <c r="F167" s="200">
        <v>0</v>
      </c>
      <c r="G167" s="200">
        <v>250000000</v>
      </c>
      <c r="H167" s="200">
        <f t="shared" si="2"/>
        <v>0</v>
      </c>
      <c r="I167" s="201">
        <v>6.8</v>
      </c>
      <c r="J167" s="202" t="s">
        <v>212</v>
      </c>
    </row>
    <row r="168" spans="1:10" ht="14.25" customHeight="1">
      <c r="A168" s="203"/>
      <c r="B168" s="204">
        <v>47</v>
      </c>
      <c r="C168" s="205" t="s">
        <v>189</v>
      </c>
      <c r="D168" s="206" t="s">
        <v>332</v>
      </c>
      <c r="E168" s="200">
        <v>280000000</v>
      </c>
      <c r="F168" s="200">
        <v>0</v>
      </c>
      <c r="G168" s="200">
        <v>280000000</v>
      </c>
      <c r="H168" s="200">
        <f t="shared" si="2"/>
        <v>0</v>
      </c>
      <c r="I168" s="201">
        <v>6.4</v>
      </c>
      <c r="J168" s="202" t="s">
        <v>219</v>
      </c>
    </row>
    <row r="169" spans="1:10" ht="14.25" customHeight="1" thickBot="1">
      <c r="A169" s="269"/>
      <c r="B169" s="285">
        <v>47</v>
      </c>
      <c r="C169" s="286" t="s">
        <v>180</v>
      </c>
      <c r="D169" s="287" t="s">
        <v>333</v>
      </c>
      <c r="E169" s="268">
        <v>340000000</v>
      </c>
      <c r="F169" s="268">
        <v>0</v>
      </c>
      <c r="G169" s="268">
        <v>340000000</v>
      </c>
      <c r="H169" s="200">
        <f t="shared" si="2"/>
        <v>0</v>
      </c>
      <c r="I169" s="288">
        <v>7</v>
      </c>
      <c r="J169" s="298" t="s">
        <v>188</v>
      </c>
    </row>
    <row r="170" spans="1:10" ht="9.75" customHeight="1" thickBot="1">
      <c r="A170" s="257"/>
      <c r="B170" s="272"/>
      <c r="C170" s="257"/>
      <c r="D170" s="258"/>
      <c r="E170" s="259"/>
      <c r="F170" s="259"/>
      <c r="G170" s="259"/>
      <c r="H170" s="259"/>
      <c r="I170" s="260"/>
      <c r="J170" s="270"/>
    </row>
    <row r="171" spans="1:10">
      <c r="A171" s="479" t="s">
        <v>26</v>
      </c>
      <c r="B171" s="481" t="s">
        <v>311</v>
      </c>
      <c r="C171" s="483" t="s">
        <v>27</v>
      </c>
      <c r="D171" s="481" t="s">
        <v>312</v>
      </c>
      <c r="E171" s="485" t="s">
        <v>28</v>
      </c>
      <c r="F171" s="487" t="s">
        <v>29</v>
      </c>
      <c r="G171" s="493"/>
      <c r="H171" s="489" t="s">
        <v>174</v>
      </c>
      <c r="I171" s="491" t="s">
        <v>30</v>
      </c>
      <c r="J171" s="477" t="s">
        <v>313</v>
      </c>
    </row>
    <row r="172" spans="1:10">
      <c r="A172" s="480"/>
      <c r="B172" s="482"/>
      <c r="C172" s="484"/>
      <c r="D172" s="482"/>
      <c r="E172" s="486"/>
      <c r="F172" s="207" t="s">
        <v>176</v>
      </c>
      <c r="G172" s="207" t="s">
        <v>305</v>
      </c>
      <c r="H172" s="490"/>
      <c r="I172" s="492"/>
      <c r="J172" s="478"/>
    </row>
    <row r="173" spans="1:10">
      <c r="A173" s="209"/>
      <c r="B173" s="210"/>
      <c r="C173" s="210"/>
      <c r="D173" s="211" t="s">
        <v>177</v>
      </c>
      <c r="E173" s="212" t="s">
        <v>178</v>
      </c>
      <c r="F173" s="212" t="s">
        <v>172</v>
      </c>
      <c r="G173" s="212" t="s">
        <v>178</v>
      </c>
      <c r="H173" s="212" t="s">
        <v>178</v>
      </c>
      <c r="I173" s="213" t="s">
        <v>31</v>
      </c>
      <c r="J173" s="214" t="s">
        <v>175</v>
      </c>
    </row>
    <row r="174" spans="1:10" ht="14.25" customHeight="1">
      <c r="A174" s="215" t="s">
        <v>481</v>
      </c>
      <c r="B174" s="204" t="s">
        <v>340</v>
      </c>
      <c r="C174" s="205" t="s">
        <v>185</v>
      </c>
      <c r="D174" s="206" t="s">
        <v>692</v>
      </c>
      <c r="E174" s="200">
        <v>500000000</v>
      </c>
      <c r="F174" s="200">
        <v>0</v>
      </c>
      <c r="G174" s="200">
        <v>500000000</v>
      </c>
      <c r="H174" s="200">
        <f t="shared" ref="H174:H226" si="3">E174-G174</f>
        <v>0</v>
      </c>
      <c r="I174" s="201">
        <v>6.75</v>
      </c>
      <c r="J174" s="202" t="s">
        <v>242</v>
      </c>
    </row>
    <row r="175" spans="1:10" ht="14.25" customHeight="1">
      <c r="A175" s="203" t="s">
        <v>482</v>
      </c>
      <c r="B175" s="204">
        <v>48</v>
      </c>
      <c r="C175" s="205" t="s">
        <v>189</v>
      </c>
      <c r="D175" s="206" t="s">
        <v>483</v>
      </c>
      <c r="E175" s="200">
        <v>300000000</v>
      </c>
      <c r="F175" s="200">
        <v>0</v>
      </c>
      <c r="G175" s="200">
        <v>300000000</v>
      </c>
      <c r="H175" s="200">
        <f t="shared" si="3"/>
        <v>0</v>
      </c>
      <c r="I175" s="201">
        <v>7.7</v>
      </c>
      <c r="J175" s="202" t="s">
        <v>228</v>
      </c>
    </row>
    <row r="176" spans="1:10" ht="14.25" customHeight="1">
      <c r="A176" s="203"/>
      <c r="B176" s="204">
        <v>48</v>
      </c>
      <c r="C176" s="205" t="s">
        <v>189</v>
      </c>
      <c r="D176" s="206" t="s">
        <v>430</v>
      </c>
      <c r="E176" s="200">
        <v>140000000</v>
      </c>
      <c r="F176" s="200">
        <v>0</v>
      </c>
      <c r="G176" s="200">
        <v>140000000</v>
      </c>
      <c r="H176" s="200">
        <f t="shared" si="3"/>
        <v>0</v>
      </c>
      <c r="I176" s="201">
        <v>7.7</v>
      </c>
      <c r="J176" s="202" t="s">
        <v>228</v>
      </c>
    </row>
    <row r="177" spans="1:10" ht="14.25" customHeight="1">
      <c r="A177" s="203"/>
      <c r="B177" s="204">
        <v>48</v>
      </c>
      <c r="C177" s="263" t="s">
        <v>180</v>
      </c>
      <c r="D177" s="206" t="s">
        <v>484</v>
      </c>
      <c r="E177" s="200">
        <v>379000000</v>
      </c>
      <c r="F177" s="200">
        <v>0</v>
      </c>
      <c r="G177" s="200">
        <v>379000000</v>
      </c>
      <c r="H177" s="200">
        <f t="shared" si="3"/>
        <v>0</v>
      </c>
      <c r="I177" s="201">
        <v>8.5</v>
      </c>
      <c r="J177" s="202" t="s">
        <v>194</v>
      </c>
    </row>
    <row r="178" spans="1:10" ht="14.25" customHeight="1">
      <c r="A178" s="203"/>
      <c r="B178" s="204">
        <v>48</v>
      </c>
      <c r="C178" s="205" t="s">
        <v>185</v>
      </c>
      <c r="D178" s="206" t="s">
        <v>433</v>
      </c>
      <c r="E178" s="200">
        <v>981000000</v>
      </c>
      <c r="F178" s="200">
        <v>0</v>
      </c>
      <c r="G178" s="200">
        <v>981000000</v>
      </c>
      <c r="H178" s="200">
        <f t="shared" si="3"/>
        <v>0</v>
      </c>
      <c r="I178" s="201">
        <v>8</v>
      </c>
      <c r="J178" s="202" t="s">
        <v>244</v>
      </c>
    </row>
    <row r="179" spans="1:10" ht="14.25" customHeight="1">
      <c r="A179" s="203"/>
      <c r="B179" s="204">
        <v>49</v>
      </c>
      <c r="C179" s="205" t="s">
        <v>189</v>
      </c>
      <c r="D179" s="206" t="s">
        <v>436</v>
      </c>
      <c r="E179" s="200">
        <v>150000000</v>
      </c>
      <c r="F179" s="200">
        <v>0</v>
      </c>
      <c r="G179" s="200">
        <v>150000000</v>
      </c>
      <c r="H179" s="200">
        <f t="shared" si="3"/>
        <v>0</v>
      </c>
      <c r="I179" s="201">
        <v>8.1999999999999993</v>
      </c>
      <c r="J179" s="202" t="s">
        <v>242</v>
      </c>
    </row>
    <row r="180" spans="1:10" ht="14.25" customHeight="1">
      <c r="A180" s="203"/>
      <c r="B180" s="204">
        <v>49</v>
      </c>
      <c r="C180" s="263" t="s">
        <v>180</v>
      </c>
      <c r="D180" s="206" t="s">
        <v>485</v>
      </c>
      <c r="E180" s="200">
        <v>150000000</v>
      </c>
      <c r="F180" s="200">
        <v>0</v>
      </c>
      <c r="G180" s="200">
        <v>150000000</v>
      </c>
      <c r="H180" s="200">
        <f t="shared" si="3"/>
        <v>0</v>
      </c>
      <c r="I180" s="201">
        <v>9.1</v>
      </c>
      <c r="J180" s="202" t="s">
        <v>198</v>
      </c>
    </row>
    <row r="181" spans="1:10" ht="14.25" customHeight="1">
      <c r="A181" s="203"/>
      <c r="B181" s="204">
        <v>49</v>
      </c>
      <c r="C181" s="205" t="s">
        <v>185</v>
      </c>
      <c r="D181" s="206" t="s">
        <v>486</v>
      </c>
      <c r="E181" s="200">
        <v>700000000</v>
      </c>
      <c r="F181" s="200">
        <v>0</v>
      </c>
      <c r="G181" s="200">
        <v>700000000</v>
      </c>
      <c r="H181" s="200">
        <f t="shared" si="3"/>
        <v>0</v>
      </c>
      <c r="I181" s="201">
        <v>8</v>
      </c>
      <c r="J181" s="202" t="s">
        <v>244</v>
      </c>
    </row>
    <row r="182" spans="1:10" ht="14.25" customHeight="1">
      <c r="A182" s="203"/>
      <c r="B182" s="204">
        <v>50</v>
      </c>
      <c r="C182" s="205" t="s">
        <v>189</v>
      </c>
      <c r="D182" s="206" t="s">
        <v>487</v>
      </c>
      <c r="E182" s="200">
        <v>300000000</v>
      </c>
      <c r="F182" s="200">
        <v>0</v>
      </c>
      <c r="G182" s="200">
        <v>300000000</v>
      </c>
      <c r="H182" s="200">
        <f t="shared" si="3"/>
        <v>0</v>
      </c>
      <c r="I182" s="201">
        <v>7.7</v>
      </c>
      <c r="J182" s="202" t="s">
        <v>246</v>
      </c>
    </row>
    <row r="183" spans="1:10" ht="14.25" customHeight="1">
      <c r="A183" s="203"/>
      <c r="B183" s="204">
        <v>50</v>
      </c>
      <c r="C183" s="205" t="s">
        <v>185</v>
      </c>
      <c r="D183" s="206" t="s">
        <v>488</v>
      </c>
      <c r="E183" s="200">
        <v>700000000</v>
      </c>
      <c r="F183" s="200">
        <v>0</v>
      </c>
      <c r="G183" s="200">
        <v>700000000</v>
      </c>
      <c r="H183" s="200">
        <f t="shared" si="3"/>
        <v>0</v>
      </c>
      <c r="I183" s="201">
        <v>7.5</v>
      </c>
      <c r="J183" s="202" t="s">
        <v>249</v>
      </c>
    </row>
    <row r="184" spans="1:10" ht="14.25" customHeight="1">
      <c r="A184" s="203"/>
      <c r="B184" s="204">
        <v>51</v>
      </c>
      <c r="C184" s="205" t="s">
        <v>189</v>
      </c>
      <c r="D184" s="206" t="s">
        <v>446</v>
      </c>
      <c r="E184" s="200">
        <v>400000000</v>
      </c>
      <c r="F184" s="200">
        <v>0</v>
      </c>
      <c r="G184" s="200">
        <v>400000000</v>
      </c>
      <c r="H184" s="200">
        <f t="shared" si="3"/>
        <v>0</v>
      </c>
      <c r="I184" s="201">
        <v>6.95</v>
      </c>
      <c r="J184" s="202" t="s">
        <v>244</v>
      </c>
    </row>
    <row r="185" spans="1:10" ht="14.25" customHeight="1">
      <c r="A185" s="203"/>
      <c r="B185" s="204">
        <v>51</v>
      </c>
      <c r="C185" s="205" t="s">
        <v>189</v>
      </c>
      <c r="D185" s="206" t="s">
        <v>489</v>
      </c>
      <c r="E185" s="200">
        <v>440000000</v>
      </c>
      <c r="F185" s="200">
        <v>0</v>
      </c>
      <c r="G185" s="200">
        <v>440000000</v>
      </c>
      <c r="H185" s="200">
        <f t="shared" si="3"/>
        <v>0</v>
      </c>
      <c r="I185" s="201">
        <v>6.7</v>
      </c>
      <c r="J185" s="202" t="s">
        <v>247</v>
      </c>
    </row>
    <row r="186" spans="1:10" ht="14.25" customHeight="1">
      <c r="A186" s="203"/>
      <c r="B186" s="204">
        <v>52</v>
      </c>
      <c r="C186" s="205" t="s">
        <v>189</v>
      </c>
      <c r="D186" s="206" t="s">
        <v>458</v>
      </c>
      <c r="E186" s="200">
        <v>400000000</v>
      </c>
      <c r="F186" s="200">
        <v>0</v>
      </c>
      <c r="G186" s="200">
        <v>400000000</v>
      </c>
      <c r="H186" s="200">
        <f t="shared" si="3"/>
        <v>0</v>
      </c>
      <c r="I186" s="201">
        <v>6.25</v>
      </c>
      <c r="J186" s="202" t="s">
        <v>249</v>
      </c>
    </row>
    <row r="187" spans="1:10" ht="14.25" customHeight="1">
      <c r="A187" s="203"/>
      <c r="B187" s="204">
        <v>53</v>
      </c>
      <c r="C187" s="205" t="s">
        <v>189</v>
      </c>
      <c r="D187" s="206" t="s">
        <v>490</v>
      </c>
      <c r="E187" s="200">
        <v>209000000</v>
      </c>
      <c r="F187" s="200">
        <v>0</v>
      </c>
      <c r="G187" s="200">
        <v>209000000</v>
      </c>
      <c r="H187" s="200">
        <f t="shared" si="3"/>
        <v>0</v>
      </c>
      <c r="I187" s="201">
        <v>7.25</v>
      </c>
      <c r="J187" s="202" t="s">
        <v>251</v>
      </c>
    </row>
    <row r="188" spans="1:10" ht="14.25" customHeight="1">
      <c r="A188" s="203"/>
      <c r="B188" s="204">
        <v>54</v>
      </c>
      <c r="C188" s="205" t="s">
        <v>189</v>
      </c>
      <c r="D188" s="206" t="s">
        <v>463</v>
      </c>
      <c r="E188" s="200">
        <v>44000000</v>
      </c>
      <c r="F188" s="200">
        <v>0</v>
      </c>
      <c r="G188" s="200">
        <v>44000000</v>
      </c>
      <c r="H188" s="200">
        <f t="shared" si="3"/>
        <v>0</v>
      </c>
      <c r="I188" s="201">
        <v>7.25</v>
      </c>
      <c r="J188" s="202" t="s">
        <v>251</v>
      </c>
    </row>
    <row r="189" spans="1:10" ht="14.25" customHeight="1">
      <c r="A189" s="203"/>
      <c r="B189" s="204">
        <v>54</v>
      </c>
      <c r="C189" s="205" t="s">
        <v>189</v>
      </c>
      <c r="D189" s="206" t="s">
        <v>464</v>
      </c>
      <c r="E189" s="200">
        <v>40000000</v>
      </c>
      <c r="F189" s="200">
        <v>0</v>
      </c>
      <c r="G189" s="200">
        <v>40000000</v>
      </c>
      <c r="H189" s="200">
        <f t="shared" si="3"/>
        <v>0</v>
      </c>
      <c r="I189" s="201">
        <v>8.6</v>
      </c>
      <c r="J189" s="202" t="s">
        <v>465</v>
      </c>
    </row>
    <row r="190" spans="1:10" ht="14.25" customHeight="1">
      <c r="A190" s="203"/>
      <c r="B190" s="204">
        <v>55</v>
      </c>
      <c r="C190" s="205" t="s">
        <v>189</v>
      </c>
      <c r="D190" s="206" t="s">
        <v>491</v>
      </c>
      <c r="E190" s="200">
        <v>30000000</v>
      </c>
      <c r="F190" s="200">
        <v>0</v>
      </c>
      <c r="G190" s="200">
        <v>30000000</v>
      </c>
      <c r="H190" s="200">
        <f t="shared" si="3"/>
        <v>0</v>
      </c>
      <c r="I190" s="201">
        <v>8.1</v>
      </c>
      <c r="J190" s="202" t="s">
        <v>465</v>
      </c>
    </row>
    <row r="191" spans="1:10" ht="14.25" customHeight="1">
      <c r="A191" s="203"/>
      <c r="B191" s="204">
        <v>55</v>
      </c>
      <c r="C191" s="205" t="s">
        <v>189</v>
      </c>
      <c r="D191" s="206" t="s">
        <v>475</v>
      </c>
      <c r="E191" s="200">
        <v>20000000</v>
      </c>
      <c r="F191" s="200">
        <v>0</v>
      </c>
      <c r="G191" s="200">
        <v>20000000</v>
      </c>
      <c r="H191" s="200">
        <f t="shared" si="3"/>
        <v>0</v>
      </c>
      <c r="I191" s="201">
        <v>7.4</v>
      </c>
      <c r="J191" s="202" t="s">
        <v>60</v>
      </c>
    </row>
    <row r="192" spans="1:10" ht="14.25" customHeight="1">
      <c r="A192" s="203"/>
      <c r="B192" s="206" t="s">
        <v>147</v>
      </c>
      <c r="C192" s="205" t="s">
        <v>189</v>
      </c>
      <c r="D192" s="206" t="s">
        <v>148</v>
      </c>
      <c r="E192" s="200">
        <v>8000000</v>
      </c>
      <c r="F192" s="200">
        <v>0</v>
      </c>
      <c r="G192" s="200">
        <v>8000000</v>
      </c>
      <c r="H192" s="200">
        <f t="shared" si="3"/>
        <v>0</v>
      </c>
      <c r="I192" s="201">
        <v>2.0499999999999998</v>
      </c>
      <c r="J192" s="202" t="s">
        <v>60</v>
      </c>
    </row>
    <row r="193" spans="1:10" ht="14.25" customHeight="1">
      <c r="A193" s="203"/>
      <c r="B193" s="206">
        <v>17</v>
      </c>
      <c r="C193" s="205" t="s">
        <v>189</v>
      </c>
      <c r="D193" s="206" t="s">
        <v>349</v>
      </c>
      <c r="E193" s="200">
        <v>8000000</v>
      </c>
      <c r="F193" s="200">
        <v>0</v>
      </c>
      <c r="G193" s="200">
        <v>8000000</v>
      </c>
      <c r="H193" s="200">
        <f t="shared" si="3"/>
        <v>0</v>
      </c>
      <c r="I193" s="201">
        <v>2.0499999999999998</v>
      </c>
      <c r="J193" s="202" t="s">
        <v>260</v>
      </c>
    </row>
    <row r="194" spans="1:10" ht="14.25" customHeight="1">
      <c r="A194" s="203"/>
      <c r="B194" s="206">
        <v>19</v>
      </c>
      <c r="C194" s="205" t="s">
        <v>495</v>
      </c>
      <c r="D194" s="204" t="s">
        <v>67</v>
      </c>
      <c r="E194" s="200">
        <v>2900000</v>
      </c>
      <c r="F194" s="200">
        <v>0</v>
      </c>
      <c r="G194" s="200">
        <v>2900000</v>
      </c>
      <c r="H194" s="200">
        <f t="shared" si="3"/>
        <v>0</v>
      </c>
      <c r="I194" s="201">
        <v>2.4</v>
      </c>
      <c r="J194" s="202" t="s">
        <v>65</v>
      </c>
    </row>
    <row r="195" spans="1:10" ht="17.25" customHeight="1">
      <c r="A195" s="219" t="s">
        <v>376</v>
      </c>
      <c r="B195" s="220" t="s">
        <v>173</v>
      </c>
      <c r="C195" s="221" t="s">
        <v>173</v>
      </c>
      <c r="D195" s="222" t="s">
        <v>173</v>
      </c>
      <c r="E195" s="245">
        <f>SUM(E162:E169,E174:E194)</f>
        <v>7616900000</v>
      </c>
      <c r="F195" s="245">
        <f>SUM(F162:F169,F174:F194)</f>
        <v>0</v>
      </c>
      <c r="G195" s="245">
        <f>SUM(G162:G169,G174:G194)</f>
        <v>7616900000</v>
      </c>
      <c r="H195" s="245">
        <f>SUM(H162:H169,H174:H194)</f>
        <v>0</v>
      </c>
      <c r="I195" s="223"/>
      <c r="J195" s="224" t="s">
        <v>173</v>
      </c>
    </row>
    <row r="196" spans="1:10" ht="14.25" customHeight="1">
      <c r="A196" s="215" t="s">
        <v>497</v>
      </c>
      <c r="B196" s="206" t="s">
        <v>149</v>
      </c>
      <c r="C196" s="205" t="s">
        <v>189</v>
      </c>
      <c r="D196" s="206" t="s">
        <v>150</v>
      </c>
      <c r="E196" s="200">
        <v>1473000000</v>
      </c>
      <c r="F196" s="250">
        <v>0</v>
      </c>
      <c r="G196" s="200">
        <v>1473000000</v>
      </c>
      <c r="H196" s="200">
        <f t="shared" si="3"/>
        <v>0</v>
      </c>
      <c r="I196" s="201">
        <v>7.4</v>
      </c>
      <c r="J196" s="216" t="s">
        <v>260</v>
      </c>
    </row>
    <row r="197" spans="1:10" ht="14.25" customHeight="1">
      <c r="A197" s="203" t="s">
        <v>182</v>
      </c>
      <c r="B197" s="204">
        <v>57</v>
      </c>
      <c r="C197" s="205" t="s">
        <v>189</v>
      </c>
      <c r="D197" s="206" t="s">
        <v>500</v>
      </c>
      <c r="E197" s="200">
        <v>1848000000</v>
      </c>
      <c r="F197" s="200">
        <v>0</v>
      </c>
      <c r="G197" s="200">
        <v>1848000000</v>
      </c>
      <c r="H197" s="200">
        <f t="shared" si="3"/>
        <v>0</v>
      </c>
      <c r="I197" s="201">
        <v>7.4</v>
      </c>
      <c r="J197" s="216" t="s">
        <v>260</v>
      </c>
    </row>
    <row r="198" spans="1:10" ht="14.25" customHeight="1">
      <c r="A198" s="299"/>
      <c r="B198" s="204">
        <v>57</v>
      </c>
      <c r="C198" s="205" t="s">
        <v>185</v>
      </c>
      <c r="D198" s="206" t="s">
        <v>501</v>
      </c>
      <c r="E198" s="200">
        <v>2386413639</v>
      </c>
      <c r="F198" s="200">
        <v>0</v>
      </c>
      <c r="G198" s="200">
        <v>2386413639</v>
      </c>
      <c r="H198" s="200">
        <f t="shared" si="3"/>
        <v>0</v>
      </c>
      <c r="I198" s="201">
        <v>7.3</v>
      </c>
      <c r="J198" s="202" t="s">
        <v>469</v>
      </c>
    </row>
    <row r="199" spans="1:10" ht="14.25" customHeight="1">
      <c r="A199" s="203"/>
      <c r="B199" s="204">
        <v>58</v>
      </c>
      <c r="C199" s="205" t="s">
        <v>189</v>
      </c>
      <c r="D199" s="206" t="s">
        <v>502</v>
      </c>
      <c r="E199" s="200">
        <v>1485000000</v>
      </c>
      <c r="F199" s="200">
        <v>0</v>
      </c>
      <c r="G199" s="200">
        <v>1485000000</v>
      </c>
      <c r="H199" s="200">
        <f t="shared" si="3"/>
        <v>0</v>
      </c>
      <c r="I199" s="201">
        <v>7.2</v>
      </c>
      <c r="J199" s="202" t="s">
        <v>263</v>
      </c>
    </row>
    <row r="200" spans="1:10" ht="14.25" customHeight="1">
      <c r="A200" s="203"/>
      <c r="B200" s="204">
        <v>58</v>
      </c>
      <c r="C200" s="205" t="s">
        <v>189</v>
      </c>
      <c r="D200" s="206" t="s">
        <v>503</v>
      </c>
      <c r="E200" s="200">
        <v>1370000000</v>
      </c>
      <c r="F200" s="200">
        <v>0</v>
      </c>
      <c r="G200" s="200">
        <v>1370000000</v>
      </c>
      <c r="H200" s="200">
        <f t="shared" si="3"/>
        <v>0</v>
      </c>
      <c r="I200" s="201">
        <v>7.2</v>
      </c>
      <c r="J200" s="202" t="s">
        <v>66</v>
      </c>
    </row>
    <row r="201" spans="1:10" ht="14.25" customHeight="1">
      <c r="A201" s="203"/>
      <c r="B201" s="204">
        <v>58</v>
      </c>
      <c r="C201" s="205" t="s">
        <v>189</v>
      </c>
      <c r="D201" s="206" t="s">
        <v>0</v>
      </c>
      <c r="E201" s="200">
        <v>763000000</v>
      </c>
      <c r="F201" s="200">
        <v>0</v>
      </c>
      <c r="G201" s="200">
        <v>763000000</v>
      </c>
      <c r="H201" s="200">
        <f t="shared" si="3"/>
        <v>0</v>
      </c>
      <c r="I201" s="201">
        <v>7.2</v>
      </c>
      <c r="J201" s="202" t="s">
        <v>264</v>
      </c>
    </row>
    <row r="202" spans="1:10" ht="14.25" customHeight="1">
      <c r="A202" s="203"/>
      <c r="B202" s="204">
        <v>58</v>
      </c>
      <c r="C202" s="205" t="s">
        <v>185</v>
      </c>
      <c r="D202" s="206" t="s">
        <v>506</v>
      </c>
      <c r="E202" s="200">
        <v>301471</v>
      </c>
      <c r="F202" s="200">
        <v>0</v>
      </c>
      <c r="G202" s="200">
        <v>301471</v>
      </c>
      <c r="H202" s="200">
        <f t="shared" si="3"/>
        <v>0</v>
      </c>
      <c r="I202" s="201">
        <v>7.1</v>
      </c>
      <c r="J202" s="202" t="s">
        <v>210</v>
      </c>
    </row>
    <row r="203" spans="1:10" ht="14.25" customHeight="1">
      <c r="A203" s="203"/>
      <c r="B203" s="204">
        <v>59</v>
      </c>
      <c r="C203" s="205" t="s">
        <v>189</v>
      </c>
      <c r="D203" s="206" t="s">
        <v>1</v>
      </c>
      <c r="E203" s="200">
        <v>200000000</v>
      </c>
      <c r="F203" s="200">
        <v>0</v>
      </c>
      <c r="G203" s="200">
        <v>200000000</v>
      </c>
      <c r="H203" s="200">
        <f t="shared" si="3"/>
        <v>0</v>
      </c>
      <c r="I203" s="201">
        <v>7.2</v>
      </c>
      <c r="J203" s="202" t="s">
        <v>264</v>
      </c>
    </row>
    <row r="204" spans="1:10" ht="14.25" customHeight="1">
      <c r="A204" s="203"/>
      <c r="B204" s="204">
        <v>59</v>
      </c>
      <c r="C204" s="205" t="s">
        <v>266</v>
      </c>
      <c r="D204" s="206" t="s">
        <v>508</v>
      </c>
      <c r="E204" s="200">
        <v>1000000000</v>
      </c>
      <c r="F204" s="200">
        <v>0</v>
      </c>
      <c r="G204" s="200">
        <v>1000000000</v>
      </c>
      <c r="H204" s="200">
        <f t="shared" si="3"/>
        <v>0</v>
      </c>
      <c r="I204" s="201">
        <v>6.9</v>
      </c>
      <c r="J204" s="202" t="s">
        <v>237</v>
      </c>
    </row>
    <row r="205" spans="1:10" ht="14.25" customHeight="1">
      <c r="A205" s="203"/>
      <c r="B205" s="204">
        <v>59</v>
      </c>
      <c r="C205" s="205" t="s">
        <v>189</v>
      </c>
      <c r="D205" s="206" t="s">
        <v>509</v>
      </c>
      <c r="E205" s="200">
        <v>923000000</v>
      </c>
      <c r="F205" s="200">
        <v>0</v>
      </c>
      <c r="G205" s="200">
        <v>923000000</v>
      </c>
      <c r="H205" s="200">
        <f t="shared" si="3"/>
        <v>0</v>
      </c>
      <c r="I205" s="201">
        <v>7.2</v>
      </c>
      <c r="J205" s="202" t="s">
        <v>264</v>
      </c>
    </row>
    <row r="206" spans="1:10" ht="14.25" customHeight="1">
      <c r="A206" s="203"/>
      <c r="B206" s="204">
        <v>59</v>
      </c>
      <c r="C206" s="205" t="s">
        <v>189</v>
      </c>
      <c r="D206" s="206" t="s">
        <v>3</v>
      </c>
      <c r="E206" s="200">
        <v>389000000</v>
      </c>
      <c r="F206" s="200">
        <v>0</v>
      </c>
      <c r="G206" s="200">
        <v>389000000</v>
      </c>
      <c r="H206" s="200">
        <f t="shared" si="3"/>
        <v>0</v>
      </c>
      <c r="I206" s="201">
        <v>6.9</v>
      </c>
      <c r="J206" s="202" t="s">
        <v>267</v>
      </c>
    </row>
    <row r="207" spans="1:10" ht="14.25" customHeight="1">
      <c r="A207" s="215"/>
      <c r="B207" s="204">
        <v>59</v>
      </c>
      <c r="C207" s="205" t="s">
        <v>185</v>
      </c>
      <c r="D207" s="206" t="s">
        <v>5</v>
      </c>
      <c r="E207" s="200">
        <v>1147273396</v>
      </c>
      <c r="F207" s="200">
        <v>0</v>
      </c>
      <c r="G207" s="200">
        <v>1147273396</v>
      </c>
      <c r="H207" s="200">
        <f t="shared" si="3"/>
        <v>0</v>
      </c>
      <c r="I207" s="201">
        <v>6.3</v>
      </c>
      <c r="J207" s="202" t="s">
        <v>469</v>
      </c>
    </row>
    <row r="208" spans="1:10" ht="14.25" customHeight="1">
      <c r="A208" s="203"/>
      <c r="B208" s="204">
        <v>60</v>
      </c>
      <c r="C208" s="205" t="s">
        <v>266</v>
      </c>
      <c r="D208" s="206" t="s">
        <v>5</v>
      </c>
      <c r="E208" s="200">
        <v>1000000000</v>
      </c>
      <c r="F208" s="200">
        <v>0</v>
      </c>
      <c r="G208" s="200">
        <v>1000000000</v>
      </c>
      <c r="H208" s="200">
        <f t="shared" si="3"/>
        <v>0</v>
      </c>
      <c r="I208" s="201">
        <v>5.8</v>
      </c>
      <c r="J208" s="202" t="s">
        <v>219</v>
      </c>
    </row>
    <row r="209" spans="1:10" ht="14.25" customHeight="1">
      <c r="A209" s="203"/>
      <c r="B209" s="204">
        <v>60</v>
      </c>
      <c r="C209" s="205" t="s">
        <v>189</v>
      </c>
      <c r="D209" s="206" t="s">
        <v>512</v>
      </c>
      <c r="E209" s="200">
        <v>805000000</v>
      </c>
      <c r="F209" s="200">
        <v>0</v>
      </c>
      <c r="G209" s="200">
        <v>805000000</v>
      </c>
      <c r="H209" s="200">
        <f t="shared" si="3"/>
        <v>0</v>
      </c>
      <c r="I209" s="201">
        <v>6.4</v>
      </c>
      <c r="J209" s="202" t="s">
        <v>267</v>
      </c>
    </row>
    <row r="210" spans="1:10" ht="14.25" customHeight="1">
      <c r="A210" s="203"/>
      <c r="B210" s="204">
        <v>60</v>
      </c>
      <c r="C210" s="205" t="s">
        <v>185</v>
      </c>
      <c r="D210" s="206" t="s">
        <v>513</v>
      </c>
      <c r="E210" s="200">
        <v>527791158</v>
      </c>
      <c r="F210" s="200">
        <v>0</v>
      </c>
      <c r="G210" s="200">
        <v>527791158</v>
      </c>
      <c r="H210" s="200">
        <f t="shared" si="3"/>
        <v>0</v>
      </c>
      <c r="I210" s="201">
        <v>5.2</v>
      </c>
      <c r="J210" s="202" t="s">
        <v>469</v>
      </c>
    </row>
    <row r="211" spans="1:10" ht="14.25" customHeight="1">
      <c r="A211" s="215"/>
      <c r="B211" s="206">
        <v>60</v>
      </c>
      <c r="C211" s="205" t="s">
        <v>189</v>
      </c>
      <c r="D211" s="206" t="s">
        <v>9</v>
      </c>
      <c r="E211" s="200">
        <v>355000000</v>
      </c>
      <c r="F211" s="200">
        <v>43549984</v>
      </c>
      <c r="G211" s="200">
        <f>311450016+F211</f>
        <v>355000000</v>
      </c>
      <c r="H211" s="200">
        <f t="shared" si="3"/>
        <v>0</v>
      </c>
      <c r="I211" s="201">
        <v>5.4</v>
      </c>
      <c r="J211" s="147" t="s">
        <v>1709</v>
      </c>
    </row>
    <row r="212" spans="1:10" ht="14.25" customHeight="1">
      <c r="A212" s="203"/>
      <c r="B212" s="204">
        <v>61</v>
      </c>
      <c r="C212" s="205" t="s">
        <v>189</v>
      </c>
      <c r="D212" s="206" t="s">
        <v>513</v>
      </c>
      <c r="E212" s="200">
        <v>390000000</v>
      </c>
      <c r="F212" s="200">
        <v>50331343</v>
      </c>
      <c r="G212" s="200">
        <f>339668657+F212</f>
        <v>390000000</v>
      </c>
      <c r="H212" s="200">
        <f t="shared" si="3"/>
        <v>0</v>
      </c>
      <c r="I212" s="201">
        <v>5.4</v>
      </c>
      <c r="J212" s="147" t="s">
        <v>1709</v>
      </c>
    </row>
    <row r="213" spans="1:10" ht="14.25" customHeight="1">
      <c r="A213" s="203"/>
      <c r="B213" s="204">
        <v>61</v>
      </c>
      <c r="C213" s="205" t="s">
        <v>266</v>
      </c>
      <c r="D213" s="206" t="s">
        <v>513</v>
      </c>
      <c r="E213" s="200">
        <v>2000000000</v>
      </c>
      <c r="F213" s="200">
        <v>0</v>
      </c>
      <c r="G213" s="200">
        <v>2000000000</v>
      </c>
      <c r="H213" s="200">
        <f t="shared" si="3"/>
        <v>0</v>
      </c>
      <c r="I213" s="201">
        <v>5.0999999999999996</v>
      </c>
      <c r="J213" s="202" t="s">
        <v>221</v>
      </c>
    </row>
    <row r="214" spans="1:10" ht="14.25" customHeight="1">
      <c r="A214" s="203"/>
      <c r="B214" s="204">
        <v>61</v>
      </c>
      <c r="C214" s="205" t="s">
        <v>189</v>
      </c>
      <c r="D214" s="206" t="s">
        <v>10</v>
      </c>
      <c r="E214" s="200">
        <v>464000000</v>
      </c>
      <c r="F214" s="200">
        <v>56557171</v>
      </c>
      <c r="G214" s="200">
        <f>407442829+F214</f>
        <v>464000000</v>
      </c>
      <c r="H214" s="200">
        <f t="shared" si="3"/>
        <v>0</v>
      </c>
      <c r="I214" s="201">
        <v>4.7</v>
      </c>
      <c r="J214" s="147" t="s">
        <v>1709</v>
      </c>
    </row>
    <row r="215" spans="1:10" ht="14.25" customHeight="1">
      <c r="A215" s="215"/>
      <c r="B215" s="206">
        <v>58</v>
      </c>
      <c r="C215" s="205" t="s">
        <v>185</v>
      </c>
      <c r="D215" s="206" t="s">
        <v>516</v>
      </c>
      <c r="E215" s="200">
        <v>2435157074</v>
      </c>
      <c r="F215" s="200">
        <v>0</v>
      </c>
      <c r="G215" s="200">
        <v>2435157074</v>
      </c>
      <c r="H215" s="200">
        <f t="shared" si="3"/>
        <v>0</v>
      </c>
      <c r="I215" s="201">
        <v>7.1</v>
      </c>
      <c r="J215" s="202" t="s">
        <v>469</v>
      </c>
    </row>
    <row r="216" spans="1:10" ht="14.25" customHeight="1">
      <c r="A216" s="203"/>
      <c r="B216" s="204">
        <v>61</v>
      </c>
      <c r="C216" s="205" t="s">
        <v>189</v>
      </c>
      <c r="D216" s="206" t="s">
        <v>517</v>
      </c>
      <c r="E216" s="200">
        <v>80000000</v>
      </c>
      <c r="F216" s="200">
        <v>12639159</v>
      </c>
      <c r="G216" s="200">
        <f>67360841+F216</f>
        <v>80000000</v>
      </c>
      <c r="H216" s="200">
        <f t="shared" si="3"/>
        <v>0</v>
      </c>
      <c r="I216" s="201">
        <v>5.3</v>
      </c>
      <c r="J216" s="147" t="s">
        <v>1709</v>
      </c>
    </row>
    <row r="217" spans="1:10" ht="14.25" customHeight="1">
      <c r="A217" s="203"/>
      <c r="B217" s="204">
        <v>62</v>
      </c>
      <c r="C217" s="205" t="s">
        <v>273</v>
      </c>
      <c r="D217" s="206" t="s">
        <v>518</v>
      </c>
      <c r="E217" s="200">
        <v>229513000</v>
      </c>
      <c r="F217" s="200">
        <v>0</v>
      </c>
      <c r="G217" s="200">
        <v>229513000</v>
      </c>
      <c r="H217" s="200">
        <f t="shared" si="3"/>
        <v>0</v>
      </c>
      <c r="I217" s="201" t="s">
        <v>274</v>
      </c>
      <c r="J217" s="283" t="s">
        <v>225</v>
      </c>
    </row>
    <row r="218" spans="1:10" ht="14.25" customHeight="1">
      <c r="A218" s="203"/>
      <c r="B218" s="206">
        <v>61</v>
      </c>
      <c r="C218" s="205" t="s">
        <v>185</v>
      </c>
      <c r="D218" s="206" t="s">
        <v>519</v>
      </c>
      <c r="E218" s="200">
        <v>340191842</v>
      </c>
      <c r="F218" s="200">
        <v>0</v>
      </c>
      <c r="G218" s="200">
        <v>340191842</v>
      </c>
      <c r="H218" s="200">
        <f t="shared" si="3"/>
        <v>0</v>
      </c>
      <c r="I218" s="201">
        <v>5</v>
      </c>
      <c r="J218" s="202" t="s">
        <v>469</v>
      </c>
    </row>
    <row r="219" spans="1:10" ht="14.25" customHeight="1">
      <c r="A219" s="203"/>
      <c r="B219" s="206">
        <v>62</v>
      </c>
      <c r="C219" s="205" t="s">
        <v>266</v>
      </c>
      <c r="D219" s="206" t="s">
        <v>519</v>
      </c>
      <c r="E219" s="200">
        <v>1000000000</v>
      </c>
      <c r="F219" s="200">
        <v>0</v>
      </c>
      <c r="G219" s="200">
        <v>1000000000</v>
      </c>
      <c r="H219" s="200">
        <f t="shared" si="3"/>
        <v>0</v>
      </c>
      <c r="I219" s="201">
        <v>4.8</v>
      </c>
      <c r="J219" s="216" t="s">
        <v>225</v>
      </c>
    </row>
    <row r="220" spans="1:10" ht="14.25" customHeight="1">
      <c r="A220" s="203"/>
      <c r="B220" s="206">
        <v>63</v>
      </c>
      <c r="C220" s="205" t="s">
        <v>273</v>
      </c>
      <c r="D220" s="206" t="s">
        <v>735</v>
      </c>
      <c r="E220" s="200">
        <v>88343000</v>
      </c>
      <c r="F220" s="200">
        <v>0</v>
      </c>
      <c r="G220" s="200">
        <v>88343000</v>
      </c>
      <c r="H220" s="200">
        <f t="shared" si="3"/>
        <v>0</v>
      </c>
      <c r="I220" s="201" t="s">
        <v>274</v>
      </c>
      <c r="J220" s="216" t="s">
        <v>228</v>
      </c>
    </row>
    <row r="221" spans="1:10" ht="14.25" customHeight="1">
      <c r="A221" s="203"/>
      <c r="B221" s="206">
        <v>63</v>
      </c>
      <c r="C221" s="205" t="s">
        <v>273</v>
      </c>
      <c r="D221" s="206" t="s">
        <v>334</v>
      </c>
      <c r="E221" s="200">
        <v>138400000</v>
      </c>
      <c r="F221" s="200">
        <v>0</v>
      </c>
      <c r="G221" s="200">
        <v>138400000</v>
      </c>
      <c r="H221" s="200">
        <f t="shared" si="3"/>
        <v>0</v>
      </c>
      <c r="I221" s="201" t="s">
        <v>274</v>
      </c>
      <c r="J221" s="216" t="s">
        <v>228</v>
      </c>
    </row>
    <row r="222" spans="1:10" ht="14.25" customHeight="1">
      <c r="A222" s="203"/>
      <c r="B222" s="206">
        <v>62</v>
      </c>
      <c r="C222" s="205" t="s">
        <v>189</v>
      </c>
      <c r="D222" s="206" t="s">
        <v>335</v>
      </c>
      <c r="E222" s="200">
        <v>837000000</v>
      </c>
      <c r="F222" s="200">
        <v>198634691</v>
      </c>
      <c r="G222" s="200">
        <f>638365309+F222</f>
        <v>837000000</v>
      </c>
      <c r="H222" s="200">
        <f t="shared" si="3"/>
        <v>0</v>
      </c>
      <c r="I222" s="201">
        <v>4.95</v>
      </c>
      <c r="J222" s="126" t="s">
        <v>1709</v>
      </c>
    </row>
    <row r="223" spans="1:10" ht="14.25" customHeight="1">
      <c r="A223" s="203"/>
      <c r="B223" s="206">
        <v>62</v>
      </c>
      <c r="C223" s="205" t="s">
        <v>185</v>
      </c>
      <c r="D223" s="206" t="s">
        <v>336</v>
      </c>
      <c r="E223" s="200">
        <v>308504686</v>
      </c>
      <c r="F223" s="200">
        <v>0</v>
      </c>
      <c r="G223" s="200">
        <v>308504686</v>
      </c>
      <c r="H223" s="200">
        <f t="shared" si="3"/>
        <v>0</v>
      </c>
      <c r="I223" s="201">
        <v>4.8499999999999996</v>
      </c>
      <c r="J223" s="202" t="s">
        <v>689</v>
      </c>
    </row>
    <row r="224" spans="1:10" ht="14.25" customHeight="1">
      <c r="A224" s="203"/>
      <c r="B224" s="206">
        <v>63</v>
      </c>
      <c r="C224" s="205" t="s">
        <v>273</v>
      </c>
      <c r="D224" s="206" t="s">
        <v>336</v>
      </c>
      <c r="E224" s="200">
        <v>617596000</v>
      </c>
      <c r="F224" s="200">
        <v>0</v>
      </c>
      <c r="G224" s="200">
        <v>617596000</v>
      </c>
      <c r="H224" s="200">
        <f t="shared" si="3"/>
        <v>0</v>
      </c>
      <c r="I224" s="201" t="s">
        <v>274</v>
      </c>
      <c r="J224" s="216" t="s">
        <v>228</v>
      </c>
    </row>
    <row r="225" spans="1:10" ht="14.25" customHeight="1">
      <c r="A225" s="203"/>
      <c r="B225" s="206">
        <v>63</v>
      </c>
      <c r="C225" s="205" t="s">
        <v>180</v>
      </c>
      <c r="D225" s="206" t="s">
        <v>337</v>
      </c>
      <c r="E225" s="200">
        <v>2000000000</v>
      </c>
      <c r="F225" s="200">
        <v>0</v>
      </c>
      <c r="G225" s="200">
        <v>2000000000</v>
      </c>
      <c r="H225" s="200">
        <f t="shared" si="3"/>
        <v>0</v>
      </c>
      <c r="I225" s="201">
        <v>4.8</v>
      </c>
      <c r="J225" s="216" t="s">
        <v>219</v>
      </c>
    </row>
    <row r="226" spans="1:10" ht="14.25" customHeight="1" thickBot="1">
      <c r="A226" s="269"/>
      <c r="B226" s="287" t="s">
        <v>338</v>
      </c>
      <c r="C226" s="286" t="s">
        <v>273</v>
      </c>
      <c r="D226" s="287" t="s">
        <v>339</v>
      </c>
      <c r="E226" s="268">
        <v>59345000</v>
      </c>
      <c r="F226" s="268">
        <v>0</v>
      </c>
      <c r="G226" s="268">
        <v>59345000</v>
      </c>
      <c r="H226" s="200">
        <f t="shared" si="3"/>
        <v>0</v>
      </c>
      <c r="I226" s="288" t="s">
        <v>274</v>
      </c>
      <c r="J226" s="300" t="s">
        <v>232</v>
      </c>
    </row>
    <row r="227" spans="1:10" ht="9.75" customHeight="1" thickBot="1">
      <c r="A227" s="257"/>
      <c r="B227" s="258"/>
      <c r="C227" s="257"/>
      <c r="D227" s="258"/>
      <c r="E227" s="259"/>
      <c r="F227" s="259"/>
      <c r="G227" s="259"/>
      <c r="H227" s="259"/>
      <c r="I227" s="260"/>
      <c r="J227" s="261"/>
    </row>
    <row r="228" spans="1:10">
      <c r="A228" s="479" t="s">
        <v>26</v>
      </c>
      <c r="B228" s="481" t="s">
        <v>311</v>
      </c>
      <c r="C228" s="483" t="s">
        <v>27</v>
      </c>
      <c r="D228" s="481" t="s">
        <v>312</v>
      </c>
      <c r="E228" s="485" t="s">
        <v>28</v>
      </c>
      <c r="F228" s="487" t="s">
        <v>29</v>
      </c>
      <c r="G228" s="493"/>
      <c r="H228" s="489" t="s">
        <v>174</v>
      </c>
      <c r="I228" s="491" t="s">
        <v>30</v>
      </c>
      <c r="J228" s="477" t="s">
        <v>313</v>
      </c>
    </row>
    <row r="229" spans="1:10">
      <c r="A229" s="480"/>
      <c r="B229" s="482"/>
      <c r="C229" s="484"/>
      <c r="D229" s="482"/>
      <c r="E229" s="486"/>
      <c r="F229" s="207" t="s">
        <v>176</v>
      </c>
      <c r="G229" s="207" t="s">
        <v>305</v>
      </c>
      <c r="H229" s="490"/>
      <c r="I229" s="492"/>
      <c r="J229" s="478"/>
    </row>
    <row r="230" spans="1:10">
      <c r="A230" s="209"/>
      <c r="B230" s="210"/>
      <c r="C230" s="210"/>
      <c r="D230" s="211" t="s">
        <v>177</v>
      </c>
      <c r="E230" s="212" t="s">
        <v>178</v>
      </c>
      <c r="F230" s="212" t="s">
        <v>172</v>
      </c>
      <c r="G230" s="212" t="s">
        <v>178</v>
      </c>
      <c r="H230" s="212" t="s">
        <v>178</v>
      </c>
      <c r="I230" s="213" t="s">
        <v>31</v>
      </c>
      <c r="J230" s="214" t="s">
        <v>175</v>
      </c>
    </row>
    <row r="231" spans="1:10" ht="14.25" customHeight="1">
      <c r="A231" s="215" t="s">
        <v>497</v>
      </c>
      <c r="B231" s="206" t="s">
        <v>520</v>
      </c>
      <c r="C231" s="205" t="s">
        <v>189</v>
      </c>
      <c r="D231" s="204" t="s">
        <v>693</v>
      </c>
      <c r="E231" s="200">
        <v>496000000</v>
      </c>
      <c r="F231" s="200">
        <v>140950517</v>
      </c>
      <c r="G231" s="200">
        <f>355049483+F231</f>
        <v>496000000</v>
      </c>
      <c r="H231" s="200">
        <f t="shared" ref="H231:H286" si="4">E231-G231</f>
        <v>0</v>
      </c>
      <c r="I231" s="201">
        <v>5.2</v>
      </c>
      <c r="J231" s="147" t="s">
        <v>1709</v>
      </c>
    </row>
    <row r="232" spans="1:10" ht="14.25" customHeight="1">
      <c r="A232" s="203" t="s">
        <v>182</v>
      </c>
      <c r="B232" s="206" t="s">
        <v>17</v>
      </c>
      <c r="C232" s="205" t="s">
        <v>273</v>
      </c>
      <c r="D232" s="206" t="s">
        <v>522</v>
      </c>
      <c r="E232" s="200">
        <v>107596000</v>
      </c>
      <c r="F232" s="200">
        <v>0</v>
      </c>
      <c r="G232" s="200">
        <v>107596000</v>
      </c>
      <c r="H232" s="200">
        <f t="shared" si="4"/>
        <v>0</v>
      </c>
      <c r="I232" s="201" t="s">
        <v>274</v>
      </c>
      <c r="J232" s="202" t="s">
        <v>232</v>
      </c>
    </row>
    <row r="233" spans="1:10" ht="14.25" customHeight="1">
      <c r="A233" s="203"/>
      <c r="B233" s="206" t="s">
        <v>520</v>
      </c>
      <c r="C233" s="205" t="s">
        <v>185</v>
      </c>
      <c r="D233" s="206" t="s">
        <v>523</v>
      </c>
      <c r="E233" s="200">
        <v>198703790</v>
      </c>
      <c r="F233" s="200">
        <v>0</v>
      </c>
      <c r="G233" s="200">
        <v>198703790</v>
      </c>
      <c r="H233" s="200">
        <f t="shared" si="4"/>
        <v>0</v>
      </c>
      <c r="I233" s="201">
        <v>5.4</v>
      </c>
      <c r="J233" s="202" t="s">
        <v>1044</v>
      </c>
    </row>
    <row r="234" spans="1:10" ht="14.25" customHeight="1">
      <c r="A234" s="203"/>
      <c r="B234" s="204">
        <v>63</v>
      </c>
      <c r="C234" s="205" t="s">
        <v>273</v>
      </c>
      <c r="D234" s="206" t="s">
        <v>524</v>
      </c>
      <c r="E234" s="200">
        <v>19261000</v>
      </c>
      <c r="F234" s="200">
        <v>0</v>
      </c>
      <c r="G234" s="200">
        <v>19261000</v>
      </c>
      <c r="H234" s="200">
        <f t="shared" si="4"/>
        <v>0</v>
      </c>
      <c r="I234" s="201" t="s">
        <v>274</v>
      </c>
      <c r="J234" s="202" t="s">
        <v>228</v>
      </c>
    </row>
    <row r="235" spans="1:10" ht="14.25" customHeight="1">
      <c r="A235" s="203"/>
      <c r="B235" s="206" t="s">
        <v>17</v>
      </c>
      <c r="C235" s="205" t="s">
        <v>266</v>
      </c>
      <c r="D235" s="206" t="s">
        <v>525</v>
      </c>
      <c r="E235" s="200">
        <v>1000000000</v>
      </c>
      <c r="F235" s="200">
        <v>0</v>
      </c>
      <c r="G235" s="200">
        <v>1000000000</v>
      </c>
      <c r="H235" s="200">
        <f t="shared" si="4"/>
        <v>0</v>
      </c>
      <c r="I235" s="201">
        <v>6.6</v>
      </c>
      <c r="J235" s="202" t="s">
        <v>232</v>
      </c>
    </row>
    <row r="236" spans="1:10" ht="14.25" customHeight="1">
      <c r="A236" s="203"/>
      <c r="B236" s="204" t="s">
        <v>278</v>
      </c>
      <c r="C236" s="205" t="s">
        <v>273</v>
      </c>
      <c r="D236" s="206" t="s">
        <v>525</v>
      </c>
      <c r="E236" s="200">
        <v>282931000</v>
      </c>
      <c r="F236" s="200">
        <v>0</v>
      </c>
      <c r="G236" s="200">
        <v>282931000</v>
      </c>
      <c r="H236" s="200">
        <f t="shared" si="4"/>
        <v>0</v>
      </c>
      <c r="I236" s="201" t="s">
        <v>274</v>
      </c>
      <c r="J236" s="202" t="s">
        <v>232</v>
      </c>
    </row>
    <row r="237" spans="1:10" ht="14.25" customHeight="1">
      <c r="A237" s="203"/>
      <c r="B237" s="204" t="s">
        <v>278</v>
      </c>
      <c r="C237" s="205" t="s">
        <v>189</v>
      </c>
      <c r="D237" s="206" t="s">
        <v>526</v>
      </c>
      <c r="E237" s="200">
        <v>350000000</v>
      </c>
      <c r="F237" s="200">
        <v>0</v>
      </c>
      <c r="G237" s="200">
        <v>350000000</v>
      </c>
      <c r="H237" s="200">
        <f t="shared" si="4"/>
        <v>0</v>
      </c>
      <c r="I237" s="201">
        <v>6.3</v>
      </c>
      <c r="J237" s="202" t="s">
        <v>277</v>
      </c>
    </row>
    <row r="238" spans="1:10" ht="14.25" customHeight="1">
      <c r="A238" s="203"/>
      <c r="B238" s="204" t="s">
        <v>278</v>
      </c>
      <c r="C238" s="205" t="s">
        <v>273</v>
      </c>
      <c r="D238" s="206" t="s">
        <v>527</v>
      </c>
      <c r="E238" s="200">
        <v>276396000</v>
      </c>
      <c r="F238" s="200">
        <v>0</v>
      </c>
      <c r="G238" s="200">
        <v>276396000</v>
      </c>
      <c r="H238" s="200">
        <f t="shared" si="4"/>
        <v>0</v>
      </c>
      <c r="I238" s="201" t="s">
        <v>274</v>
      </c>
      <c r="J238" s="202" t="s">
        <v>232</v>
      </c>
    </row>
    <row r="239" spans="1:10" ht="14.25" customHeight="1">
      <c r="A239" s="203"/>
      <c r="B239" s="206">
        <v>2</v>
      </c>
      <c r="C239" s="205" t="s">
        <v>273</v>
      </c>
      <c r="D239" s="206" t="s">
        <v>528</v>
      </c>
      <c r="E239" s="200">
        <v>10779000</v>
      </c>
      <c r="F239" s="200">
        <v>0</v>
      </c>
      <c r="G239" s="200">
        <v>10779000</v>
      </c>
      <c r="H239" s="200">
        <f t="shared" si="4"/>
        <v>0</v>
      </c>
      <c r="I239" s="201" t="s">
        <v>274</v>
      </c>
      <c r="J239" s="202" t="s">
        <v>235</v>
      </c>
    </row>
    <row r="240" spans="1:10" ht="14.25" customHeight="1">
      <c r="A240" s="203"/>
      <c r="B240" s="204" t="s">
        <v>278</v>
      </c>
      <c r="C240" s="205" t="s">
        <v>185</v>
      </c>
      <c r="D240" s="206" t="s">
        <v>529</v>
      </c>
      <c r="E240" s="200">
        <v>341106218</v>
      </c>
      <c r="F240" s="200">
        <v>0</v>
      </c>
      <c r="G240" s="200">
        <v>341106218</v>
      </c>
      <c r="H240" s="200">
        <f t="shared" si="4"/>
        <v>0</v>
      </c>
      <c r="I240" s="201">
        <v>6.6</v>
      </c>
      <c r="J240" s="216" t="s">
        <v>469</v>
      </c>
    </row>
    <row r="241" spans="1:10" ht="14.25" customHeight="1">
      <c r="A241" s="203"/>
      <c r="B241" s="206">
        <v>2</v>
      </c>
      <c r="C241" s="205" t="s">
        <v>266</v>
      </c>
      <c r="D241" s="206" t="s">
        <v>529</v>
      </c>
      <c r="E241" s="200">
        <v>400000000</v>
      </c>
      <c r="F241" s="200">
        <v>0</v>
      </c>
      <c r="G241" s="200">
        <v>400000000</v>
      </c>
      <c r="H241" s="200">
        <f t="shared" si="4"/>
        <v>0</v>
      </c>
      <c r="I241" s="201">
        <v>6.4</v>
      </c>
      <c r="J241" s="202" t="s">
        <v>235</v>
      </c>
    </row>
    <row r="242" spans="1:10" ht="14.25" customHeight="1">
      <c r="A242" s="203"/>
      <c r="B242" s="204" t="s">
        <v>278</v>
      </c>
      <c r="C242" s="205" t="s">
        <v>273</v>
      </c>
      <c r="D242" s="206" t="s">
        <v>530</v>
      </c>
      <c r="E242" s="200">
        <v>46394000</v>
      </c>
      <c r="F242" s="200">
        <v>0</v>
      </c>
      <c r="G242" s="200">
        <v>46394000</v>
      </c>
      <c r="H242" s="200">
        <f t="shared" si="4"/>
        <v>0</v>
      </c>
      <c r="I242" s="201" t="s">
        <v>274</v>
      </c>
      <c r="J242" s="202" t="s">
        <v>232</v>
      </c>
    </row>
    <row r="243" spans="1:10" ht="14.25" customHeight="1">
      <c r="A243" s="203"/>
      <c r="B243" s="204" t="s">
        <v>278</v>
      </c>
      <c r="C243" s="205" t="s">
        <v>189</v>
      </c>
      <c r="D243" s="206" t="s">
        <v>22</v>
      </c>
      <c r="E243" s="200">
        <v>574000000</v>
      </c>
      <c r="F243" s="200">
        <v>0</v>
      </c>
      <c r="G243" s="200">
        <v>574000000</v>
      </c>
      <c r="H243" s="200">
        <f t="shared" si="4"/>
        <v>0</v>
      </c>
      <c r="I243" s="201">
        <v>6.7</v>
      </c>
      <c r="J243" s="202" t="s">
        <v>280</v>
      </c>
    </row>
    <row r="244" spans="1:10" ht="14.25" customHeight="1">
      <c r="A244" s="203"/>
      <c r="B244" s="206">
        <v>2</v>
      </c>
      <c r="C244" s="205" t="s">
        <v>189</v>
      </c>
      <c r="D244" s="206" t="s">
        <v>22</v>
      </c>
      <c r="E244" s="200">
        <v>1200000000</v>
      </c>
      <c r="F244" s="200">
        <v>0</v>
      </c>
      <c r="G244" s="200">
        <v>1200000000</v>
      </c>
      <c r="H244" s="200">
        <f t="shared" si="4"/>
        <v>0</v>
      </c>
      <c r="I244" s="201">
        <v>6.65</v>
      </c>
      <c r="J244" s="202" t="s">
        <v>280</v>
      </c>
    </row>
    <row r="245" spans="1:10" ht="14.25" customHeight="1">
      <c r="A245" s="203"/>
      <c r="B245" s="206">
        <v>2</v>
      </c>
      <c r="C245" s="205" t="s">
        <v>273</v>
      </c>
      <c r="D245" s="206" t="s">
        <v>532</v>
      </c>
      <c r="E245" s="200">
        <v>58974000</v>
      </c>
      <c r="F245" s="200">
        <v>0</v>
      </c>
      <c r="G245" s="200">
        <v>58974000</v>
      </c>
      <c r="H245" s="200">
        <f t="shared" si="4"/>
        <v>0</v>
      </c>
      <c r="I245" s="201" t="s">
        <v>274</v>
      </c>
      <c r="J245" s="202" t="s">
        <v>235</v>
      </c>
    </row>
    <row r="246" spans="1:10" ht="14.25" customHeight="1">
      <c r="A246" s="203"/>
      <c r="B246" s="206">
        <v>3</v>
      </c>
      <c r="C246" s="205" t="s">
        <v>273</v>
      </c>
      <c r="D246" s="206" t="s">
        <v>533</v>
      </c>
      <c r="E246" s="200">
        <v>84612000</v>
      </c>
      <c r="F246" s="200">
        <v>0</v>
      </c>
      <c r="G246" s="200">
        <v>84612000</v>
      </c>
      <c r="H246" s="200">
        <f t="shared" si="4"/>
        <v>0</v>
      </c>
      <c r="I246" s="201" t="s">
        <v>274</v>
      </c>
      <c r="J246" s="202" t="s">
        <v>239</v>
      </c>
    </row>
    <row r="247" spans="1:10" ht="14.25" customHeight="1">
      <c r="A247" s="203"/>
      <c r="B247" s="206">
        <v>2</v>
      </c>
      <c r="C247" s="205" t="s">
        <v>185</v>
      </c>
      <c r="D247" s="206" t="s">
        <v>534</v>
      </c>
      <c r="E247" s="200">
        <v>923000000</v>
      </c>
      <c r="F247" s="200">
        <v>42537443</v>
      </c>
      <c r="G247" s="200">
        <f>442689967+F247</f>
        <v>485227410</v>
      </c>
      <c r="H247" s="200">
        <f t="shared" si="4"/>
        <v>437772590</v>
      </c>
      <c r="I247" s="201">
        <v>5.5</v>
      </c>
      <c r="J247" s="202" t="s">
        <v>282</v>
      </c>
    </row>
    <row r="248" spans="1:10" ht="14.25" customHeight="1">
      <c r="A248" s="203"/>
      <c r="B248" s="206">
        <v>3</v>
      </c>
      <c r="C248" s="205" t="s">
        <v>266</v>
      </c>
      <c r="D248" s="206" t="s">
        <v>534</v>
      </c>
      <c r="E248" s="200">
        <v>400000000</v>
      </c>
      <c r="F248" s="200">
        <v>0</v>
      </c>
      <c r="G248" s="200">
        <v>400000000</v>
      </c>
      <c r="H248" s="200">
        <f t="shared" si="4"/>
        <v>0</v>
      </c>
      <c r="I248" s="201">
        <v>5.7</v>
      </c>
      <c r="J248" s="202" t="s">
        <v>239</v>
      </c>
    </row>
    <row r="249" spans="1:10" ht="14.25" customHeight="1">
      <c r="A249" s="203"/>
      <c r="B249" s="206">
        <v>2</v>
      </c>
      <c r="C249" s="205" t="s">
        <v>189</v>
      </c>
      <c r="D249" s="206" t="s">
        <v>535</v>
      </c>
      <c r="E249" s="200">
        <v>1451000000</v>
      </c>
      <c r="F249" s="200">
        <v>646861995</v>
      </c>
      <c r="G249" s="200">
        <f>804138005+F249</f>
        <v>1451000000</v>
      </c>
      <c r="H249" s="200">
        <f t="shared" si="4"/>
        <v>0</v>
      </c>
      <c r="I249" s="201">
        <v>5.6</v>
      </c>
      <c r="J249" s="147" t="s">
        <v>1710</v>
      </c>
    </row>
    <row r="250" spans="1:10" ht="14.25" customHeight="1">
      <c r="A250" s="203"/>
      <c r="B250" s="206">
        <v>3</v>
      </c>
      <c r="C250" s="205" t="s">
        <v>189</v>
      </c>
      <c r="D250" s="206" t="s">
        <v>535</v>
      </c>
      <c r="E250" s="200">
        <v>2000000000</v>
      </c>
      <c r="F250" s="200">
        <v>891608538</v>
      </c>
      <c r="G250" s="200">
        <f>1108391462+F250</f>
        <v>2000000000</v>
      </c>
      <c r="H250" s="200">
        <f t="shared" si="4"/>
        <v>0</v>
      </c>
      <c r="I250" s="201">
        <v>5.6</v>
      </c>
      <c r="J250" s="147" t="s">
        <v>1710</v>
      </c>
    </row>
    <row r="251" spans="1:10" ht="14.25" customHeight="1">
      <c r="A251" s="203"/>
      <c r="B251" s="206">
        <v>2</v>
      </c>
      <c r="C251" s="205" t="s">
        <v>273</v>
      </c>
      <c r="D251" s="206" t="s">
        <v>536</v>
      </c>
      <c r="E251" s="200">
        <v>11224000</v>
      </c>
      <c r="F251" s="200">
        <v>0</v>
      </c>
      <c r="G251" s="200">
        <v>11224000</v>
      </c>
      <c r="H251" s="200">
        <f t="shared" si="4"/>
        <v>0</v>
      </c>
      <c r="I251" s="201" t="s">
        <v>274</v>
      </c>
      <c r="J251" s="202" t="s">
        <v>235</v>
      </c>
    </row>
    <row r="252" spans="1:10" ht="14.25" customHeight="1">
      <c r="A252" s="203"/>
      <c r="B252" s="206">
        <v>3</v>
      </c>
      <c r="C252" s="205" t="s">
        <v>273</v>
      </c>
      <c r="D252" s="206" t="s">
        <v>536</v>
      </c>
      <c r="E252" s="200">
        <v>224672000</v>
      </c>
      <c r="F252" s="200">
        <v>0</v>
      </c>
      <c r="G252" s="200">
        <v>224672000</v>
      </c>
      <c r="H252" s="200">
        <f t="shared" si="4"/>
        <v>0</v>
      </c>
      <c r="I252" s="201" t="s">
        <v>274</v>
      </c>
      <c r="J252" s="202" t="s">
        <v>239</v>
      </c>
    </row>
    <row r="253" spans="1:10" ht="14.25" customHeight="1">
      <c r="A253" s="203"/>
      <c r="B253" s="206">
        <v>4</v>
      </c>
      <c r="C253" s="205" t="s">
        <v>266</v>
      </c>
      <c r="D253" s="206" t="s">
        <v>537</v>
      </c>
      <c r="E253" s="200">
        <v>567000000</v>
      </c>
      <c r="F253" s="200">
        <v>0</v>
      </c>
      <c r="G253" s="200">
        <v>567000000</v>
      </c>
      <c r="H253" s="200">
        <f t="shared" si="4"/>
        <v>0</v>
      </c>
      <c r="I253" s="201">
        <v>4.3</v>
      </c>
      <c r="J253" s="202" t="s">
        <v>242</v>
      </c>
    </row>
    <row r="254" spans="1:10" ht="14.25" customHeight="1">
      <c r="A254" s="203"/>
      <c r="B254" s="206">
        <v>3</v>
      </c>
      <c r="C254" s="205" t="s">
        <v>185</v>
      </c>
      <c r="D254" s="206" t="s">
        <v>538</v>
      </c>
      <c r="E254" s="200">
        <v>1920000000</v>
      </c>
      <c r="F254" s="200">
        <v>83346017</v>
      </c>
      <c r="G254" s="200">
        <f>898282108+F254</f>
        <v>981628125</v>
      </c>
      <c r="H254" s="200">
        <f t="shared" si="4"/>
        <v>938371875</v>
      </c>
      <c r="I254" s="201">
        <v>4.4000000000000004</v>
      </c>
      <c r="J254" s="202" t="s">
        <v>284</v>
      </c>
    </row>
    <row r="255" spans="1:10" ht="14.25" customHeight="1">
      <c r="A255" s="203"/>
      <c r="B255" s="206">
        <v>3</v>
      </c>
      <c r="C255" s="205" t="s">
        <v>189</v>
      </c>
      <c r="D255" s="206" t="s">
        <v>539</v>
      </c>
      <c r="E255" s="200">
        <v>560000000</v>
      </c>
      <c r="F255" s="200">
        <v>261072467</v>
      </c>
      <c r="G255" s="200">
        <f>298927533+F255</f>
        <v>560000000</v>
      </c>
      <c r="H255" s="200">
        <f t="shared" si="4"/>
        <v>0</v>
      </c>
      <c r="I255" s="201">
        <v>4.45</v>
      </c>
      <c r="J255" s="147" t="s">
        <v>1710</v>
      </c>
    </row>
    <row r="256" spans="1:10" ht="14.25" customHeight="1">
      <c r="A256" s="203"/>
      <c r="B256" s="206">
        <v>4</v>
      </c>
      <c r="C256" s="205" t="s">
        <v>189</v>
      </c>
      <c r="D256" s="206" t="s">
        <v>539</v>
      </c>
      <c r="E256" s="200">
        <v>1000000</v>
      </c>
      <c r="F256" s="200">
        <v>467530</v>
      </c>
      <c r="G256" s="200">
        <f>532470+F256</f>
        <v>1000000</v>
      </c>
      <c r="H256" s="200">
        <f t="shared" si="4"/>
        <v>0</v>
      </c>
      <c r="I256" s="201">
        <v>4.5</v>
      </c>
      <c r="J256" s="147" t="s">
        <v>1710</v>
      </c>
    </row>
    <row r="257" spans="1:10" ht="14.25" customHeight="1">
      <c r="A257" s="215"/>
      <c r="B257" s="206">
        <v>4</v>
      </c>
      <c r="C257" s="205" t="s">
        <v>189</v>
      </c>
      <c r="D257" s="206" t="s">
        <v>539</v>
      </c>
      <c r="E257" s="200">
        <v>4498000000</v>
      </c>
      <c r="F257" s="200">
        <v>2096971363</v>
      </c>
      <c r="G257" s="200">
        <f>2401028637+F257</f>
        <v>4498000000</v>
      </c>
      <c r="H257" s="200">
        <f t="shared" si="4"/>
        <v>0</v>
      </c>
      <c r="I257" s="201">
        <v>4.45</v>
      </c>
      <c r="J257" s="147" t="s">
        <v>1710</v>
      </c>
    </row>
    <row r="258" spans="1:10" ht="14.25" customHeight="1">
      <c r="A258" s="203"/>
      <c r="B258" s="206">
        <v>4</v>
      </c>
      <c r="C258" s="205" t="s">
        <v>185</v>
      </c>
      <c r="D258" s="206" t="s">
        <v>540</v>
      </c>
      <c r="E258" s="200">
        <v>8780000000</v>
      </c>
      <c r="F258" s="200">
        <v>365004683</v>
      </c>
      <c r="G258" s="200">
        <f>3937467365+F258</f>
        <v>4302472048</v>
      </c>
      <c r="H258" s="200">
        <f t="shared" si="4"/>
        <v>4477527952</v>
      </c>
      <c r="I258" s="201">
        <v>3.65</v>
      </c>
      <c r="J258" s="202" t="s">
        <v>286</v>
      </c>
    </row>
    <row r="259" spans="1:10" ht="14.25" customHeight="1">
      <c r="A259" s="203"/>
      <c r="B259" s="206">
        <v>4</v>
      </c>
      <c r="C259" s="205" t="s">
        <v>189</v>
      </c>
      <c r="D259" s="206" t="s">
        <v>540</v>
      </c>
      <c r="E259" s="200">
        <v>1354000000</v>
      </c>
      <c r="F259" s="200">
        <v>63810225</v>
      </c>
      <c r="G259" s="200">
        <f>686017553+F259</f>
        <v>749827778</v>
      </c>
      <c r="H259" s="200">
        <f t="shared" si="4"/>
        <v>604172222</v>
      </c>
      <c r="I259" s="201">
        <v>3.7</v>
      </c>
      <c r="J259" s="202" t="s">
        <v>282</v>
      </c>
    </row>
    <row r="260" spans="1:10" ht="14.25" customHeight="1">
      <c r="A260" s="215"/>
      <c r="B260" s="206">
        <v>5</v>
      </c>
      <c r="C260" s="205" t="s">
        <v>189</v>
      </c>
      <c r="D260" s="206" t="s">
        <v>540</v>
      </c>
      <c r="E260" s="200">
        <v>3928000000</v>
      </c>
      <c r="F260" s="200">
        <v>185115632</v>
      </c>
      <c r="G260" s="200">
        <f>1990160229+F260</f>
        <v>2175275861</v>
      </c>
      <c r="H260" s="200">
        <f t="shared" si="4"/>
        <v>1752724139</v>
      </c>
      <c r="I260" s="201">
        <v>3.7</v>
      </c>
      <c r="J260" s="202" t="s">
        <v>282</v>
      </c>
    </row>
    <row r="261" spans="1:10" ht="14.25" customHeight="1">
      <c r="A261" s="203"/>
      <c r="B261" s="206">
        <v>5</v>
      </c>
      <c r="C261" s="205" t="s">
        <v>266</v>
      </c>
      <c r="D261" s="206" t="s">
        <v>541</v>
      </c>
      <c r="E261" s="200">
        <v>744000000</v>
      </c>
      <c r="F261" s="200">
        <v>0</v>
      </c>
      <c r="G261" s="200">
        <v>744000000</v>
      </c>
      <c r="H261" s="200">
        <f t="shared" si="4"/>
        <v>0</v>
      </c>
      <c r="I261" s="201">
        <v>4.4000000000000004</v>
      </c>
      <c r="J261" s="202" t="s">
        <v>246</v>
      </c>
    </row>
    <row r="262" spans="1:10" ht="14.25" customHeight="1">
      <c r="A262" s="203"/>
      <c r="B262" s="206" t="s">
        <v>33</v>
      </c>
      <c r="C262" s="205" t="s">
        <v>266</v>
      </c>
      <c r="D262" s="206" t="s">
        <v>34</v>
      </c>
      <c r="E262" s="200">
        <v>580000000</v>
      </c>
      <c r="F262" s="200">
        <v>0</v>
      </c>
      <c r="G262" s="200">
        <v>580000000</v>
      </c>
      <c r="H262" s="200">
        <f t="shared" si="4"/>
        <v>0</v>
      </c>
      <c r="I262" s="201">
        <v>4.5</v>
      </c>
      <c r="J262" s="202" t="s">
        <v>244</v>
      </c>
    </row>
    <row r="263" spans="1:10" ht="14.25" customHeight="1">
      <c r="A263" s="262"/>
      <c r="B263" s="206" t="s">
        <v>544</v>
      </c>
      <c r="C263" s="205" t="s">
        <v>185</v>
      </c>
      <c r="D263" s="206" t="s">
        <v>545</v>
      </c>
      <c r="E263" s="200">
        <v>6664000000</v>
      </c>
      <c r="F263" s="200">
        <v>264336134</v>
      </c>
      <c r="G263" s="200">
        <f>2527900358+F263</f>
        <v>2792236492</v>
      </c>
      <c r="H263" s="200">
        <f t="shared" si="4"/>
        <v>3871763508</v>
      </c>
      <c r="I263" s="201">
        <v>4.6500000000000004</v>
      </c>
      <c r="J263" s="202" t="s">
        <v>287</v>
      </c>
    </row>
    <row r="264" spans="1:10" ht="14.25" customHeight="1">
      <c r="A264" s="203"/>
      <c r="B264" s="206">
        <v>5</v>
      </c>
      <c r="C264" s="205" t="s">
        <v>189</v>
      </c>
      <c r="D264" s="206" t="s">
        <v>105</v>
      </c>
      <c r="E264" s="200">
        <v>2736000000</v>
      </c>
      <c r="F264" s="200">
        <v>1548682271</v>
      </c>
      <c r="G264" s="200">
        <f>1187317729+F264</f>
        <v>2736000000</v>
      </c>
      <c r="H264" s="200">
        <f t="shared" si="4"/>
        <v>0</v>
      </c>
      <c r="I264" s="201">
        <v>4.7</v>
      </c>
      <c r="J264" s="147" t="s">
        <v>1710</v>
      </c>
    </row>
    <row r="265" spans="1:10" ht="14.25" customHeight="1">
      <c r="A265" s="215"/>
      <c r="B265" s="206" t="s">
        <v>546</v>
      </c>
      <c r="C265" s="205" t="s">
        <v>266</v>
      </c>
      <c r="D265" s="206" t="s">
        <v>547</v>
      </c>
      <c r="E265" s="200">
        <v>580000000</v>
      </c>
      <c r="F265" s="200">
        <v>0</v>
      </c>
      <c r="G265" s="200">
        <v>580000000</v>
      </c>
      <c r="H265" s="200">
        <f t="shared" si="4"/>
        <v>0</v>
      </c>
      <c r="I265" s="201">
        <v>3</v>
      </c>
      <c r="J265" s="202" t="s">
        <v>247</v>
      </c>
    </row>
    <row r="266" spans="1:10" ht="14.25" customHeight="1">
      <c r="A266" s="203"/>
      <c r="B266" s="204">
        <v>63</v>
      </c>
      <c r="C266" s="263" t="s">
        <v>180</v>
      </c>
      <c r="D266" s="206" t="s">
        <v>548</v>
      </c>
      <c r="E266" s="200">
        <v>1400000000</v>
      </c>
      <c r="F266" s="200">
        <v>0</v>
      </c>
      <c r="G266" s="200">
        <v>1400000000</v>
      </c>
      <c r="H266" s="200">
        <f t="shared" si="4"/>
        <v>0</v>
      </c>
      <c r="I266" s="201">
        <v>3.3</v>
      </c>
      <c r="J266" s="202" t="s">
        <v>247</v>
      </c>
    </row>
    <row r="267" spans="1:10" ht="14.25" customHeight="1">
      <c r="A267" s="203"/>
      <c r="B267" s="204">
        <v>61</v>
      </c>
      <c r="C267" s="264" t="s">
        <v>266</v>
      </c>
      <c r="D267" s="206" t="s">
        <v>549</v>
      </c>
      <c r="E267" s="200">
        <v>1151000000</v>
      </c>
      <c r="F267" s="200">
        <v>0</v>
      </c>
      <c r="G267" s="200">
        <v>1151000000</v>
      </c>
      <c r="H267" s="200">
        <f t="shared" si="4"/>
        <v>0</v>
      </c>
      <c r="I267" s="201">
        <v>3.4</v>
      </c>
      <c r="J267" s="216" t="s">
        <v>249</v>
      </c>
    </row>
    <row r="268" spans="1:10" ht="14.25" customHeight="1">
      <c r="A268" s="203"/>
      <c r="B268" s="204">
        <v>62</v>
      </c>
      <c r="C268" s="264" t="s">
        <v>266</v>
      </c>
      <c r="D268" s="206" t="s">
        <v>550</v>
      </c>
      <c r="E268" s="200">
        <v>580000000</v>
      </c>
      <c r="F268" s="200">
        <v>0</v>
      </c>
      <c r="G268" s="200">
        <v>580000000</v>
      </c>
      <c r="H268" s="200">
        <f t="shared" si="4"/>
        <v>0</v>
      </c>
      <c r="I268" s="201">
        <v>2.5</v>
      </c>
      <c r="J268" s="216" t="s">
        <v>251</v>
      </c>
    </row>
    <row r="269" spans="1:10" ht="14.25" customHeight="1">
      <c r="A269" s="203"/>
      <c r="B269" s="206" t="s">
        <v>314</v>
      </c>
      <c r="C269" s="264" t="s">
        <v>266</v>
      </c>
      <c r="D269" s="206" t="s">
        <v>646</v>
      </c>
      <c r="E269" s="200">
        <v>579000000</v>
      </c>
      <c r="F269" s="200">
        <v>0</v>
      </c>
      <c r="G269" s="200">
        <v>579000000</v>
      </c>
      <c r="H269" s="200">
        <f t="shared" si="4"/>
        <v>0</v>
      </c>
      <c r="I269" s="201">
        <v>1.8</v>
      </c>
      <c r="J269" s="216" t="s">
        <v>60</v>
      </c>
    </row>
    <row r="270" spans="1:10" ht="14.25" customHeight="1">
      <c r="A270" s="203"/>
      <c r="B270" s="206">
        <v>4</v>
      </c>
      <c r="C270" s="264" t="s">
        <v>266</v>
      </c>
      <c r="D270" s="206" t="s">
        <v>647</v>
      </c>
      <c r="E270" s="200">
        <v>328000000</v>
      </c>
      <c r="F270" s="200">
        <v>0</v>
      </c>
      <c r="G270" s="200">
        <f>328000000+F270</f>
        <v>328000000</v>
      </c>
      <c r="H270" s="200">
        <f t="shared" si="4"/>
        <v>0</v>
      </c>
      <c r="I270" s="201">
        <v>1.3</v>
      </c>
      <c r="J270" s="216" t="s">
        <v>608</v>
      </c>
    </row>
    <row r="271" spans="1:10" ht="14.25" customHeight="1">
      <c r="A271" s="203"/>
      <c r="B271" s="206">
        <v>5</v>
      </c>
      <c r="C271" s="264" t="s">
        <v>266</v>
      </c>
      <c r="D271" s="206" t="s">
        <v>288</v>
      </c>
      <c r="E271" s="200">
        <v>431000000</v>
      </c>
      <c r="F271" s="200">
        <v>431000000</v>
      </c>
      <c r="G271" s="200">
        <f>0+F271</f>
        <v>431000000</v>
      </c>
      <c r="H271" s="200">
        <f t="shared" si="4"/>
        <v>0</v>
      </c>
      <c r="I271" s="201">
        <v>0.5</v>
      </c>
      <c r="J271" s="216" t="s">
        <v>267</v>
      </c>
    </row>
    <row r="272" spans="1:10" ht="14.25" customHeight="1">
      <c r="A272" s="203"/>
      <c r="B272" s="204" t="s">
        <v>315</v>
      </c>
      <c r="C272" s="264" t="s">
        <v>163</v>
      </c>
      <c r="D272" s="206" t="s">
        <v>138</v>
      </c>
      <c r="E272" s="200">
        <v>2392586361</v>
      </c>
      <c r="F272" s="200">
        <v>0</v>
      </c>
      <c r="G272" s="200">
        <v>2392586361</v>
      </c>
      <c r="H272" s="200">
        <f t="shared" si="4"/>
        <v>0</v>
      </c>
      <c r="I272" s="201">
        <v>7.3</v>
      </c>
      <c r="J272" s="216" t="s">
        <v>638</v>
      </c>
    </row>
    <row r="273" spans="1:10" ht="14.25" customHeight="1">
      <c r="A273" s="203"/>
      <c r="B273" s="206">
        <v>58</v>
      </c>
      <c r="C273" s="264" t="s">
        <v>163</v>
      </c>
      <c r="D273" s="206" t="s">
        <v>138</v>
      </c>
      <c r="E273" s="200">
        <v>3064541455</v>
      </c>
      <c r="F273" s="200">
        <v>0</v>
      </c>
      <c r="G273" s="200">
        <v>3064541455</v>
      </c>
      <c r="H273" s="200">
        <f t="shared" si="4"/>
        <v>0</v>
      </c>
      <c r="I273" s="201">
        <v>7.1</v>
      </c>
      <c r="J273" s="202" t="s">
        <v>563</v>
      </c>
    </row>
    <row r="274" spans="1:10" ht="14.25" customHeight="1">
      <c r="A274" s="203"/>
      <c r="B274" s="204">
        <v>59</v>
      </c>
      <c r="C274" s="264" t="s">
        <v>163</v>
      </c>
      <c r="D274" s="206" t="s">
        <v>138</v>
      </c>
      <c r="E274" s="200">
        <v>1613726604</v>
      </c>
      <c r="F274" s="200">
        <v>0</v>
      </c>
      <c r="G274" s="200">
        <v>1613726604</v>
      </c>
      <c r="H274" s="200">
        <f t="shared" si="4"/>
        <v>0</v>
      </c>
      <c r="I274" s="201">
        <v>6.3</v>
      </c>
      <c r="J274" s="202" t="s">
        <v>642</v>
      </c>
    </row>
    <row r="275" spans="1:10" ht="14.25" customHeight="1">
      <c r="A275" s="203"/>
      <c r="B275" s="206">
        <v>60</v>
      </c>
      <c r="C275" s="264" t="s">
        <v>163</v>
      </c>
      <c r="D275" s="206" t="s">
        <v>138</v>
      </c>
      <c r="E275" s="200">
        <v>633208842</v>
      </c>
      <c r="F275" s="200">
        <v>59061536</v>
      </c>
      <c r="G275" s="200">
        <f>377631785+F275</f>
        <v>436693321</v>
      </c>
      <c r="H275" s="200">
        <f t="shared" si="4"/>
        <v>196515521</v>
      </c>
      <c r="I275" s="201">
        <v>5.2</v>
      </c>
      <c r="J275" s="202" t="s">
        <v>276</v>
      </c>
    </row>
    <row r="276" spans="1:10" ht="14.25" customHeight="1">
      <c r="A276" s="203"/>
      <c r="B276" s="206">
        <v>61</v>
      </c>
      <c r="C276" s="264" t="s">
        <v>163</v>
      </c>
      <c r="D276" s="206" t="s">
        <v>138</v>
      </c>
      <c r="E276" s="200">
        <v>515808158</v>
      </c>
      <c r="F276" s="200">
        <v>43057753</v>
      </c>
      <c r="G276" s="200">
        <f>277589667+F276</f>
        <v>320647420</v>
      </c>
      <c r="H276" s="200">
        <f t="shared" si="4"/>
        <v>195160738</v>
      </c>
      <c r="I276" s="201">
        <v>5</v>
      </c>
      <c r="J276" s="202" t="s">
        <v>277</v>
      </c>
    </row>
    <row r="277" spans="1:10" ht="14.25" customHeight="1">
      <c r="A277" s="203"/>
      <c r="B277" s="204">
        <v>62</v>
      </c>
      <c r="C277" s="264" t="s">
        <v>163</v>
      </c>
      <c r="D277" s="206" t="s">
        <v>138</v>
      </c>
      <c r="E277" s="200">
        <v>528495314</v>
      </c>
      <c r="F277" s="200">
        <v>39816034</v>
      </c>
      <c r="G277" s="200">
        <f>258290837+F277</f>
        <v>298106871</v>
      </c>
      <c r="H277" s="200">
        <f t="shared" si="4"/>
        <v>230388443</v>
      </c>
      <c r="I277" s="201">
        <v>4.8499999999999996</v>
      </c>
      <c r="J277" s="202" t="s">
        <v>648</v>
      </c>
    </row>
    <row r="278" spans="1:10" ht="14.25" customHeight="1">
      <c r="A278" s="203"/>
      <c r="B278" s="206">
        <v>63</v>
      </c>
      <c r="C278" s="264" t="s">
        <v>163</v>
      </c>
      <c r="D278" s="206" t="s">
        <v>289</v>
      </c>
      <c r="E278" s="200">
        <v>459296210</v>
      </c>
      <c r="F278" s="200">
        <v>33033429</v>
      </c>
      <c r="G278" s="200">
        <f>209479447+F278</f>
        <v>242512876</v>
      </c>
      <c r="H278" s="200">
        <f t="shared" si="4"/>
        <v>216783334</v>
      </c>
      <c r="I278" s="201">
        <v>5.4</v>
      </c>
      <c r="J278" s="202" t="s">
        <v>283</v>
      </c>
    </row>
    <row r="279" spans="1:10" ht="14.25" customHeight="1">
      <c r="A279" s="203"/>
      <c r="B279" s="204" t="s">
        <v>316</v>
      </c>
      <c r="C279" s="264" t="s">
        <v>163</v>
      </c>
      <c r="D279" s="204" t="s">
        <v>289</v>
      </c>
      <c r="E279" s="200">
        <v>1007893782</v>
      </c>
      <c r="F279" s="200">
        <v>0</v>
      </c>
      <c r="G279" s="200">
        <v>1007893782</v>
      </c>
      <c r="H279" s="200">
        <f t="shared" si="4"/>
        <v>0</v>
      </c>
      <c r="I279" s="201">
        <v>6.6</v>
      </c>
      <c r="J279" s="202" t="s">
        <v>642</v>
      </c>
    </row>
    <row r="280" spans="1:10" ht="14.25" customHeight="1">
      <c r="A280" s="203"/>
      <c r="B280" s="204">
        <v>18</v>
      </c>
      <c r="C280" s="264" t="s">
        <v>189</v>
      </c>
      <c r="D280" s="204" t="s">
        <v>351</v>
      </c>
      <c r="E280" s="200">
        <v>447400000</v>
      </c>
      <c r="F280" s="200">
        <v>0</v>
      </c>
      <c r="G280" s="200">
        <v>447400000</v>
      </c>
      <c r="H280" s="200">
        <f t="shared" si="4"/>
        <v>0</v>
      </c>
      <c r="I280" s="201">
        <v>2.5499999999999998</v>
      </c>
      <c r="J280" s="202" t="s">
        <v>66</v>
      </c>
    </row>
    <row r="281" spans="1:10" ht="14.25" customHeight="1">
      <c r="A281" s="203"/>
      <c r="B281" s="204">
        <v>19</v>
      </c>
      <c r="C281" s="264" t="s">
        <v>495</v>
      </c>
      <c r="D281" s="204" t="s">
        <v>67</v>
      </c>
      <c r="E281" s="200">
        <v>99300000</v>
      </c>
      <c r="F281" s="200">
        <v>0</v>
      </c>
      <c r="G281" s="200">
        <v>99300000</v>
      </c>
      <c r="H281" s="200">
        <f t="shared" si="4"/>
        <v>0</v>
      </c>
      <c r="I281" s="201">
        <v>2.4</v>
      </c>
      <c r="J281" s="202" t="s">
        <v>69</v>
      </c>
    </row>
    <row r="282" spans="1:10" ht="14.25" customHeight="1">
      <c r="A282" s="203"/>
      <c r="B282" s="204">
        <v>19</v>
      </c>
      <c r="C282" s="264" t="s">
        <v>189</v>
      </c>
      <c r="D282" s="204" t="s">
        <v>350</v>
      </c>
      <c r="E282" s="200">
        <v>385700000</v>
      </c>
      <c r="F282" s="200">
        <v>0</v>
      </c>
      <c r="G282" s="200">
        <v>385700000</v>
      </c>
      <c r="H282" s="200">
        <f t="shared" si="4"/>
        <v>0</v>
      </c>
      <c r="I282" s="201">
        <v>2.4</v>
      </c>
      <c r="J282" s="202" t="s">
        <v>263</v>
      </c>
    </row>
    <row r="283" spans="1:10" ht="14.25" customHeight="1">
      <c r="A283" s="203"/>
      <c r="B283" s="204">
        <v>19</v>
      </c>
      <c r="C283" s="264" t="s">
        <v>495</v>
      </c>
      <c r="D283" s="204" t="s">
        <v>67</v>
      </c>
      <c r="E283" s="200">
        <v>355900000</v>
      </c>
      <c r="F283" s="200">
        <v>0</v>
      </c>
      <c r="G283" s="200">
        <v>355900000</v>
      </c>
      <c r="H283" s="200">
        <f t="shared" si="4"/>
        <v>0</v>
      </c>
      <c r="I283" s="201">
        <v>2.4</v>
      </c>
      <c r="J283" s="202" t="s">
        <v>66</v>
      </c>
    </row>
    <row r="284" spans="1:10" ht="14.25" customHeight="1">
      <c r="A284" s="203"/>
      <c r="B284" s="204">
        <v>19</v>
      </c>
      <c r="C284" s="264" t="s">
        <v>495</v>
      </c>
      <c r="D284" s="204" t="s">
        <v>67</v>
      </c>
      <c r="E284" s="200">
        <v>218100000</v>
      </c>
      <c r="F284" s="200">
        <v>0</v>
      </c>
      <c r="G284" s="200">
        <f>218100000+F284</f>
        <v>218100000</v>
      </c>
      <c r="H284" s="200">
        <f t="shared" si="4"/>
        <v>0</v>
      </c>
      <c r="I284" s="201">
        <v>2.4</v>
      </c>
      <c r="J284" s="202" t="s">
        <v>649</v>
      </c>
    </row>
    <row r="285" spans="1:10" ht="14.25" customHeight="1">
      <c r="A285" s="203"/>
      <c r="B285" s="204">
        <v>19</v>
      </c>
      <c r="C285" s="264" t="s">
        <v>495</v>
      </c>
      <c r="D285" s="204" t="s">
        <v>67</v>
      </c>
      <c r="E285" s="200">
        <v>61300000</v>
      </c>
      <c r="F285" s="200">
        <v>0</v>
      </c>
      <c r="G285" s="200">
        <f>61300000+F285</f>
        <v>61300000</v>
      </c>
      <c r="H285" s="200">
        <f t="shared" si="4"/>
        <v>0</v>
      </c>
      <c r="I285" s="201">
        <v>2.4</v>
      </c>
      <c r="J285" s="202" t="s">
        <v>649</v>
      </c>
    </row>
    <row r="286" spans="1:10" ht="14.25" customHeight="1">
      <c r="A286" s="203"/>
      <c r="B286" s="204">
        <v>19</v>
      </c>
      <c r="C286" s="264" t="s">
        <v>495</v>
      </c>
      <c r="D286" s="204" t="s">
        <v>67</v>
      </c>
      <c r="E286" s="200">
        <v>285700000</v>
      </c>
      <c r="F286" s="200">
        <v>0</v>
      </c>
      <c r="G286" s="200">
        <f>285700000+F286</f>
        <v>285700000</v>
      </c>
      <c r="H286" s="200">
        <f t="shared" si="4"/>
        <v>0</v>
      </c>
      <c r="I286" s="201">
        <v>2.4</v>
      </c>
      <c r="J286" s="202" t="s">
        <v>649</v>
      </c>
    </row>
    <row r="287" spans="1:10" ht="14.25" customHeight="1" thickBot="1">
      <c r="A287" s="239" t="s">
        <v>376</v>
      </c>
      <c r="B287" s="240" t="s">
        <v>173</v>
      </c>
      <c r="C287" s="241" t="s">
        <v>173</v>
      </c>
      <c r="D287" s="242" t="s">
        <v>173</v>
      </c>
      <c r="E287" s="246">
        <f>SUM(E196:E226,E231:E286)</f>
        <v>86567436000</v>
      </c>
      <c r="F287" s="246">
        <f>SUM(F196:F226,F231:F286)</f>
        <v>7558445915</v>
      </c>
      <c r="G287" s="246">
        <f>SUM(G196:G226,G231:G286)</f>
        <v>73646255678</v>
      </c>
      <c r="H287" s="246">
        <f>SUM(H196:H226,H231:H286)</f>
        <v>12921180322</v>
      </c>
      <c r="I287" s="243"/>
      <c r="J287" s="244" t="s">
        <v>173</v>
      </c>
    </row>
    <row r="288" spans="1:10" ht="9.75" customHeight="1" thickBot="1">
      <c r="A288" s="252"/>
      <c r="B288" s="265"/>
      <c r="C288" s="266"/>
      <c r="D288" s="265"/>
      <c r="E288" s="253"/>
      <c r="F288" s="253"/>
      <c r="G288" s="253"/>
      <c r="H288" s="253"/>
      <c r="I288" s="255"/>
      <c r="J288" s="251"/>
    </row>
    <row r="289" spans="1:11">
      <c r="A289" s="479" t="s">
        <v>26</v>
      </c>
      <c r="B289" s="481" t="s">
        <v>311</v>
      </c>
      <c r="C289" s="483" t="s">
        <v>27</v>
      </c>
      <c r="D289" s="481" t="s">
        <v>312</v>
      </c>
      <c r="E289" s="485" t="s">
        <v>28</v>
      </c>
      <c r="F289" s="487" t="s">
        <v>29</v>
      </c>
      <c r="G289" s="493"/>
      <c r="H289" s="489" t="s">
        <v>174</v>
      </c>
      <c r="I289" s="491" t="s">
        <v>30</v>
      </c>
      <c r="J289" s="477" t="s">
        <v>313</v>
      </c>
      <c r="K289" s="267"/>
    </row>
    <row r="290" spans="1:11">
      <c r="A290" s="480"/>
      <c r="B290" s="482"/>
      <c r="C290" s="484"/>
      <c r="D290" s="482"/>
      <c r="E290" s="486"/>
      <c r="F290" s="207" t="s">
        <v>176</v>
      </c>
      <c r="G290" s="207" t="s">
        <v>305</v>
      </c>
      <c r="H290" s="490"/>
      <c r="I290" s="492"/>
      <c r="J290" s="478"/>
    </row>
    <row r="291" spans="1:11">
      <c r="A291" s="209"/>
      <c r="B291" s="210"/>
      <c r="C291" s="210"/>
      <c r="D291" s="211" t="s">
        <v>177</v>
      </c>
      <c r="E291" s="212" t="s">
        <v>178</v>
      </c>
      <c r="F291" s="212" t="s">
        <v>172</v>
      </c>
      <c r="G291" s="212" t="s">
        <v>178</v>
      </c>
      <c r="H291" s="212" t="s">
        <v>178</v>
      </c>
      <c r="I291" s="213" t="s">
        <v>31</v>
      </c>
      <c r="J291" s="214" t="s">
        <v>175</v>
      </c>
    </row>
    <row r="292" spans="1:11">
      <c r="A292" s="215" t="s">
        <v>290</v>
      </c>
      <c r="B292" s="206" t="s">
        <v>551</v>
      </c>
      <c r="C292" s="263" t="s">
        <v>180</v>
      </c>
      <c r="D292" s="206" t="s">
        <v>552</v>
      </c>
      <c r="E292" s="200">
        <v>500000000</v>
      </c>
      <c r="F292" s="200">
        <v>0</v>
      </c>
      <c r="G292" s="200">
        <v>500000000</v>
      </c>
      <c r="H292" s="200">
        <f t="shared" ref="H292:H344" si="5">E292-G292</f>
        <v>0</v>
      </c>
      <c r="I292" s="201">
        <v>8.5</v>
      </c>
      <c r="J292" s="202" t="s">
        <v>194</v>
      </c>
    </row>
    <row r="293" spans="1:11">
      <c r="A293" s="203" t="s">
        <v>182</v>
      </c>
      <c r="B293" s="204" t="s">
        <v>245</v>
      </c>
      <c r="C293" s="263" t="s">
        <v>180</v>
      </c>
      <c r="D293" s="206" t="s">
        <v>553</v>
      </c>
      <c r="E293" s="200">
        <v>400000000</v>
      </c>
      <c r="F293" s="200">
        <v>0</v>
      </c>
      <c r="G293" s="200">
        <v>400000000</v>
      </c>
      <c r="H293" s="200">
        <f t="shared" si="5"/>
        <v>0</v>
      </c>
      <c r="I293" s="201">
        <v>9.1</v>
      </c>
      <c r="J293" s="202" t="s">
        <v>198</v>
      </c>
    </row>
    <row r="294" spans="1:11" ht="14.25" customHeight="1">
      <c r="A294" s="215"/>
      <c r="B294" s="204">
        <v>49</v>
      </c>
      <c r="C294" s="263" t="s">
        <v>180</v>
      </c>
      <c r="D294" s="206" t="s">
        <v>440</v>
      </c>
      <c r="E294" s="200">
        <v>800000000</v>
      </c>
      <c r="F294" s="200">
        <v>0</v>
      </c>
      <c r="G294" s="200">
        <v>800000000</v>
      </c>
      <c r="H294" s="200">
        <f t="shared" si="5"/>
        <v>0</v>
      </c>
      <c r="I294" s="201">
        <v>9.1</v>
      </c>
      <c r="J294" s="202" t="s">
        <v>201</v>
      </c>
    </row>
    <row r="295" spans="1:11" ht="14.25" customHeight="1">
      <c r="A295" s="203"/>
      <c r="B295" s="204" t="s">
        <v>245</v>
      </c>
      <c r="C295" s="263" t="s">
        <v>180</v>
      </c>
      <c r="D295" s="206" t="s">
        <v>442</v>
      </c>
      <c r="E295" s="200">
        <v>200000000</v>
      </c>
      <c r="F295" s="200">
        <v>0</v>
      </c>
      <c r="G295" s="200">
        <v>200000000</v>
      </c>
      <c r="H295" s="200">
        <f t="shared" si="5"/>
        <v>0</v>
      </c>
      <c r="I295" s="201">
        <v>8.6</v>
      </c>
      <c r="J295" s="202" t="s">
        <v>201</v>
      </c>
    </row>
    <row r="296" spans="1:11" ht="14.25" customHeight="1">
      <c r="A296" s="203"/>
      <c r="B296" s="204" t="s">
        <v>248</v>
      </c>
      <c r="C296" s="205" t="s">
        <v>189</v>
      </c>
      <c r="D296" s="206" t="s">
        <v>554</v>
      </c>
      <c r="E296" s="200">
        <v>300000000</v>
      </c>
      <c r="F296" s="200">
        <v>0</v>
      </c>
      <c r="G296" s="200">
        <v>300000000</v>
      </c>
      <c r="H296" s="200">
        <f t="shared" si="5"/>
        <v>0</v>
      </c>
      <c r="I296" s="201">
        <v>7.7</v>
      </c>
      <c r="J296" s="202" t="s">
        <v>246</v>
      </c>
    </row>
    <row r="297" spans="1:11" ht="14.25" customHeight="1">
      <c r="A297" s="203"/>
      <c r="B297" s="204" t="s">
        <v>248</v>
      </c>
      <c r="C297" s="263" t="s">
        <v>180</v>
      </c>
      <c r="D297" s="206" t="s">
        <v>555</v>
      </c>
      <c r="E297" s="200">
        <v>500000000</v>
      </c>
      <c r="F297" s="200">
        <v>0</v>
      </c>
      <c r="G297" s="200">
        <v>500000000</v>
      </c>
      <c r="H297" s="200">
        <f t="shared" si="5"/>
        <v>0</v>
      </c>
      <c r="I297" s="201">
        <v>8.6</v>
      </c>
      <c r="J297" s="202" t="s">
        <v>201</v>
      </c>
    </row>
    <row r="298" spans="1:11" ht="14.25" customHeight="1">
      <c r="A298" s="203"/>
      <c r="B298" s="204" t="s">
        <v>248</v>
      </c>
      <c r="C298" s="263" t="s">
        <v>180</v>
      </c>
      <c r="D298" s="206" t="s">
        <v>556</v>
      </c>
      <c r="E298" s="200">
        <v>1000000000</v>
      </c>
      <c r="F298" s="200">
        <v>0</v>
      </c>
      <c r="G298" s="200">
        <v>1000000000</v>
      </c>
      <c r="H298" s="200">
        <f t="shared" si="5"/>
        <v>0</v>
      </c>
      <c r="I298" s="201">
        <v>8.6</v>
      </c>
      <c r="J298" s="202" t="s">
        <v>204</v>
      </c>
    </row>
    <row r="299" spans="1:11" ht="14.25" customHeight="1">
      <c r="A299" s="215"/>
      <c r="B299" s="204" t="s">
        <v>250</v>
      </c>
      <c r="C299" s="205" t="s">
        <v>189</v>
      </c>
      <c r="D299" s="206" t="s">
        <v>557</v>
      </c>
      <c r="E299" s="200">
        <v>1000000000</v>
      </c>
      <c r="F299" s="200">
        <v>0</v>
      </c>
      <c r="G299" s="200">
        <v>1000000000</v>
      </c>
      <c r="H299" s="200">
        <f t="shared" si="5"/>
        <v>0</v>
      </c>
      <c r="I299" s="201">
        <v>7.7</v>
      </c>
      <c r="J299" s="202" t="s">
        <v>244</v>
      </c>
    </row>
    <row r="300" spans="1:11" ht="14.25" customHeight="1">
      <c r="A300" s="215"/>
      <c r="B300" s="206" t="s">
        <v>291</v>
      </c>
      <c r="C300" s="205" t="s">
        <v>189</v>
      </c>
      <c r="D300" s="206" t="s">
        <v>558</v>
      </c>
      <c r="E300" s="200">
        <v>1100000000</v>
      </c>
      <c r="F300" s="200">
        <v>0</v>
      </c>
      <c r="G300" s="200">
        <v>1100000000</v>
      </c>
      <c r="H300" s="200">
        <f t="shared" si="5"/>
        <v>0</v>
      </c>
      <c r="I300" s="201">
        <v>6.7</v>
      </c>
      <c r="J300" s="202" t="s">
        <v>247</v>
      </c>
    </row>
    <row r="301" spans="1:11" ht="14.25" customHeight="1">
      <c r="A301" s="215"/>
      <c r="B301" s="204">
        <v>52</v>
      </c>
      <c r="C301" s="205" t="s">
        <v>189</v>
      </c>
      <c r="D301" s="204" t="s">
        <v>559</v>
      </c>
      <c r="E301" s="200">
        <v>1000000000</v>
      </c>
      <c r="F301" s="200">
        <v>0</v>
      </c>
      <c r="G301" s="200">
        <v>1000000000</v>
      </c>
      <c r="H301" s="200">
        <f t="shared" si="5"/>
        <v>0</v>
      </c>
      <c r="I301" s="201">
        <v>6.25</v>
      </c>
      <c r="J301" s="202" t="s">
        <v>247</v>
      </c>
    </row>
    <row r="302" spans="1:11" ht="14.25" customHeight="1">
      <c r="A302" s="203"/>
      <c r="B302" s="204" t="s">
        <v>252</v>
      </c>
      <c r="C302" s="205" t="s">
        <v>189</v>
      </c>
      <c r="D302" s="206" t="s">
        <v>560</v>
      </c>
      <c r="E302" s="200">
        <v>1207000000</v>
      </c>
      <c r="F302" s="200">
        <v>0</v>
      </c>
      <c r="G302" s="200">
        <v>1207000000</v>
      </c>
      <c r="H302" s="200">
        <f t="shared" si="5"/>
        <v>0</v>
      </c>
      <c r="I302" s="201">
        <v>6.25</v>
      </c>
      <c r="J302" s="202" t="s">
        <v>249</v>
      </c>
    </row>
    <row r="303" spans="1:11" ht="14.25" customHeight="1">
      <c r="A303" s="203"/>
      <c r="B303" s="204" t="s">
        <v>254</v>
      </c>
      <c r="C303" s="205" t="s">
        <v>189</v>
      </c>
      <c r="D303" s="206" t="s">
        <v>458</v>
      </c>
      <c r="E303" s="200">
        <v>1000000000</v>
      </c>
      <c r="F303" s="200">
        <v>0</v>
      </c>
      <c r="G303" s="200">
        <v>1000000000</v>
      </c>
      <c r="H303" s="200">
        <f t="shared" si="5"/>
        <v>0</v>
      </c>
      <c r="I303" s="201">
        <v>6.25</v>
      </c>
      <c r="J303" s="202" t="s">
        <v>249</v>
      </c>
    </row>
    <row r="304" spans="1:11" ht="14.25" customHeight="1">
      <c r="A304" s="203"/>
      <c r="B304" s="204" t="s">
        <v>252</v>
      </c>
      <c r="C304" s="205" t="s">
        <v>180</v>
      </c>
      <c r="D304" s="206" t="s">
        <v>561</v>
      </c>
      <c r="E304" s="200">
        <v>553000000</v>
      </c>
      <c r="F304" s="200">
        <v>0</v>
      </c>
      <c r="G304" s="200">
        <v>553000000</v>
      </c>
      <c r="H304" s="200">
        <f t="shared" si="5"/>
        <v>0</v>
      </c>
      <c r="I304" s="201">
        <v>6.6</v>
      </c>
      <c r="J304" s="202" t="s">
        <v>214</v>
      </c>
    </row>
    <row r="305" spans="1:10" ht="14.25" customHeight="1">
      <c r="A305" s="203"/>
      <c r="B305" s="204" t="s">
        <v>254</v>
      </c>
      <c r="C305" s="205" t="s">
        <v>189</v>
      </c>
      <c r="D305" s="206" t="s">
        <v>562</v>
      </c>
      <c r="E305" s="200">
        <v>1000000000</v>
      </c>
      <c r="F305" s="200">
        <v>0</v>
      </c>
      <c r="G305" s="200">
        <v>1000000000</v>
      </c>
      <c r="H305" s="200">
        <f t="shared" si="5"/>
        <v>0</v>
      </c>
      <c r="I305" s="201">
        <v>7.25</v>
      </c>
      <c r="J305" s="202" t="s">
        <v>251</v>
      </c>
    </row>
    <row r="306" spans="1:10" ht="14.25" customHeight="1">
      <c r="A306" s="203"/>
      <c r="B306" s="204" t="s">
        <v>254</v>
      </c>
      <c r="C306" s="205" t="s">
        <v>189</v>
      </c>
      <c r="D306" s="206" t="s">
        <v>490</v>
      </c>
      <c r="E306" s="200">
        <v>977000000</v>
      </c>
      <c r="F306" s="200">
        <v>0</v>
      </c>
      <c r="G306" s="200">
        <v>977000000</v>
      </c>
      <c r="H306" s="200">
        <f t="shared" si="5"/>
        <v>0</v>
      </c>
      <c r="I306" s="201">
        <v>7.25</v>
      </c>
      <c r="J306" s="202" t="s">
        <v>251</v>
      </c>
    </row>
    <row r="307" spans="1:10" ht="14.25" customHeight="1">
      <c r="A307" s="203"/>
      <c r="B307" s="204" t="s">
        <v>257</v>
      </c>
      <c r="C307" s="205" t="s">
        <v>189</v>
      </c>
      <c r="D307" s="206" t="s">
        <v>463</v>
      </c>
      <c r="E307" s="200">
        <v>2600000000</v>
      </c>
      <c r="F307" s="200">
        <v>0</v>
      </c>
      <c r="G307" s="200">
        <v>2600000000</v>
      </c>
      <c r="H307" s="200">
        <f t="shared" si="5"/>
        <v>0</v>
      </c>
      <c r="I307" s="201">
        <v>7.25</v>
      </c>
      <c r="J307" s="202" t="s">
        <v>251</v>
      </c>
    </row>
    <row r="308" spans="1:10" ht="14.25" customHeight="1">
      <c r="A308" s="203"/>
      <c r="B308" s="204" t="s">
        <v>257</v>
      </c>
      <c r="C308" s="205" t="s">
        <v>189</v>
      </c>
      <c r="D308" s="206" t="s">
        <v>470</v>
      </c>
      <c r="E308" s="200">
        <v>1435000000</v>
      </c>
      <c r="F308" s="200">
        <v>0</v>
      </c>
      <c r="G308" s="200">
        <v>1435000000</v>
      </c>
      <c r="H308" s="200">
        <f t="shared" si="5"/>
        <v>0</v>
      </c>
      <c r="I308" s="201">
        <v>8.1</v>
      </c>
      <c r="J308" s="202" t="s">
        <v>465</v>
      </c>
    </row>
    <row r="309" spans="1:10" ht="14.25" customHeight="1">
      <c r="A309" s="203"/>
      <c r="B309" s="204" t="s">
        <v>258</v>
      </c>
      <c r="C309" s="205" t="s">
        <v>189</v>
      </c>
      <c r="D309" s="206" t="s">
        <v>491</v>
      </c>
      <c r="E309" s="200">
        <v>3380000000</v>
      </c>
      <c r="F309" s="200">
        <v>0</v>
      </c>
      <c r="G309" s="200">
        <v>3380000000</v>
      </c>
      <c r="H309" s="200">
        <f t="shared" si="5"/>
        <v>0</v>
      </c>
      <c r="I309" s="201">
        <v>8.1</v>
      </c>
      <c r="J309" s="202" t="s">
        <v>465</v>
      </c>
    </row>
    <row r="310" spans="1:10" ht="14.25" customHeight="1">
      <c r="A310" s="203"/>
      <c r="B310" s="204" t="s">
        <v>258</v>
      </c>
      <c r="C310" s="205" t="s">
        <v>189</v>
      </c>
      <c r="D310" s="206" t="s">
        <v>473</v>
      </c>
      <c r="E310" s="200">
        <v>1605000000</v>
      </c>
      <c r="F310" s="200">
        <v>0</v>
      </c>
      <c r="G310" s="200">
        <v>1605000000</v>
      </c>
      <c r="H310" s="200">
        <f t="shared" si="5"/>
        <v>0</v>
      </c>
      <c r="I310" s="201">
        <v>7.6</v>
      </c>
      <c r="J310" s="202" t="s">
        <v>563</v>
      </c>
    </row>
    <row r="311" spans="1:10" ht="14.25" customHeight="1">
      <c r="A311" s="203"/>
      <c r="B311" s="204" t="s">
        <v>259</v>
      </c>
      <c r="C311" s="205" t="s">
        <v>189</v>
      </c>
      <c r="D311" s="206" t="s">
        <v>475</v>
      </c>
      <c r="E311" s="200">
        <v>2800000000</v>
      </c>
      <c r="F311" s="200">
        <v>0</v>
      </c>
      <c r="G311" s="200">
        <v>2800000000</v>
      </c>
      <c r="H311" s="200">
        <f t="shared" si="5"/>
        <v>0</v>
      </c>
      <c r="I311" s="201">
        <v>7.4</v>
      </c>
      <c r="J311" s="202" t="s">
        <v>65</v>
      </c>
    </row>
    <row r="312" spans="1:10" ht="14.25" customHeight="1">
      <c r="A312" s="203"/>
      <c r="B312" s="204" t="s">
        <v>259</v>
      </c>
      <c r="C312" s="205" t="s">
        <v>189</v>
      </c>
      <c r="D312" s="206" t="s">
        <v>564</v>
      </c>
      <c r="E312" s="200">
        <v>1450000000</v>
      </c>
      <c r="F312" s="200">
        <v>0</v>
      </c>
      <c r="G312" s="200">
        <v>1450000000</v>
      </c>
      <c r="H312" s="200">
        <f t="shared" si="5"/>
        <v>0</v>
      </c>
      <c r="I312" s="201">
        <v>7.4</v>
      </c>
      <c r="J312" s="202" t="s">
        <v>65</v>
      </c>
    </row>
    <row r="313" spans="1:10" ht="14.25" customHeight="1">
      <c r="A313" s="203"/>
      <c r="B313" s="204" t="s">
        <v>261</v>
      </c>
      <c r="C313" s="205" t="s">
        <v>189</v>
      </c>
      <c r="D313" s="206" t="s">
        <v>565</v>
      </c>
      <c r="E313" s="200">
        <v>3480000000</v>
      </c>
      <c r="F313" s="200">
        <v>0</v>
      </c>
      <c r="G313" s="200">
        <v>3480000000</v>
      </c>
      <c r="H313" s="200">
        <f t="shared" si="5"/>
        <v>0</v>
      </c>
      <c r="I313" s="201">
        <v>7.4</v>
      </c>
      <c r="J313" s="202" t="s">
        <v>260</v>
      </c>
    </row>
    <row r="314" spans="1:10" ht="14.25" customHeight="1">
      <c r="A314" s="215"/>
      <c r="B314" s="204">
        <v>57</v>
      </c>
      <c r="C314" s="205" t="s">
        <v>189</v>
      </c>
      <c r="D314" s="206" t="s">
        <v>566</v>
      </c>
      <c r="E314" s="200">
        <v>996000000</v>
      </c>
      <c r="F314" s="200">
        <v>0</v>
      </c>
      <c r="G314" s="200">
        <v>996000000</v>
      </c>
      <c r="H314" s="200">
        <f t="shared" si="5"/>
        <v>0</v>
      </c>
      <c r="I314" s="201">
        <v>7.4</v>
      </c>
      <c r="J314" s="202" t="s">
        <v>69</v>
      </c>
    </row>
    <row r="315" spans="1:10" ht="14.25" customHeight="1">
      <c r="A315" s="203"/>
      <c r="B315" s="204" t="s">
        <v>262</v>
      </c>
      <c r="C315" s="205" t="s">
        <v>189</v>
      </c>
      <c r="D315" s="206" t="s">
        <v>503</v>
      </c>
      <c r="E315" s="200">
        <v>1800000000</v>
      </c>
      <c r="F315" s="200">
        <v>0</v>
      </c>
      <c r="G315" s="200">
        <v>1800000000</v>
      </c>
      <c r="H315" s="200">
        <f t="shared" si="5"/>
        <v>0</v>
      </c>
      <c r="I315" s="201">
        <v>7.2</v>
      </c>
      <c r="J315" s="202" t="s">
        <v>66</v>
      </c>
    </row>
    <row r="316" spans="1:10" ht="14.25" customHeight="1">
      <c r="A316" s="203"/>
      <c r="B316" s="204" t="s">
        <v>262</v>
      </c>
      <c r="C316" s="205" t="s">
        <v>189</v>
      </c>
      <c r="D316" s="206" t="s">
        <v>0</v>
      </c>
      <c r="E316" s="200">
        <v>1683000000</v>
      </c>
      <c r="F316" s="200">
        <v>0</v>
      </c>
      <c r="G316" s="200">
        <v>1683000000</v>
      </c>
      <c r="H316" s="200">
        <f t="shared" si="5"/>
        <v>0</v>
      </c>
      <c r="I316" s="201">
        <v>7.2</v>
      </c>
      <c r="J316" s="202" t="s">
        <v>264</v>
      </c>
    </row>
    <row r="317" spans="1:10" ht="14.25" customHeight="1">
      <c r="A317" s="203"/>
      <c r="B317" s="204" t="s">
        <v>265</v>
      </c>
      <c r="C317" s="205" t="s">
        <v>189</v>
      </c>
      <c r="D317" s="206" t="s">
        <v>1</v>
      </c>
      <c r="E317" s="200">
        <v>100000000</v>
      </c>
      <c r="F317" s="200">
        <v>0</v>
      </c>
      <c r="G317" s="200">
        <v>100000000</v>
      </c>
      <c r="H317" s="200">
        <f t="shared" si="5"/>
        <v>0</v>
      </c>
      <c r="I317" s="201">
        <v>7.2</v>
      </c>
      <c r="J317" s="202" t="s">
        <v>264</v>
      </c>
    </row>
    <row r="318" spans="1:10" ht="14.25" customHeight="1">
      <c r="A318" s="203"/>
      <c r="B318" s="204" t="s">
        <v>265</v>
      </c>
      <c r="C318" s="205" t="s">
        <v>266</v>
      </c>
      <c r="D318" s="206" t="s">
        <v>508</v>
      </c>
      <c r="E318" s="200">
        <v>1000000000</v>
      </c>
      <c r="F318" s="200">
        <v>0</v>
      </c>
      <c r="G318" s="200">
        <v>1000000000</v>
      </c>
      <c r="H318" s="200">
        <f t="shared" si="5"/>
        <v>0</v>
      </c>
      <c r="I318" s="201">
        <v>6.9</v>
      </c>
      <c r="J318" s="202" t="s">
        <v>237</v>
      </c>
    </row>
    <row r="319" spans="1:10" ht="14.25" customHeight="1">
      <c r="A319" s="203"/>
      <c r="B319" s="204" t="s">
        <v>265</v>
      </c>
      <c r="C319" s="205" t="s">
        <v>189</v>
      </c>
      <c r="D319" s="206" t="s">
        <v>509</v>
      </c>
      <c r="E319" s="200">
        <v>2077000000</v>
      </c>
      <c r="F319" s="200">
        <v>0</v>
      </c>
      <c r="G319" s="200">
        <v>2077000000</v>
      </c>
      <c r="H319" s="200">
        <f t="shared" si="5"/>
        <v>0</v>
      </c>
      <c r="I319" s="201">
        <v>7.2</v>
      </c>
      <c r="J319" s="202" t="s">
        <v>264</v>
      </c>
    </row>
    <row r="320" spans="1:10" ht="14.25" customHeight="1">
      <c r="A320" s="203"/>
      <c r="B320" s="204" t="s">
        <v>262</v>
      </c>
      <c r="C320" s="263" t="s">
        <v>180</v>
      </c>
      <c r="D320" s="206" t="s">
        <v>2</v>
      </c>
      <c r="E320" s="200">
        <v>940000000</v>
      </c>
      <c r="F320" s="200">
        <v>0</v>
      </c>
      <c r="G320" s="200">
        <v>940000000</v>
      </c>
      <c r="H320" s="200">
        <f t="shared" si="5"/>
        <v>0</v>
      </c>
      <c r="I320" s="201">
        <v>6.9</v>
      </c>
      <c r="J320" s="202" t="s">
        <v>237</v>
      </c>
    </row>
    <row r="321" spans="1:10" ht="14.25" customHeight="1">
      <c r="A321" s="203"/>
      <c r="B321" s="204" t="s">
        <v>265</v>
      </c>
      <c r="C321" s="205" t="s">
        <v>189</v>
      </c>
      <c r="D321" s="206" t="s">
        <v>3</v>
      </c>
      <c r="E321" s="200">
        <v>445000000</v>
      </c>
      <c r="F321" s="200">
        <v>0</v>
      </c>
      <c r="G321" s="200">
        <v>445000000</v>
      </c>
      <c r="H321" s="200">
        <f t="shared" si="5"/>
        <v>0</v>
      </c>
      <c r="I321" s="201">
        <v>6.9</v>
      </c>
      <c r="J321" s="202" t="s">
        <v>267</v>
      </c>
    </row>
    <row r="322" spans="1:10" ht="14.25" customHeight="1">
      <c r="A322" s="203"/>
      <c r="B322" s="204" t="s">
        <v>265</v>
      </c>
      <c r="C322" s="205" t="s">
        <v>185</v>
      </c>
      <c r="D322" s="206" t="s">
        <v>4</v>
      </c>
      <c r="E322" s="200">
        <v>488000000</v>
      </c>
      <c r="F322" s="200">
        <v>0</v>
      </c>
      <c r="G322" s="200">
        <v>488000000</v>
      </c>
      <c r="H322" s="200">
        <f t="shared" si="5"/>
        <v>0</v>
      </c>
      <c r="I322" s="201">
        <v>6.8</v>
      </c>
      <c r="J322" s="202" t="s">
        <v>271</v>
      </c>
    </row>
    <row r="323" spans="1:10" ht="14.25" customHeight="1">
      <c r="A323" s="203"/>
      <c r="B323" s="204" t="s">
        <v>268</v>
      </c>
      <c r="C323" s="205" t="s">
        <v>266</v>
      </c>
      <c r="D323" s="206" t="s">
        <v>5</v>
      </c>
      <c r="E323" s="200">
        <v>1000000000</v>
      </c>
      <c r="F323" s="200">
        <v>0</v>
      </c>
      <c r="G323" s="200">
        <v>1000000000</v>
      </c>
      <c r="H323" s="200">
        <f t="shared" si="5"/>
        <v>0</v>
      </c>
      <c r="I323" s="201">
        <v>5.8</v>
      </c>
      <c r="J323" s="202" t="s">
        <v>219</v>
      </c>
    </row>
    <row r="324" spans="1:10" ht="14.25" customHeight="1">
      <c r="A324" s="203"/>
      <c r="B324" s="204" t="s">
        <v>268</v>
      </c>
      <c r="C324" s="205" t="s">
        <v>189</v>
      </c>
      <c r="D324" s="206" t="s">
        <v>512</v>
      </c>
      <c r="E324" s="200">
        <v>655000000</v>
      </c>
      <c r="F324" s="200">
        <v>0</v>
      </c>
      <c r="G324" s="200">
        <v>655000000</v>
      </c>
      <c r="H324" s="200">
        <f t="shared" si="5"/>
        <v>0</v>
      </c>
      <c r="I324" s="201">
        <v>6.4</v>
      </c>
      <c r="J324" s="202" t="s">
        <v>267</v>
      </c>
    </row>
    <row r="325" spans="1:10" ht="14.25" customHeight="1">
      <c r="A325" s="203"/>
      <c r="B325" s="204" t="s">
        <v>268</v>
      </c>
      <c r="C325" s="205" t="s">
        <v>185</v>
      </c>
      <c r="D325" s="206" t="s">
        <v>6</v>
      </c>
      <c r="E325" s="200">
        <v>1302000000</v>
      </c>
      <c r="F325" s="200">
        <v>0</v>
      </c>
      <c r="G325" s="200">
        <v>1302000000</v>
      </c>
      <c r="H325" s="200">
        <f t="shared" si="5"/>
        <v>0</v>
      </c>
      <c r="I325" s="201">
        <v>6.05</v>
      </c>
      <c r="J325" s="202" t="s">
        <v>276</v>
      </c>
    </row>
    <row r="326" spans="1:10" ht="14.25" customHeight="1">
      <c r="A326" s="203"/>
      <c r="B326" s="204" t="s">
        <v>268</v>
      </c>
      <c r="C326" s="205" t="s">
        <v>189</v>
      </c>
      <c r="D326" s="206" t="s">
        <v>7</v>
      </c>
      <c r="E326" s="200">
        <v>647000000</v>
      </c>
      <c r="F326" s="200">
        <v>0</v>
      </c>
      <c r="G326" s="200">
        <v>647000000</v>
      </c>
      <c r="H326" s="200">
        <f t="shared" si="5"/>
        <v>0</v>
      </c>
      <c r="I326" s="201">
        <v>6.15</v>
      </c>
      <c r="J326" s="202" t="s">
        <v>269</v>
      </c>
    </row>
    <row r="327" spans="1:10" ht="14.25" customHeight="1">
      <c r="A327" s="215"/>
      <c r="B327" s="206" t="s">
        <v>8</v>
      </c>
      <c r="C327" s="205" t="s">
        <v>189</v>
      </c>
      <c r="D327" s="206" t="s">
        <v>9</v>
      </c>
      <c r="E327" s="200">
        <v>688000000</v>
      </c>
      <c r="F327" s="200">
        <v>98453125</v>
      </c>
      <c r="G327" s="200">
        <f>'25.企業債（24決算）'!G327+'25.企業債（25決算）'!F327</f>
        <v>688000000</v>
      </c>
      <c r="H327" s="200">
        <f t="shared" si="5"/>
        <v>0</v>
      </c>
      <c r="I327" s="201">
        <v>5.4</v>
      </c>
      <c r="J327" s="147" t="s">
        <v>1709</v>
      </c>
    </row>
    <row r="328" spans="1:10" ht="14.25" customHeight="1">
      <c r="A328" s="203"/>
      <c r="B328" s="204" t="s">
        <v>270</v>
      </c>
      <c r="C328" s="205" t="s">
        <v>189</v>
      </c>
      <c r="D328" s="206" t="s">
        <v>10</v>
      </c>
      <c r="E328" s="200">
        <v>320000000</v>
      </c>
      <c r="F328" s="200">
        <v>43250071</v>
      </c>
      <c r="G328" s="200">
        <f>'25.企業債（24決算）'!G328+'25.企業債（25決算）'!F328</f>
        <v>320000000</v>
      </c>
      <c r="H328" s="200">
        <f t="shared" si="5"/>
        <v>0</v>
      </c>
      <c r="I328" s="201">
        <v>4.7</v>
      </c>
      <c r="J328" s="147" t="s">
        <v>1709</v>
      </c>
    </row>
    <row r="329" spans="1:10" ht="14.25" customHeight="1">
      <c r="A329" s="203"/>
      <c r="B329" s="204" t="s">
        <v>270</v>
      </c>
      <c r="C329" s="205" t="s">
        <v>189</v>
      </c>
      <c r="D329" s="206" t="s">
        <v>11</v>
      </c>
      <c r="E329" s="200">
        <v>79000000</v>
      </c>
      <c r="F329" s="200">
        <v>10677360</v>
      </c>
      <c r="G329" s="200">
        <f>'25.企業債（24決算）'!G329+'25.企業債（25決算）'!F329</f>
        <v>79000000</v>
      </c>
      <c r="H329" s="200">
        <f t="shared" si="5"/>
        <v>0</v>
      </c>
      <c r="I329" s="201">
        <v>4.7</v>
      </c>
      <c r="J329" s="147" t="s">
        <v>1709</v>
      </c>
    </row>
    <row r="330" spans="1:10" ht="14.25" customHeight="1">
      <c r="A330" s="203"/>
      <c r="B330" s="204" t="s">
        <v>270</v>
      </c>
      <c r="C330" s="205" t="s">
        <v>185</v>
      </c>
      <c r="D330" s="206" t="s">
        <v>12</v>
      </c>
      <c r="E330" s="200">
        <v>1086000000</v>
      </c>
      <c r="F330" s="200">
        <v>62811099</v>
      </c>
      <c r="G330" s="200">
        <f>'25.企業債（24決算）'!G330+'25.企業債（25決算）'!F330</f>
        <v>838939171</v>
      </c>
      <c r="H330" s="200">
        <f t="shared" si="5"/>
        <v>247060829</v>
      </c>
      <c r="I330" s="201">
        <v>5.2</v>
      </c>
      <c r="J330" s="202" t="s">
        <v>277</v>
      </c>
    </row>
    <row r="331" spans="1:10" ht="14.25" customHeight="1">
      <c r="A331" s="203"/>
      <c r="B331" s="204" t="s">
        <v>272</v>
      </c>
      <c r="C331" s="205" t="s">
        <v>189</v>
      </c>
      <c r="D331" s="206" t="s">
        <v>13</v>
      </c>
      <c r="E331" s="200">
        <v>545000000</v>
      </c>
      <c r="F331" s="200">
        <v>111404853</v>
      </c>
      <c r="G331" s="200">
        <f>'25.企業債（24決算）'!G331+'25.企業債（25決算）'!F331</f>
        <v>545000000</v>
      </c>
      <c r="H331" s="200">
        <f t="shared" si="5"/>
        <v>0</v>
      </c>
      <c r="I331" s="201">
        <v>5.0999999999999996</v>
      </c>
      <c r="J331" s="147" t="s">
        <v>1709</v>
      </c>
    </row>
    <row r="332" spans="1:10" ht="14.25" customHeight="1">
      <c r="A332" s="215"/>
      <c r="B332" s="206" t="s">
        <v>14</v>
      </c>
      <c r="C332" s="205" t="s">
        <v>185</v>
      </c>
      <c r="D332" s="206" t="s">
        <v>15</v>
      </c>
      <c r="E332" s="200">
        <v>545000000</v>
      </c>
      <c r="F332" s="200">
        <v>29800483</v>
      </c>
      <c r="G332" s="200">
        <f>'25.企業債（24決算）'!G332+'25.企業債（25決算）'!F332</f>
        <v>390664781</v>
      </c>
      <c r="H332" s="200">
        <f t="shared" si="5"/>
        <v>154335219</v>
      </c>
      <c r="I332" s="201">
        <v>5.0999999999999996</v>
      </c>
      <c r="J332" s="202" t="s">
        <v>280</v>
      </c>
    </row>
    <row r="333" spans="1:10" ht="14.25" customHeight="1">
      <c r="A333" s="203"/>
      <c r="B333" s="204" t="s">
        <v>275</v>
      </c>
      <c r="C333" s="205" t="s">
        <v>189</v>
      </c>
      <c r="D333" s="206" t="s">
        <v>16</v>
      </c>
      <c r="E333" s="200">
        <v>600000000</v>
      </c>
      <c r="F333" s="200">
        <v>157857417</v>
      </c>
      <c r="G333" s="200">
        <f>'25.企業債（24決算）'!G333+'25.企業債（25決算）'!F333</f>
        <v>600000000</v>
      </c>
      <c r="H333" s="200">
        <f t="shared" si="5"/>
        <v>0</v>
      </c>
      <c r="I333" s="201">
        <v>4.95</v>
      </c>
      <c r="J333" s="147" t="s">
        <v>1709</v>
      </c>
    </row>
    <row r="334" spans="1:10" ht="14.25" customHeight="1">
      <c r="A334" s="203"/>
      <c r="B334" s="204" t="s">
        <v>275</v>
      </c>
      <c r="C334" s="205" t="s">
        <v>185</v>
      </c>
      <c r="D334" s="206" t="s">
        <v>523</v>
      </c>
      <c r="E334" s="200">
        <v>796000000</v>
      </c>
      <c r="F334" s="200">
        <v>41859282</v>
      </c>
      <c r="G334" s="200">
        <f>'25.企業債（24決算）'!G334+'25.企業債（25決算）'!F334</f>
        <v>521296622</v>
      </c>
      <c r="H334" s="200">
        <f t="shared" si="5"/>
        <v>274703378</v>
      </c>
      <c r="I334" s="201">
        <v>5.4</v>
      </c>
      <c r="J334" s="202" t="s">
        <v>283</v>
      </c>
    </row>
    <row r="335" spans="1:10" ht="14.25" customHeight="1">
      <c r="A335" s="203"/>
      <c r="B335" s="206" t="s">
        <v>17</v>
      </c>
      <c r="C335" s="205" t="s">
        <v>189</v>
      </c>
      <c r="D335" s="206" t="s">
        <v>18</v>
      </c>
      <c r="E335" s="200">
        <v>300000000</v>
      </c>
      <c r="F335" s="200">
        <v>0</v>
      </c>
      <c r="G335" s="200">
        <v>300000000</v>
      </c>
      <c r="H335" s="200">
        <f t="shared" si="5"/>
        <v>0</v>
      </c>
      <c r="I335" s="201">
        <v>6.3</v>
      </c>
      <c r="J335" s="202" t="s">
        <v>277</v>
      </c>
    </row>
    <row r="336" spans="1:10" ht="14.25" customHeight="1">
      <c r="A336" s="203"/>
      <c r="B336" s="204" t="s">
        <v>19</v>
      </c>
      <c r="C336" s="205" t="s">
        <v>185</v>
      </c>
      <c r="D336" s="206" t="s">
        <v>20</v>
      </c>
      <c r="E336" s="200">
        <v>815000000</v>
      </c>
      <c r="F336" s="200">
        <v>0</v>
      </c>
      <c r="G336" s="200">
        <v>815000000</v>
      </c>
      <c r="H336" s="200">
        <f t="shared" si="5"/>
        <v>0</v>
      </c>
      <c r="I336" s="201">
        <v>6.6</v>
      </c>
      <c r="J336" s="202" t="s">
        <v>285</v>
      </c>
    </row>
    <row r="337" spans="1:10" ht="14.25" customHeight="1">
      <c r="A337" s="203"/>
      <c r="B337" s="204" t="s">
        <v>21</v>
      </c>
      <c r="C337" s="205" t="s">
        <v>189</v>
      </c>
      <c r="D337" s="206" t="s">
        <v>22</v>
      </c>
      <c r="E337" s="200">
        <v>258000000</v>
      </c>
      <c r="F337" s="200">
        <v>0</v>
      </c>
      <c r="G337" s="200">
        <v>258000000</v>
      </c>
      <c r="H337" s="200">
        <f t="shared" si="5"/>
        <v>0</v>
      </c>
      <c r="I337" s="201">
        <v>6.7</v>
      </c>
      <c r="J337" s="202" t="s">
        <v>280</v>
      </c>
    </row>
    <row r="338" spans="1:10" ht="14.25" customHeight="1">
      <c r="A338" s="203"/>
      <c r="B338" s="206" t="s">
        <v>279</v>
      </c>
      <c r="C338" s="205" t="s">
        <v>189</v>
      </c>
      <c r="D338" s="206" t="s">
        <v>23</v>
      </c>
      <c r="E338" s="200">
        <v>400000000</v>
      </c>
      <c r="F338" s="200">
        <v>0</v>
      </c>
      <c r="G338" s="200">
        <v>400000000</v>
      </c>
      <c r="H338" s="200">
        <f t="shared" si="5"/>
        <v>0</v>
      </c>
      <c r="I338" s="201">
        <v>6.65</v>
      </c>
      <c r="J338" s="202" t="s">
        <v>280</v>
      </c>
    </row>
    <row r="339" spans="1:10" ht="14.25" customHeight="1">
      <c r="A339" s="203"/>
      <c r="B339" s="206" t="s">
        <v>279</v>
      </c>
      <c r="C339" s="205" t="s">
        <v>185</v>
      </c>
      <c r="D339" s="206" t="s">
        <v>534</v>
      </c>
      <c r="E339" s="200">
        <v>212000000</v>
      </c>
      <c r="F339" s="200">
        <v>9770247</v>
      </c>
      <c r="G339" s="200">
        <f>'25.企業債（24決算）'!G339+'25.企業債（25決算）'!F339</f>
        <v>111449850</v>
      </c>
      <c r="H339" s="200">
        <f t="shared" si="5"/>
        <v>100550150</v>
      </c>
      <c r="I339" s="201">
        <v>5.5</v>
      </c>
      <c r="J339" s="202" t="s">
        <v>282</v>
      </c>
    </row>
    <row r="340" spans="1:10" ht="14.25" customHeight="1">
      <c r="A340" s="203"/>
      <c r="B340" s="206" t="s">
        <v>292</v>
      </c>
      <c r="C340" s="205" t="s">
        <v>189</v>
      </c>
      <c r="D340" s="206" t="s">
        <v>535</v>
      </c>
      <c r="E340" s="200">
        <v>52000000</v>
      </c>
      <c r="F340" s="200">
        <v>23247802</v>
      </c>
      <c r="G340" s="200">
        <f>'25.企業債（24決算）'!G340+'25.企業債（25決算）'!F340</f>
        <v>52000000</v>
      </c>
      <c r="H340" s="200">
        <f t="shared" si="5"/>
        <v>0</v>
      </c>
      <c r="I340" s="201">
        <v>5.65</v>
      </c>
      <c r="J340" s="147" t="s">
        <v>1710</v>
      </c>
    </row>
    <row r="341" spans="1:10" ht="14.25" customHeight="1">
      <c r="A341" s="203"/>
      <c r="B341" s="206" t="s">
        <v>279</v>
      </c>
      <c r="C341" s="205" t="s">
        <v>189</v>
      </c>
      <c r="D341" s="206" t="s">
        <v>535</v>
      </c>
      <c r="E341" s="200">
        <v>336000000</v>
      </c>
      <c r="F341" s="200">
        <v>149790235</v>
      </c>
      <c r="G341" s="200">
        <f>'25.企業債（24決算）'!G341+'25.企業債（25決算）'!F341</f>
        <v>336000000</v>
      </c>
      <c r="H341" s="200">
        <f t="shared" si="5"/>
        <v>0</v>
      </c>
      <c r="I341" s="201">
        <v>5.6</v>
      </c>
      <c r="J341" s="147" t="s">
        <v>1710</v>
      </c>
    </row>
    <row r="342" spans="1:10" ht="14.25" customHeight="1">
      <c r="A342" s="203"/>
      <c r="B342" s="206" t="s">
        <v>281</v>
      </c>
      <c r="C342" s="205" t="s">
        <v>189</v>
      </c>
      <c r="D342" s="206" t="s">
        <v>535</v>
      </c>
      <c r="E342" s="200">
        <v>300000000</v>
      </c>
      <c r="F342" s="200">
        <v>134121947</v>
      </c>
      <c r="G342" s="200">
        <f>'25.企業債（24決算）'!G342+'25.企業債（25決算）'!F342</f>
        <v>300000000</v>
      </c>
      <c r="H342" s="200">
        <f t="shared" si="5"/>
        <v>0</v>
      </c>
      <c r="I342" s="201">
        <v>5.65</v>
      </c>
      <c r="J342" s="147" t="s">
        <v>1710</v>
      </c>
    </row>
    <row r="343" spans="1:10" ht="14.25" customHeight="1">
      <c r="A343" s="203"/>
      <c r="B343" s="206" t="s">
        <v>281</v>
      </c>
      <c r="C343" s="205" t="s">
        <v>185</v>
      </c>
      <c r="D343" s="206" t="s">
        <v>24</v>
      </c>
      <c r="E343" s="200">
        <v>440000000</v>
      </c>
      <c r="F343" s="200">
        <v>19100129</v>
      </c>
      <c r="G343" s="200">
        <f>'25.企業債（24決算）'!G343+'25.企業債（25決算）'!F343</f>
        <v>224956445</v>
      </c>
      <c r="H343" s="200">
        <f t="shared" si="5"/>
        <v>215043555</v>
      </c>
      <c r="I343" s="201">
        <v>4.4000000000000004</v>
      </c>
      <c r="J343" s="202" t="s">
        <v>284</v>
      </c>
    </row>
    <row r="344" spans="1:10" ht="14.25" customHeight="1" thickBot="1">
      <c r="A344" s="269"/>
      <c r="B344" s="206" t="s">
        <v>281</v>
      </c>
      <c r="C344" s="205" t="s">
        <v>189</v>
      </c>
      <c r="D344" s="206" t="s">
        <v>25</v>
      </c>
      <c r="E344" s="200">
        <v>260000000</v>
      </c>
      <c r="F344" s="200">
        <v>121557565</v>
      </c>
      <c r="G344" s="200">
        <f>'25.企業債（24決算）'!G344+'25.企業債（25決算）'!F344</f>
        <v>260000000</v>
      </c>
      <c r="H344" s="200">
        <f t="shared" si="5"/>
        <v>0</v>
      </c>
      <c r="I344" s="201">
        <v>4.5</v>
      </c>
      <c r="J344" s="147" t="s">
        <v>1710</v>
      </c>
    </row>
    <row r="345" spans="1:10" ht="9.75" customHeight="1" thickBot="1">
      <c r="A345" s="257"/>
      <c r="B345" s="258"/>
      <c r="C345" s="257"/>
      <c r="D345" s="258"/>
      <c r="E345" s="259"/>
      <c r="F345" s="259"/>
      <c r="G345" s="259"/>
      <c r="H345" s="259"/>
      <c r="I345" s="260"/>
      <c r="J345" s="270"/>
    </row>
    <row r="346" spans="1:10">
      <c r="A346" s="479" t="s">
        <v>26</v>
      </c>
      <c r="B346" s="481" t="s">
        <v>311</v>
      </c>
      <c r="C346" s="483" t="s">
        <v>27</v>
      </c>
      <c r="D346" s="481" t="s">
        <v>312</v>
      </c>
      <c r="E346" s="485" t="s">
        <v>28</v>
      </c>
      <c r="F346" s="487" t="s">
        <v>29</v>
      </c>
      <c r="G346" s="493"/>
      <c r="H346" s="489" t="s">
        <v>174</v>
      </c>
      <c r="I346" s="491" t="s">
        <v>30</v>
      </c>
      <c r="J346" s="477" t="s">
        <v>313</v>
      </c>
    </row>
    <row r="347" spans="1:10">
      <c r="A347" s="480"/>
      <c r="B347" s="482"/>
      <c r="C347" s="484"/>
      <c r="D347" s="482"/>
      <c r="E347" s="486"/>
      <c r="F347" s="207" t="s">
        <v>176</v>
      </c>
      <c r="G347" s="207" t="s">
        <v>305</v>
      </c>
      <c r="H347" s="490"/>
      <c r="I347" s="492"/>
      <c r="J347" s="478"/>
    </row>
    <row r="348" spans="1:10">
      <c r="A348" s="209"/>
      <c r="B348" s="210"/>
      <c r="C348" s="210"/>
      <c r="D348" s="211" t="s">
        <v>177</v>
      </c>
      <c r="E348" s="212" t="s">
        <v>178</v>
      </c>
      <c r="F348" s="212" t="s">
        <v>172</v>
      </c>
      <c r="G348" s="212" t="s">
        <v>178</v>
      </c>
      <c r="H348" s="212" t="s">
        <v>178</v>
      </c>
      <c r="I348" s="213" t="s">
        <v>31</v>
      </c>
      <c r="J348" s="214" t="s">
        <v>175</v>
      </c>
    </row>
    <row r="349" spans="1:10">
      <c r="A349" s="215" t="s">
        <v>290</v>
      </c>
      <c r="B349" s="204" t="s">
        <v>341</v>
      </c>
      <c r="C349" s="205" t="s">
        <v>189</v>
      </c>
      <c r="D349" s="206" t="s">
        <v>694</v>
      </c>
      <c r="E349" s="200">
        <v>80000000</v>
      </c>
      <c r="F349" s="200">
        <v>37296066</v>
      </c>
      <c r="G349" s="200">
        <f>'25.企業債（24決算）'!G349+'25.企業債（25決算）'!F349</f>
        <v>80000000</v>
      </c>
      <c r="H349" s="200">
        <f t="shared" ref="H349:H406" si="6">E349-G349</f>
        <v>0</v>
      </c>
      <c r="I349" s="201">
        <v>4.45</v>
      </c>
      <c r="J349" s="147" t="s">
        <v>1710</v>
      </c>
    </row>
    <row r="350" spans="1:10">
      <c r="A350" s="203" t="s">
        <v>182</v>
      </c>
      <c r="B350" s="206">
        <v>4</v>
      </c>
      <c r="C350" s="205" t="s">
        <v>185</v>
      </c>
      <c r="D350" s="206" t="s">
        <v>540</v>
      </c>
      <c r="E350" s="200">
        <v>120000000</v>
      </c>
      <c r="F350" s="200">
        <v>4988674</v>
      </c>
      <c r="G350" s="200">
        <f>'25.企業債（24決算）'!G350+'25.企業債（25決算）'!F350</f>
        <v>58803718</v>
      </c>
      <c r="H350" s="200">
        <f t="shared" si="6"/>
        <v>61196282</v>
      </c>
      <c r="I350" s="201">
        <v>3.65</v>
      </c>
      <c r="J350" s="202" t="s">
        <v>286</v>
      </c>
    </row>
    <row r="351" spans="1:10" ht="14.25" customHeight="1">
      <c r="A351" s="215"/>
      <c r="B351" s="206">
        <v>5</v>
      </c>
      <c r="C351" s="205" t="s">
        <v>189</v>
      </c>
      <c r="D351" s="206" t="s">
        <v>540</v>
      </c>
      <c r="E351" s="200">
        <v>50000000</v>
      </c>
      <c r="F351" s="200">
        <v>2356360</v>
      </c>
      <c r="G351" s="200">
        <f>'25.企業債（24決算）'!G351+'25.企業債（25決算）'!F351</f>
        <v>27689356</v>
      </c>
      <c r="H351" s="200">
        <f t="shared" si="6"/>
        <v>22310644</v>
      </c>
      <c r="I351" s="201">
        <v>3.7</v>
      </c>
      <c r="J351" s="202" t="s">
        <v>282</v>
      </c>
    </row>
    <row r="352" spans="1:10" ht="14.25" customHeight="1">
      <c r="A352" s="203"/>
      <c r="B352" s="206">
        <v>5</v>
      </c>
      <c r="C352" s="205" t="s">
        <v>185</v>
      </c>
      <c r="D352" s="206" t="s">
        <v>32</v>
      </c>
      <c r="E352" s="200">
        <v>50000000</v>
      </c>
      <c r="F352" s="200">
        <v>2027716</v>
      </c>
      <c r="G352" s="200">
        <f>'25.企業債（24決算）'!G352+'25.企業債（25決算）'!F352</f>
        <v>21830810</v>
      </c>
      <c r="H352" s="200">
        <f t="shared" si="6"/>
        <v>28169190</v>
      </c>
      <c r="I352" s="201">
        <v>4.75</v>
      </c>
      <c r="J352" s="202" t="s">
        <v>287</v>
      </c>
    </row>
    <row r="353" spans="1:10" ht="14.25" customHeight="1">
      <c r="A353" s="215"/>
      <c r="B353" s="206" t="s">
        <v>33</v>
      </c>
      <c r="C353" s="205" t="s">
        <v>266</v>
      </c>
      <c r="D353" s="206" t="s">
        <v>34</v>
      </c>
      <c r="E353" s="200">
        <v>580000000</v>
      </c>
      <c r="F353" s="200">
        <v>0</v>
      </c>
      <c r="G353" s="200">
        <f>'25.企業債（23決算）'!G353+'25.企業債（25決算）'!F353</f>
        <v>580000000</v>
      </c>
      <c r="H353" s="200">
        <f t="shared" si="6"/>
        <v>0</v>
      </c>
      <c r="I353" s="201">
        <v>4.5</v>
      </c>
      <c r="J353" s="202" t="s">
        <v>244</v>
      </c>
    </row>
    <row r="354" spans="1:10" ht="14.25" customHeight="1">
      <c r="A354" s="215"/>
      <c r="B354" s="206" t="s">
        <v>35</v>
      </c>
      <c r="C354" s="205" t="s">
        <v>266</v>
      </c>
      <c r="D354" s="204" t="s">
        <v>36</v>
      </c>
      <c r="E354" s="200">
        <v>35000000</v>
      </c>
      <c r="F354" s="200">
        <v>0</v>
      </c>
      <c r="G354" s="200">
        <f>'25.企業債（23決算）'!G354+'25.企業債（25決算）'!F354</f>
        <v>35000000</v>
      </c>
      <c r="H354" s="200">
        <f t="shared" si="6"/>
        <v>0</v>
      </c>
      <c r="I354" s="201">
        <v>4.5</v>
      </c>
      <c r="J354" s="202" t="s">
        <v>244</v>
      </c>
    </row>
    <row r="355" spans="1:10" ht="14.25" customHeight="1">
      <c r="A355" s="203"/>
      <c r="B355" s="206">
        <v>6</v>
      </c>
      <c r="C355" s="205" t="s">
        <v>189</v>
      </c>
      <c r="D355" s="206" t="s">
        <v>105</v>
      </c>
      <c r="E355" s="200">
        <v>30000000</v>
      </c>
      <c r="F355" s="200">
        <v>16981164</v>
      </c>
      <c r="G355" s="200">
        <f>'25.企業債（24決算）'!G355+'25.企業債（25決算）'!F355</f>
        <v>30000000</v>
      </c>
      <c r="H355" s="200">
        <f t="shared" si="6"/>
        <v>0</v>
      </c>
      <c r="I355" s="201">
        <v>4.7</v>
      </c>
      <c r="J355" s="147" t="s">
        <v>1710</v>
      </c>
    </row>
    <row r="356" spans="1:10" ht="14.25" customHeight="1">
      <c r="A356" s="203"/>
      <c r="B356" s="206" t="s">
        <v>546</v>
      </c>
      <c r="C356" s="205" t="s">
        <v>266</v>
      </c>
      <c r="D356" s="206" t="s">
        <v>547</v>
      </c>
      <c r="E356" s="200">
        <v>580000000</v>
      </c>
      <c r="F356" s="200">
        <v>0</v>
      </c>
      <c r="G356" s="200">
        <f>'25.企業債（23決算）'!G356+'25.企業債（25決算）'!F356</f>
        <v>580000000</v>
      </c>
      <c r="H356" s="200">
        <f t="shared" si="6"/>
        <v>0</v>
      </c>
      <c r="I356" s="201">
        <v>3</v>
      </c>
      <c r="J356" s="202" t="s">
        <v>247</v>
      </c>
    </row>
    <row r="357" spans="1:10" ht="14.25" customHeight="1">
      <c r="A357" s="203"/>
      <c r="B357" s="206" t="s">
        <v>35</v>
      </c>
      <c r="C357" s="205" t="s">
        <v>185</v>
      </c>
      <c r="D357" s="206" t="s">
        <v>38</v>
      </c>
      <c r="E357" s="200">
        <v>35000000</v>
      </c>
      <c r="F357" s="200">
        <v>1386566</v>
      </c>
      <c r="G357" s="200">
        <f>'25.企業債（24決算）'!G357+'25.企業債（25決算）'!F357</f>
        <v>15510931</v>
      </c>
      <c r="H357" s="200">
        <f t="shared" si="6"/>
        <v>19489069</v>
      </c>
      <c r="I357" s="201">
        <v>3.15</v>
      </c>
      <c r="J357" s="202" t="s">
        <v>293</v>
      </c>
    </row>
    <row r="358" spans="1:10" ht="14.25" customHeight="1">
      <c r="A358" s="203"/>
      <c r="B358" s="206">
        <v>7</v>
      </c>
      <c r="C358" s="205" t="s">
        <v>189</v>
      </c>
      <c r="D358" s="206" t="s">
        <v>39</v>
      </c>
      <c r="E358" s="200">
        <v>194000000</v>
      </c>
      <c r="F358" s="200">
        <v>8516758</v>
      </c>
      <c r="G358" s="200">
        <f>'25.企業債（24決算）'!G358+'25.企業債（25決算）'!F358</f>
        <v>92162179</v>
      </c>
      <c r="H358" s="200">
        <f t="shared" si="6"/>
        <v>101837821</v>
      </c>
      <c r="I358" s="201">
        <v>3.2</v>
      </c>
      <c r="J358" s="202" t="s">
        <v>286</v>
      </c>
    </row>
    <row r="359" spans="1:10" ht="14.25" customHeight="1">
      <c r="A359" s="203"/>
      <c r="B359" s="206">
        <v>7</v>
      </c>
      <c r="C359" s="205" t="s">
        <v>185</v>
      </c>
      <c r="D359" s="206" t="s">
        <v>40</v>
      </c>
      <c r="E359" s="200">
        <v>129000000</v>
      </c>
      <c r="F359" s="200">
        <v>4978258</v>
      </c>
      <c r="G359" s="200">
        <f>'25.企業債（24決算）'!G359+'25.企業債（25決算）'!F359</f>
        <v>53017000</v>
      </c>
      <c r="H359" s="200">
        <f t="shared" si="6"/>
        <v>75983000</v>
      </c>
      <c r="I359" s="201">
        <v>2.9</v>
      </c>
      <c r="J359" s="216" t="s">
        <v>294</v>
      </c>
    </row>
    <row r="360" spans="1:10" ht="14.25" customHeight="1">
      <c r="A360" s="203"/>
      <c r="B360" s="206">
        <v>8</v>
      </c>
      <c r="C360" s="205" t="s">
        <v>189</v>
      </c>
      <c r="D360" s="206" t="s">
        <v>111</v>
      </c>
      <c r="E360" s="200">
        <v>227000000</v>
      </c>
      <c r="F360" s="200">
        <v>9697805</v>
      </c>
      <c r="G360" s="200">
        <f>'25.企業債（24決算）'!G360+'25.企業債（25決算）'!F360</f>
        <v>100075962</v>
      </c>
      <c r="H360" s="200">
        <f t="shared" si="6"/>
        <v>126924038</v>
      </c>
      <c r="I360" s="201">
        <v>2.85</v>
      </c>
      <c r="J360" s="216" t="s">
        <v>287</v>
      </c>
    </row>
    <row r="361" spans="1:10" ht="14.25" customHeight="1">
      <c r="A361" s="203"/>
      <c r="B361" s="206">
        <v>8</v>
      </c>
      <c r="C361" s="205" t="s">
        <v>185</v>
      </c>
      <c r="D361" s="206" t="s">
        <v>41</v>
      </c>
      <c r="E361" s="200">
        <v>278000000</v>
      </c>
      <c r="F361" s="200">
        <v>10543188</v>
      </c>
      <c r="G361" s="200">
        <f>'25.企業債（24決算）'!G361+'25.企業債（25決算）'!F361</f>
        <v>106779282</v>
      </c>
      <c r="H361" s="200">
        <f t="shared" si="6"/>
        <v>171220718</v>
      </c>
      <c r="I361" s="201">
        <v>2.5</v>
      </c>
      <c r="J361" s="216" t="s">
        <v>295</v>
      </c>
    </row>
    <row r="362" spans="1:10" ht="14.25" customHeight="1">
      <c r="A362" s="203"/>
      <c r="B362" s="206">
        <v>9</v>
      </c>
      <c r="C362" s="205" t="s">
        <v>189</v>
      </c>
      <c r="D362" s="206" t="s">
        <v>42</v>
      </c>
      <c r="E362" s="200">
        <v>375000000</v>
      </c>
      <c r="F362" s="200">
        <v>15799931</v>
      </c>
      <c r="G362" s="200">
        <f>'25.企業債（24決算）'!G362+'25.企業債（25決算）'!F362</f>
        <v>156531946</v>
      </c>
      <c r="H362" s="200">
        <f t="shared" si="6"/>
        <v>218468054</v>
      </c>
      <c r="I362" s="201">
        <v>2.15</v>
      </c>
      <c r="J362" s="216" t="s">
        <v>43</v>
      </c>
    </row>
    <row r="363" spans="1:10" ht="14.25" customHeight="1">
      <c r="A363" s="203"/>
      <c r="B363" s="206">
        <v>9</v>
      </c>
      <c r="C363" s="205" t="s">
        <v>185</v>
      </c>
      <c r="D363" s="206" t="s">
        <v>44</v>
      </c>
      <c r="E363" s="200">
        <v>563000000</v>
      </c>
      <c r="F363" s="200">
        <v>21058159</v>
      </c>
      <c r="G363" s="200">
        <f>'25.企業債（24決算）'!G363+'25.企業債（25決算）'!F363</f>
        <v>199719157</v>
      </c>
      <c r="H363" s="200">
        <f t="shared" si="6"/>
        <v>363280843</v>
      </c>
      <c r="I363" s="201">
        <v>2.2000000000000002</v>
      </c>
      <c r="J363" s="216" t="s">
        <v>296</v>
      </c>
    </row>
    <row r="364" spans="1:10" ht="14.25" customHeight="1">
      <c r="A364" s="203"/>
      <c r="B364" s="206">
        <v>10</v>
      </c>
      <c r="C364" s="205" t="s">
        <v>189</v>
      </c>
      <c r="D364" s="206" t="s">
        <v>45</v>
      </c>
      <c r="E364" s="200">
        <v>212000000</v>
      </c>
      <c r="F364" s="200">
        <v>8755905</v>
      </c>
      <c r="G364" s="200">
        <f>'25.企業債（24決算）'!G364+'25.企業債（25決算）'!F364</f>
        <v>79846470</v>
      </c>
      <c r="H364" s="200">
        <f t="shared" si="6"/>
        <v>132153530</v>
      </c>
      <c r="I364" s="201">
        <v>2.1</v>
      </c>
      <c r="J364" s="216" t="s">
        <v>294</v>
      </c>
    </row>
    <row r="365" spans="1:10" ht="14.25" customHeight="1">
      <c r="A365" s="203"/>
      <c r="B365" s="206">
        <v>10</v>
      </c>
      <c r="C365" s="205" t="s">
        <v>185</v>
      </c>
      <c r="D365" s="206" t="s">
        <v>46</v>
      </c>
      <c r="E365" s="200">
        <v>496000000</v>
      </c>
      <c r="F365" s="200">
        <v>18424984</v>
      </c>
      <c r="G365" s="200">
        <f>'25.企業債（24決算）'!G365+'25.企業債（25決算）'!F365</f>
        <v>168020306</v>
      </c>
      <c r="H365" s="200">
        <f t="shared" si="6"/>
        <v>327979694</v>
      </c>
      <c r="I365" s="201">
        <v>2.1</v>
      </c>
      <c r="J365" s="216" t="s">
        <v>296</v>
      </c>
    </row>
    <row r="366" spans="1:10" ht="14.25" customHeight="1">
      <c r="A366" s="215"/>
      <c r="B366" s="206">
        <v>11</v>
      </c>
      <c r="C366" s="205" t="s">
        <v>189</v>
      </c>
      <c r="D366" s="206" t="s">
        <v>47</v>
      </c>
      <c r="E366" s="200">
        <v>448000000</v>
      </c>
      <c r="F366" s="200">
        <v>18190499</v>
      </c>
      <c r="G366" s="200">
        <f>'25.企業債（24決算）'!G366+'25.企業債（25決算）'!F366</f>
        <v>151387249</v>
      </c>
      <c r="H366" s="200">
        <f t="shared" si="6"/>
        <v>296612751</v>
      </c>
      <c r="I366" s="201">
        <v>2</v>
      </c>
      <c r="J366" s="216" t="s">
        <v>48</v>
      </c>
    </row>
    <row r="367" spans="1:10" ht="14.25" customHeight="1">
      <c r="A367" s="215"/>
      <c r="B367" s="206">
        <v>11</v>
      </c>
      <c r="C367" s="205" t="s">
        <v>185</v>
      </c>
      <c r="D367" s="206" t="s">
        <v>49</v>
      </c>
      <c r="E367" s="200">
        <v>593000000</v>
      </c>
      <c r="F367" s="200">
        <v>21681084</v>
      </c>
      <c r="G367" s="200">
        <f>'25.企業債（24決算）'!G367+'25.企業債（25決算）'!F367</f>
        <v>180437032</v>
      </c>
      <c r="H367" s="200">
        <f t="shared" si="6"/>
        <v>412562968</v>
      </c>
      <c r="I367" s="201">
        <v>2</v>
      </c>
      <c r="J367" s="216" t="s">
        <v>50</v>
      </c>
    </row>
    <row r="368" spans="1:10" ht="14.25" customHeight="1">
      <c r="A368" s="215"/>
      <c r="B368" s="206">
        <v>12</v>
      </c>
      <c r="C368" s="205" t="s">
        <v>189</v>
      </c>
      <c r="D368" s="206" t="s">
        <v>297</v>
      </c>
      <c r="E368" s="200">
        <v>1584000000</v>
      </c>
      <c r="F368" s="200">
        <v>64106883</v>
      </c>
      <c r="G368" s="200">
        <f>'25.企業債（24決算）'!G368+'25.企業債（25決算）'!F368</f>
        <v>484534622</v>
      </c>
      <c r="H368" s="200">
        <f t="shared" si="6"/>
        <v>1099465378</v>
      </c>
      <c r="I368" s="201">
        <v>1.65</v>
      </c>
      <c r="J368" s="216" t="s">
        <v>296</v>
      </c>
    </row>
    <row r="369" spans="1:12" ht="14.25" customHeight="1">
      <c r="A369" s="215"/>
      <c r="B369" s="206">
        <v>13</v>
      </c>
      <c r="C369" s="205" t="s">
        <v>189</v>
      </c>
      <c r="D369" s="206" t="s">
        <v>51</v>
      </c>
      <c r="E369" s="200">
        <v>579000000</v>
      </c>
      <c r="F369" s="200">
        <v>22329284</v>
      </c>
      <c r="G369" s="200">
        <f>'25.企業債（24決算）'!G369+'25.企業債（25決算）'!F369</f>
        <v>146514847</v>
      </c>
      <c r="H369" s="200">
        <f t="shared" si="6"/>
        <v>432485153</v>
      </c>
      <c r="I369" s="201">
        <v>2.2000000000000002</v>
      </c>
      <c r="J369" s="216" t="s">
        <v>50</v>
      </c>
    </row>
    <row r="370" spans="1:12" ht="14.25" customHeight="1">
      <c r="A370" s="215"/>
      <c r="B370" s="206">
        <v>14</v>
      </c>
      <c r="C370" s="205" t="s">
        <v>189</v>
      </c>
      <c r="D370" s="206" t="s">
        <v>53</v>
      </c>
      <c r="E370" s="200">
        <v>1009000000</v>
      </c>
      <c r="F370" s="200">
        <v>40438487</v>
      </c>
      <c r="G370" s="200">
        <f>'25.企業債（24決算）'!G370+'25.企業債（25決算）'!F370</f>
        <v>234954403</v>
      </c>
      <c r="H370" s="200">
        <f t="shared" si="6"/>
        <v>774045597</v>
      </c>
      <c r="I370" s="201">
        <v>1.3</v>
      </c>
      <c r="J370" s="216" t="s">
        <v>54</v>
      </c>
    </row>
    <row r="371" spans="1:12" ht="14.25" customHeight="1">
      <c r="A371" s="215"/>
      <c r="B371" s="206">
        <v>15</v>
      </c>
      <c r="C371" s="205" t="s">
        <v>189</v>
      </c>
      <c r="D371" s="206" t="s">
        <v>55</v>
      </c>
      <c r="E371" s="200">
        <v>870000000</v>
      </c>
      <c r="F371" s="200">
        <v>32876955</v>
      </c>
      <c r="G371" s="200">
        <f>'25.企業債（24決算）'!G371+'25.企業債（25決算）'!F371</f>
        <v>158340346</v>
      </c>
      <c r="H371" s="200">
        <f t="shared" si="6"/>
        <v>711659654</v>
      </c>
      <c r="I371" s="201">
        <v>1.9</v>
      </c>
      <c r="J371" s="216" t="s">
        <v>56</v>
      </c>
    </row>
    <row r="372" spans="1:12" ht="14.25" customHeight="1">
      <c r="A372" s="215"/>
      <c r="B372" s="206">
        <v>16</v>
      </c>
      <c r="C372" s="205" t="s">
        <v>189</v>
      </c>
      <c r="D372" s="206" t="s">
        <v>57</v>
      </c>
      <c r="E372" s="200">
        <v>693000000</v>
      </c>
      <c r="F372" s="200">
        <v>25250072</v>
      </c>
      <c r="G372" s="200">
        <f>'25.企業債（24決算）'!G372+'25.企業債（25決算）'!F372</f>
        <v>97911139</v>
      </c>
      <c r="H372" s="200">
        <f t="shared" si="6"/>
        <v>595088861</v>
      </c>
      <c r="I372" s="201">
        <v>2.1</v>
      </c>
      <c r="J372" s="216" t="s">
        <v>58</v>
      </c>
    </row>
    <row r="373" spans="1:12" ht="14.25" customHeight="1">
      <c r="A373" s="203"/>
      <c r="B373" s="204">
        <v>17</v>
      </c>
      <c r="C373" s="205" t="s">
        <v>189</v>
      </c>
      <c r="D373" s="206" t="s">
        <v>59</v>
      </c>
      <c r="E373" s="200">
        <v>362000000</v>
      </c>
      <c r="F373" s="200">
        <v>0</v>
      </c>
      <c r="G373" s="200">
        <f>'25.企業債（23決算）'!G373+'25.企業債（25決算）'!F373</f>
        <v>362000000</v>
      </c>
      <c r="H373" s="200">
        <f t="shared" si="6"/>
        <v>0</v>
      </c>
      <c r="I373" s="201">
        <v>2.0499999999999998</v>
      </c>
      <c r="J373" s="202" t="s">
        <v>60</v>
      </c>
    </row>
    <row r="374" spans="1:12" ht="14.25" customHeight="1">
      <c r="A374" s="203"/>
      <c r="B374" s="204">
        <v>17</v>
      </c>
      <c r="C374" s="205" t="s">
        <v>189</v>
      </c>
      <c r="D374" s="206" t="s">
        <v>59</v>
      </c>
      <c r="E374" s="200">
        <v>977000000</v>
      </c>
      <c r="F374" s="200">
        <v>0</v>
      </c>
      <c r="G374" s="200">
        <f>'25.企業債（23決算）'!G374+'25.企業債（25決算）'!F374</f>
        <v>977000000</v>
      </c>
      <c r="H374" s="200">
        <f t="shared" si="6"/>
        <v>0</v>
      </c>
      <c r="I374" s="201">
        <v>2.0499999999999998</v>
      </c>
      <c r="J374" s="202" t="s">
        <v>61</v>
      </c>
    </row>
    <row r="375" spans="1:12" ht="14.25" customHeight="1">
      <c r="A375" s="203"/>
      <c r="B375" s="204">
        <v>17</v>
      </c>
      <c r="C375" s="205" t="s">
        <v>189</v>
      </c>
      <c r="D375" s="206" t="s">
        <v>62</v>
      </c>
      <c r="E375" s="200">
        <v>1135000000</v>
      </c>
      <c r="F375" s="200">
        <v>40898368</v>
      </c>
      <c r="G375" s="200">
        <f>'25.企業債（24決算）'!G375+'25.企業債（25決算）'!F375</f>
        <v>120293403</v>
      </c>
      <c r="H375" s="200">
        <f t="shared" si="6"/>
        <v>1014706597</v>
      </c>
      <c r="I375" s="201">
        <v>2</v>
      </c>
      <c r="J375" s="202" t="s">
        <v>63</v>
      </c>
      <c r="K375" s="271"/>
    </row>
    <row r="376" spans="1:12" ht="14.25" customHeight="1">
      <c r="A376" s="203"/>
      <c r="B376" s="204">
        <v>18</v>
      </c>
      <c r="C376" s="205" t="s">
        <v>189</v>
      </c>
      <c r="D376" s="204" t="s">
        <v>64</v>
      </c>
      <c r="E376" s="200">
        <v>392300000</v>
      </c>
      <c r="F376" s="200">
        <v>0</v>
      </c>
      <c r="G376" s="200">
        <f>'25.企業債（23決算）'!G376+'25.企業債（25決算）'!F376</f>
        <v>392300000</v>
      </c>
      <c r="H376" s="200">
        <f t="shared" si="6"/>
        <v>0</v>
      </c>
      <c r="I376" s="201">
        <v>2.5499999999999998</v>
      </c>
      <c r="J376" s="202" t="s">
        <v>65</v>
      </c>
    </row>
    <row r="377" spans="1:12" ht="14.25" customHeight="1">
      <c r="A377" s="203"/>
      <c r="B377" s="204">
        <v>18</v>
      </c>
      <c r="C377" s="205" t="s">
        <v>189</v>
      </c>
      <c r="D377" s="204" t="s">
        <v>64</v>
      </c>
      <c r="E377" s="200">
        <v>1195300000</v>
      </c>
      <c r="F377" s="200">
        <v>0</v>
      </c>
      <c r="G377" s="200">
        <f>'25.企業債（23決算）'!G377+'25.企業債（25決算）'!F377</f>
        <v>1195300000</v>
      </c>
      <c r="H377" s="200">
        <f t="shared" si="6"/>
        <v>0</v>
      </c>
      <c r="I377" s="201">
        <v>2.5499999999999998</v>
      </c>
      <c r="J377" s="202" t="s">
        <v>66</v>
      </c>
    </row>
    <row r="378" spans="1:12" ht="14.25" customHeight="1">
      <c r="A378" s="203"/>
      <c r="B378" s="204">
        <v>18</v>
      </c>
      <c r="C378" s="205" t="s">
        <v>189</v>
      </c>
      <c r="D378" s="204" t="s">
        <v>347</v>
      </c>
      <c r="E378" s="200">
        <v>1109000000</v>
      </c>
      <c r="F378" s="200">
        <v>38753922</v>
      </c>
      <c r="G378" s="200">
        <f>'25.企業債（24決算）'!G378+'25.企業債（25決算）'!F378</f>
        <v>76706652</v>
      </c>
      <c r="H378" s="200">
        <f t="shared" si="6"/>
        <v>1032293348</v>
      </c>
      <c r="I378" s="201">
        <v>2.1</v>
      </c>
      <c r="J378" s="202" t="s">
        <v>344</v>
      </c>
    </row>
    <row r="379" spans="1:12" ht="14.25" customHeight="1">
      <c r="A379" s="203"/>
      <c r="B379" s="204">
        <v>19</v>
      </c>
      <c r="C379" s="205" t="s">
        <v>495</v>
      </c>
      <c r="D379" s="204" t="s">
        <v>67</v>
      </c>
      <c r="E379" s="200">
        <v>417100000</v>
      </c>
      <c r="F379" s="200">
        <v>0</v>
      </c>
      <c r="G379" s="200">
        <f>'25.企業債（23決算）'!G379+'25.企業債（25決算）'!F379</f>
        <v>417100000</v>
      </c>
      <c r="H379" s="200">
        <f t="shared" si="6"/>
        <v>0</v>
      </c>
      <c r="I379" s="201">
        <v>2.4</v>
      </c>
      <c r="J379" s="202" t="s">
        <v>65</v>
      </c>
    </row>
    <row r="380" spans="1:12" ht="14.25" customHeight="1">
      <c r="A380" s="203"/>
      <c r="B380" s="204">
        <v>19</v>
      </c>
      <c r="C380" s="205" t="s">
        <v>495</v>
      </c>
      <c r="D380" s="204" t="s">
        <v>67</v>
      </c>
      <c r="E380" s="200">
        <v>213300000</v>
      </c>
      <c r="F380" s="200">
        <v>0</v>
      </c>
      <c r="G380" s="200">
        <f>'25.企業債（23決算）'!G380+'25.企業債（25決算）'!F380</f>
        <v>213300000</v>
      </c>
      <c r="H380" s="200">
        <f t="shared" si="6"/>
        <v>0</v>
      </c>
      <c r="I380" s="201">
        <v>2.4</v>
      </c>
      <c r="J380" s="202" t="s">
        <v>69</v>
      </c>
    </row>
    <row r="381" spans="1:12" ht="14.25" customHeight="1">
      <c r="A381" s="203"/>
      <c r="B381" s="204">
        <v>19</v>
      </c>
      <c r="C381" s="205" t="s">
        <v>495</v>
      </c>
      <c r="D381" s="204" t="s">
        <v>632</v>
      </c>
      <c r="E381" s="200">
        <v>1129000000</v>
      </c>
      <c r="F381" s="200">
        <v>38865476</v>
      </c>
      <c r="G381" s="200">
        <f>'25.企業債（24決算）'!G381+'25.企業債（25決算）'!F381</f>
        <v>38865476</v>
      </c>
      <c r="H381" s="200">
        <f t="shared" si="6"/>
        <v>1090134524</v>
      </c>
      <c r="I381" s="201">
        <v>2.0499999999999998</v>
      </c>
      <c r="J381" s="202" t="s">
        <v>661</v>
      </c>
    </row>
    <row r="382" spans="1:12" ht="14.25" customHeight="1">
      <c r="A382" s="203"/>
      <c r="B382" s="204">
        <v>20</v>
      </c>
      <c r="C382" s="217" t="s">
        <v>695</v>
      </c>
      <c r="D382" s="204" t="s">
        <v>624</v>
      </c>
      <c r="E382" s="200">
        <v>1276000000</v>
      </c>
      <c r="F382" s="200">
        <v>0</v>
      </c>
      <c r="G382" s="200">
        <f>'25.企業債（23決算）'!G382+'25.企業債（25決算）'!F382</f>
        <v>0</v>
      </c>
      <c r="H382" s="200">
        <f t="shared" si="6"/>
        <v>1276000000</v>
      </c>
      <c r="I382" s="201">
        <v>1.9</v>
      </c>
      <c r="J382" s="202" t="s">
        <v>662</v>
      </c>
    </row>
    <row r="383" spans="1:12" ht="14.25" customHeight="1">
      <c r="A383" s="203"/>
      <c r="B383" s="204">
        <v>21</v>
      </c>
      <c r="C383" s="205" t="s">
        <v>345</v>
      </c>
      <c r="D383" s="204" t="s">
        <v>808</v>
      </c>
      <c r="E383" s="200">
        <v>1020000000</v>
      </c>
      <c r="F383" s="200">
        <v>0</v>
      </c>
      <c r="G383" s="200">
        <f>'25.企業債（23決算）'!G383+'25.企業債（25決算）'!F383</f>
        <v>0</v>
      </c>
      <c r="H383" s="200">
        <f t="shared" si="6"/>
        <v>1020000000</v>
      </c>
      <c r="I383" s="201">
        <v>2.1</v>
      </c>
      <c r="J383" s="202" t="s">
        <v>696</v>
      </c>
      <c r="L383" s="267"/>
    </row>
    <row r="384" spans="1:12" ht="14.25" customHeight="1">
      <c r="A384" s="203"/>
      <c r="B384" s="204">
        <v>22</v>
      </c>
      <c r="C384" s="205" t="s">
        <v>345</v>
      </c>
      <c r="D384" s="204" t="s">
        <v>887</v>
      </c>
      <c r="E384" s="200">
        <v>751000000</v>
      </c>
      <c r="F384" s="200">
        <v>0</v>
      </c>
      <c r="G384" s="200">
        <v>0</v>
      </c>
      <c r="H384" s="200">
        <f t="shared" si="6"/>
        <v>751000000</v>
      </c>
      <c r="I384" s="201">
        <v>1.9</v>
      </c>
      <c r="J384" s="202" t="s">
        <v>888</v>
      </c>
    </row>
    <row r="385" spans="1:11" ht="17.25" customHeight="1">
      <c r="A385" s="219" t="s">
        <v>376</v>
      </c>
      <c r="B385" s="220" t="s">
        <v>173</v>
      </c>
      <c r="C385" s="221" t="s">
        <v>173</v>
      </c>
      <c r="D385" s="222"/>
      <c r="E385" s="245">
        <f>SUM(E292:E344,E349:E384)</f>
        <v>69239000000</v>
      </c>
      <c r="F385" s="245">
        <f>SUM(F292:F344,F349:F384)</f>
        <v>1519904179</v>
      </c>
      <c r="G385" s="245">
        <f>SUM(G292:G344,G349:G384)</f>
        <v>56092239155</v>
      </c>
      <c r="H385" s="245">
        <f>SUM(H292:H344,H349:H384)</f>
        <v>13146760845</v>
      </c>
      <c r="I385" s="223"/>
      <c r="J385" s="224" t="s">
        <v>173</v>
      </c>
    </row>
    <row r="386" spans="1:11" ht="14.25" customHeight="1">
      <c r="A386" s="215" t="s">
        <v>298</v>
      </c>
      <c r="B386" s="206" t="s">
        <v>70</v>
      </c>
      <c r="C386" s="205" t="s">
        <v>180</v>
      </c>
      <c r="D386" s="206" t="s">
        <v>71</v>
      </c>
      <c r="E386" s="200">
        <v>299000000</v>
      </c>
      <c r="F386" s="200">
        <v>0</v>
      </c>
      <c r="G386" s="200">
        <v>299000000</v>
      </c>
      <c r="H386" s="200">
        <f t="shared" si="6"/>
        <v>0</v>
      </c>
      <c r="I386" s="213">
        <v>8</v>
      </c>
      <c r="J386" s="214" t="s">
        <v>217</v>
      </c>
      <c r="K386" s="271"/>
    </row>
    <row r="387" spans="1:11" ht="14.25" customHeight="1">
      <c r="A387" s="203" t="s">
        <v>182</v>
      </c>
      <c r="B387" s="204">
        <v>54</v>
      </c>
      <c r="C387" s="263" t="s">
        <v>180</v>
      </c>
      <c r="D387" s="206" t="s">
        <v>72</v>
      </c>
      <c r="E387" s="200">
        <v>535000000</v>
      </c>
      <c r="F387" s="200">
        <v>0</v>
      </c>
      <c r="G387" s="200">
        <v>535000000</v>
      </c>
      <c r="H387" s="200">
        <f t="shared" si="6"/>
        <v>0</v>
      </c>
      <c r="I387" s="201">
        <v>8.1</v>
      </c>
      <c r="J387" s="202" t="s">
        <v>223</v>
      </c>
    </row>
    <row r="388" spans="1:11" ht="14.25" customHeight="1">
      <c r="A388" s="203"/>
      <c r="B388" s="204">
        <v>55</v>
      </c>
      <c r="C388" s="263" t="s">
        <v>180</v>
      </c>
      <c r="D388" s="206" t="s">
        <v>73</v>
      </c>
      <c r="E388" s="200">
        <v>640000000</v>
      </c>
      <c r="F388" s="200">
        <v>0</v>
      </c>
      <c r="G388" s="200">
        <v>640000000</v>
      </c>
      <c r="H388" s="200">
        <f t="shared" si="6"/>
        <v>0</v>
      </c>
      <c r="I388" s="201">
        <v>7.8</v>
      </c>
      <c r="J388" s="202" t="s">
        <v>227</v>
      </c>
    </row>
    <row r="389" spans="1:11" ht="17.25" customHeight="1">
      <c r="A389" s="219" t="s">
        <v>376</v>
      </c>
      <c r="B389" s="220" t="s">
        <v>173</v>
      </c>
      <c r="C389" s="221" t="s">
        <v>173</v>
      </c>
      <c r="D389" s="222" t="s">
        <v>173</v>
      </c>
      <c r="E389" s="245">
        <f>SUM(E386:E388)</f>
        <v>1474000000</v>
      </c>
      <c r="F389" s="245">
        <f>SUM(F386:F388)</f>
        <v>0</v>
      </c>
      <c r="G389" s="245">
        <f>SUM(G386:G388)</f>
        <v>1474000000</v>
      </c>
      <c r="H389" s="245">
        <f>SUM(H386:H388)</f>
        <v>0</v>
      </c>
      <c r="I389" s="223"/>
      <c r="J389" s="224" t="s">
        <v>173</v>
      </c>
    </row>
    <row r="390" spans="1:11" ht="14.25" customHeight="1">
      <c r="A390" s="209" t="s">
        <v>299</v>
      </c>
      <c r="B390" s="211" t="s">
        <v>74</v>
      </c>
      <c r="C390" s="249" t="s">
        <v>189</v>
      </c>
      <c r="D390" s="211" t="s">
        <v>75</v>
      </c>
      <c r="E390" s="250">
        <v>440000000</v>
      </c>
      <c r="F390" s="200">
        <v>205128369</v>
      </c>
      <c r="G390" s="200">
        <f>'25.企業債（24決算）'!G390+'25.企業債（25決算）'!F390</f>
        <v>440000000</v>
      </c>
      <c r="H390" s="200">
        <f t="shared" si="6"/>
        <v>0</v>
      </c>
      <c r="I390" s="213">
        <v>4.45</v>
      </c>
      <c r="J390" s="121" t="s">
        <v>1710</v>
      </c>
    </row>
    <row r="391" spans="1:11" ht="14.25" customHeight="1">
      <c r="A391" s="203" t="s">
        <v>182</v>
      </c>
      <c r="B391" s="206">
        <v>4</v>
      </c>
      <c r="C391" s="205" t="s">
        <v>185</v>
      </c>
      <c r="D391" s="206" t="s">
        <v>540</v>
      </c>
      <c r="E391" s="200">
        <v>660000000</v>
      </c>
      <c r="F391" s="200">
        <v>27437709</v>
      </c>
      <c r="G391" s="200">
        <f>'25.企業債（24決算）'!G391+'25.企業債（25決算）'!F391</f>
        <v>323420452</v>
      </c>
      <c r="H391" s="200">
        <f t="shared" si="6"/>
        <v>336579548</v>
      </c>
      <c r="I391" s="201">
        <v>3.65</v>
      </c>
      <c r="J391" s="202" t="s">
        <v>286</v>
      </c>
    </row>
    <row r="392" spans="1:11" ht="14.25" customHeight="1">
      <c r="A392" s="203"/>
      <c r="B392" s="206">
        <v>5</v>
      </c>
      <c r="C392" s="205" t="s">
        <v>189</v>
      </c>
      <c r="D392" s="206" t="s">
        <v>540</v>
      </c>
      <c r="E392" s="200">
        <v>650000000</v>
      </c>
      <c r="F392" s="200">
        <v>30632679</v>
      </c>
      <c r="G392" s="200">
        <f>'25.企業債（24決算）'!G392+'25.企業債（25決算）'!F392</f>
        <v>359961637</v>
      </c>
      <c r="H392" s="200">
        <f t="shared" si="6"/>
        <v>290038363</v>
      </c>
      <c r="I392" s="201">
        <v>3.7</v>
      </c>
      <c r="J392" s="202" t="s">
        <v>282</v>
      </c>
    </row>
    <row r="393" spans="1:11" ht="14.25" customHeight="1">
      <c r="A393" s="203"/>
      <c r="B393" s="206">
        <v>5</v>
      </c>
      <c r="C393" s="205" t="s">
        <v>185</v>
      </c>
      <c r="D393" s="206" t="s">
        <v>32</v>
      </c>
      <c r="E393" s="200">
        <v>650000000</v>
      </c>
      <c r="F393" s="200">
        <v>26360307</v>
      </c>
      <c r="G393" s="200">
        <f>'25.企業債（24決算）'!G393+'25.企業債（25決算）'!F393</f>
        <v>283800528</v>
      </c>
      <c r="H393" s="200">
        <f t="shared" si="6"/>
        <v>366199472</v>
      </c>
      <c r="I393" s="201">
        <v>4.75</v>
      </c>
      <c r="J393" s="216" t="s">
        <v>287</v>
      </c>
    </row>
    <row r="394" spans="1:11" ht="14.25" customHeight="1">
      <c r="A394" s="203"/>
      <c r="B394" s="206">
        <v>6</v>
      </c>
      <c r="C394" s="205" t="s">
        <v>266</v>
      </c>
      <c r="D394" s="206" t="s">
        <v>34</v>
      </c>
      <c r="E394" s="200">
        <v>702000000</v>
      </c>
      <c r="F394" s="200">
        <v>0</v>
      </c>
      <c r="G394" s="200">
        <f>'25.企業債（23決算）'!G394+'25.企業債（25決算）'!F394</f>
        <v>702000000</v>
      </c>
      <c r="H394" s="200">
        <f t="shared" si="6"/>
        <v>0</v>
      </c>
      <c r="I394" s="201">
        <v>4.5</v>
      </c>
      <c r="J394" s="202" t="s">
        <v>244</v>
      </c>
    </row>
    <row r="395" spans="1:11" ht="14.25" customHeight="1">
      <c r="A395" s="215"/>
      <c r="B395" s="206">
        <v>6</v>
      </c>
      <c r="C395" s="205" t="s">
        <v>189</v>
      </c>
      <c r="D395" s="206" t="s">
        <v>105</v>
      </c>
      <c r="E395" s="200">
        <v>1122000000</v>
      </c>
      <c r="F395" s="200">
        <v>635095580</v>
      </c>
      <c r="G395" s="200">
        <f>'25.企業債（24決算）'!G395+'25.企業債（25決算）'!F395</f>
        <v>1122000000</v>
      </c>
      <c r="H395" s="200">
        <f t="shared" si="6"/>
        <v>0</v>
      </c>
      <c r="I395" s="201">
        <v>4.7</v>
      </c>
      <c r="J395" s="147" t="s">
        <v>1710</v>
      </c>
    </row>
    <row r="396" spans="1:11" ht="14.25" customHeight="1">
      <c r="A396" s="203"/>
      <c r="B396" s="206">
        <v>6</v>
      </c>
      <c r="C396" s="205" t="s">
        <v>185</v>
      </c>
      <c r="D396" s="206" t="s">
        <v>76</v>
      </c>
      <c r="E396" s="200">
        <v>1482000000</v>
      </c>
      <c r="F396" s="200">
        <v>58711138</v>
      </c>
      <c r="G396" s="200">
        <f>'25.企業債（24決算）'!G396+'25.企業債（25決算）'!F396</f>
        <v>656777098</v>
      </c>
      <c r="H396" s="200">
        <f t="shared" si="6"/>
        <v>825222902</v>
      </c>
      <c r="I396" s="201">
        <v>3.15</v>
      </c>
      <c r="J396" s="202" t="s">
        <v>293</v>
      </c>
    </row>
    <row r="397" spans="1:11" ht="14.25" customHeight="1">
      <c r="A397" s="203"/>
      <c r="B397" s="206">
        <v>7</v>
      </c>
      <c r="C397" s="205" t="s">
        <v>189</v>
      </c>
      <c r="D397" s="206" t="s">
        <v>77</v>
      </c>
      <c r="E397" s="200">
        <v>3595000000</v>
      </c>
      <c r="F397" s="200">
        <v>157823427</v>
      </c>
      <c r="G397" s="200">
        <f>'25.企業債（24決算）'!G397+'25.企業債（25決算）'!F397</f>
        <v>1707850692</v>
      </c>
      <c r="H397" s="200">
        <f t="shared" si="6"/>
        <v>1887149308</v>
      </c>
      <c r="I397" s="201">
        <v>3.2</v>
      </c>
      <c r="J397" s="202" t="s">
        <v>286</v>
      </c>
    </row>
    <row r="398" spans="1:11" ht="14.25" customHeight="1">
      <c r="A398" s="203"/>
      <c r="B398" s="206">
        <v>7</v>
      </c>
      <c r="C398" s="205" t="s">
        <v>185</v>
      </c>
      <c r="D398" s="206" t="s">
        <v>40</v>
      </c>
      <c r="E398" s="200">
        <v>3195000000</v>
      </c>
      <c r="F398" s="200">
        <v>123298717</v>
      </c>
      <c r="G398" s="200">
        <f>'25.企業債（24決算）'!G398+'25.企業債（25決算）'!F398</f>
        <v>1313095473</v>
      </c>
      <c r="H398" s="200">
        <f t="shared" si="6"/>
        <v>1881904527</v>
      </c>
      <c r="I398" s="201">
        <v>2.9</v>
      </c>
      <c r="J398" s="216" t="s">
        <v>294</v>
      </c>
    </row>
    <row r="399" spans="1:11" ht="14.25" customHeight="1">
      <c r="A399" s="218"/>
      <c r="B399" s="204">
        <v>8</v>
      </c>
      <c r="C399" s="205" t="s">
        <v>189</v>
      </c>
      <c r="D399" s="204" t="s">
        <v>78</v>
      </c>
      <c r="E399" s="200">
        <v>4848000000</v>
      </c>
      <c r="F399" s="200">
        <v>207114352</v>
      </c>
      <c r="G399" s="200">
        <f>'25.企業債（24決算）'!G399+'25.企業債（25決算）'!F399</f>
        <v>2137305143</v>
      </c>
      <c r="H399" s="200">
        <f t="shared" si="6"/>
        <v>2710694857</v>
      </c>
      <c r="I399" s="201">
        <v>2.85</v>
      </c>
      <c r="J399" s="202" t="s">
        <v>287</v>
      </c>
    </row>
    <row r="400" spans="1:11" ht="14.25" customHeight="1">
      <c r="A400" s="218"/>
      <c r="B400" s="204">
        <v>8</v>
      </c>
      <c r="C400" s="205" t="s">
        <v>185</v>
      </c>
      <c r="D400" s="206" t="s">
        <v>79</v>
      </c>
      <c r="E400" s="200">
        <v>5118000000</v>
      </c>
      <c r="F400" s="200">
        <v>196170933</v>
      </c>
      <c r="G400" s="200">
        <f>'25.企業債（24決算）'!G400+'25.企業債（25決算）'!F400</f>
        <v>2026455921</v>
      </c>
      <c r="H400" s="200">
        <f t="shared" si="6"/>
        <v>3091544079</v>
      </c>
      <c r="I400" s="201">
        <v>2.1</v>
      </c>
      <c r="J400" s="216" t="s">
        <v>295</v>
      </c>
    </row>
    <row r="401" spans="1:10" ht="14.25" customHeight="1">
      <c r="A401" s="218"/>
      <c r="B401" s="206">
        <v>9</v>
      </c>
      <c r="C401" s="205" t="s">
        <v>189</v>
      </c>
      <c r="D401" s="206" t="s">
        <v>42</v>
      </c>
      <c r="E401" s="200">
        <v>3566000000</v>
      </c>
      <c r="F401" s="200">
        <v>150246807</v>
      </c>
      <c r="G401" s="200">
        <f>'25.企業債（24決算）'!G401+'25.企業債（25決算）'!F401</f>
        <v>1488514446</v>
      </c>
      <c r="H401" s="200">
        <f t="shared" si="6"/>
        <v>2077485554</v>
      </c>
      <c r="I401" s="201">
        <v>2.15</v>
      </c>
      <c r="J401" s="216" t="s">
        <v>293</v>
      </c>
    </row>
    <row r="402" spans="1:10" ht="14.25" customHeight="1">
      <c r="A402" s="218"/>
      <c r="B402" s="204">
        <v>9</v>
      </c>
      <c r="C402" s="205" t="s">
        <v>185</v>
      </c>
      <c r="D402" s="206" t="s">
        <v>44</v>
      </c>
      <c r="E402" s="200">
        <v>5348000000</v>
      </c>
      <c r="F402" s="200">
        <v>200033808</v>
      </c>
      <c r="G402" s="200">
        <f>'25.企業債（24決算）'!G402+'25.企業債（25決算）'!F402</f>
        <v>1897154610</v>
      </c>
      <c r="H402" s="200">
        <f t="shared" si="6"/>
        <v>3450845390</v>
      </c>
      <c r="I402" s="201">
        <v>2.2000000000000002</v>
      </c>
      <c r="J402" s="216" t="s">
        <v>296</v>
      </c>
    </row>
    <row r="403" spans="1:10" ht="14.25" customHeight="1">
      <c r="A403" s="218"/>
      <c r="B403" s="206">
        <v>10</v>
      </c>
      <c r="C403" s="205" t="s">
        <v>189</v>
      </c>
      <c r="D403" s="206" t="s">
        <v>45</v>
      </c>
      <c r="E403" s="200">
        <v>2758000000</v>
      </c>
      <c r="F403" s="200">
        <v>113909373</v>
      </c>
      <c r="G403" s="200">
        <f>'25.企業債（24決算）'!G403+'25.企業債（25決算）'!F403</f>
        <v>1038757397</v>
      </c>
      <c r="H403" s="200">
        <f t="shared" si="6"/>
        <v>1719242603</v>
      </c>
      <c r="I403" s="201">
        <v>2.1</v>
      </c>
      <c r="J403" s="216" t="s">
        <v>294</v>
      </c>
    </row>
    <row r="404" spans="1:10" ht="14.25" customHeight="1">
      <c r="A404" s="218"/>
      <c r="B404" s="206">
        <v>10</v>
      </c>
      <c r="C404" s="205" t="s">
        <v>185</v>
      </c>
      <c r="D404" s="206" t="s">
        <v>46</v>
      </c>
      <c r="E404" s="200">
        <v>3707000000</v>
      </c>
      <c r="F404" s="200">
        <v>137704461</v>
      </c>
      <c r="G404" s="200">
        <f>'25.企業債（24決算）'!G404+'25.企業債（25決算）'!F404</f>
        <v>1255748533</v>
      </c>
      <c r="H404" s="200">
        <f t="shared" si="6"/>
        <v>2451251467</v>
      </c>
      <c r="I404" s="201">
        <v>2.1</v>
      </c>
      <c r="J404" s="216" t="s">
        <v>296</v>
      </c>
    </row>
    <row r="405" spans="1:10" ht="14.25" customHeight="1">
      <c r="A405" s="218"/>
      <c r="B405" s="206">
        <v>11</v>
      </c>
      <c r="C405" s="205" t="s">
        <v>266</v>
      </c>
      <c r="D405" s="206" t="s">
        <v>84</v>
      </c>
      <c r="E405" s="200">
        <v>2000000000</v>
      </c>
      <c r="F405" s="200">
        <v>0</v>
      </c>
      <c r="G405" s="200">
        <f>'25.企業債（23決算）'!G405+'25.企業債（25決算）'!F405</f>
        <v>2000000000</v>
      </c>
      <c r="H405" s="200">
        <f t="shared" si="6"/>
        <v>0</v>
      </c>
      <c r="I405" s="201">
        <v>1.8</v>
      </c>
      <c r="J405" s="216" t="s">
        <v>60</v>
      </c>
    </row>
    <row r="406" spans="1:10" ht="14.25" customHeight="1" thickBot="1">
      <c r="A406" s="218"/>
      <c r="B406" s="206">
        <v>11</v>
      </c>
      <c r="C406" s="205" t="s">
        <v>189</v>
      </c>
      <c r="D406" s="206" t="s">
        <v>47</v>
      </c>
      <c r="E406" s="200">
        <v>1860000000</v>
      </c>
      <c r="F406" s="200">
        <v>75523053</v>
      </c>
      <c r="G406" s="200">
        <f>'25.企業債（24決算）'!G406+'25.企業債（25決算）'!F406</f>
        <v>628527416</v>
      </c>
      <c r="H406" s="200">
        <f t="shared" si="6"/>
        <v>1231472584</v>
      </c>
      <c r="I406" s="201">
        <v>2</v>
      </c>
      <c r="J406" s="216" t="s">
        <v>48</v>
      </c>
    </row>
    <row r="407" spans="1:10" ht="9.75" customHeight="1" thickBot="1">
      <c r="A407" s="257"/>
      <c r="B407" s="258"/>
      <c r="C407" s="257"/>
      <c r="D407" s="258"/>
      <c r="E407" s="259"/>
      <c r="F407" s="259"/>
      <c r="G407" s="259"/>
      <c r="H407" s="259"/>
      <c r="I407" s="260"/>
      <c r="J407" s="261"/>
    </row>
    <row r="408" spans="1:10">
      <c r="A408" s="479" t="s">
        <v>26</v>
      </c>
      <c r="B408" s="481" t="s">
        <v>311</v>
      </c>
      <c r="C408" s="483" t="s">
        <v>27</v>
      </c>
      <c r="D408" s="481" t="s">
        <v>312</v>
      </c>
      <c r="E408" s="485" t="s">
        <v>28</v>
      </c>
      <c r="F408" s="487" t="s">
        <v>29</v>
      </c>
      <c r="G408" s="493"/>
      <c r="H408" s="489" t="s">
        <v>174</v>
      </c>
      <c r="I408" s="491" t="s">
        <v>30</v>
      </c>
      <c r="J408" s="477" t="s">
        <v>313</v>
      </c>
    </row>
    <row r="409" spans="1:10">
      <c r="A409" s="480"/>
      <c r="B409" s="482"/>
      <c r="C409" s="484"/>
      <c r="D409" s="482"/>
      <c r="E409" s="486"/>
      <c r="F409" s="207" t="s">
        <v>176</v>
      </c>
      <c r="G409" s="207" t="s">
        <v>305</v>
      </c>
      <c r="H409" s="490"/>
      <c r="I409" s="492"/>
      <c r="J409" s="478"/>
    </row>
    <row r="410" spans="1:10">
      <c r="A410" s="209"/>
      <c r="B410" s="210"/>
      <c r="C410" s="210"/>
      <c r="D410" s="211" t="s">
        <v>177</v>
      </c>
      <c r="E410" s="212" t="s">
        <v>178</v>
      </c>
      <c r="F410" s="212" t="s">
        <v>172</v>
      </c>
      <c r="G410" s="212" t="s">
        <v>178</v>
      </c>
      <c r="H410" s="212" t="s">
        <v>178</v>
      </c>
      <c r="I410" s="213" t="s">
        <v>31</v>
      </c>
      <c r="J410" s="214" t="s">
        <v>175</v>
      </c>
    </row>
    <row r="411" spans="1:10" ht="14.25" customHeight="1">
      <c r="A411" s="215" t="s">
        <v>299</v>
      </c>
      <c r="B411" s="204" t="s">
        <v>342</v>
      </c>
      <c r="C411" s="205" t="s">
        <v>185</v>
      </c>
      <c r="D411" s="206" t="s">
        <v>697</v>
      </c>
      <c r="E411" s="200">
        <v>2253000000</v>
      </c>
      <c r="F411" s="200">
        <v>82373494</v>
      </c>
      <c r="G411" s="200">
        <f>'25.企業債（24決算）'!G411+'25.企業債（25決算）'!F411</f>
        <v>685539012</v>
      </c>
      <c r="H411" s="200">
        <f t="shared" ref="H411:H426" si="7">E411-G411</f>
        <v>1567460988</v>
      </c>
      <c r="I411" s="201">
        <v>2</v>
      </c>
      <c r="J411" s="216" t="s">
        <v>50</v>
      </c>
    </row>
    <row r="412" spans="1:10" ht="14.25" customHeight="1">
      <c r="A412" s="203" t="s">
        <v>182</v>
      </c>
      <c r="B412" s="206">
        <v>12</v>
      </c>
      <c r="C412" s="205" t="s">
        <v>266</v>
      </c>
      <c r="D412" s="206" t="s">
        <v>91</v>
      </c>
      <c r="E412" s="200">
        <v>1491000000</v>
      </c>
      <c r="F412" s="200">
        <v>0</v>
      </c>
      <c r="G412" s="200">
        <f>'25.企業債（23決算）'!G412+'25.企業債（25決算）'!F412</f>
        <v>1491000000</v>
      </c>
      <c r="H412" s="200">
        <f t="shared" si="7"/>
        <v>0</v>
      </c>
      <c r="I412" s="201">
        <v>1.7</v>
      </c>
      <c r="J412" s="216" t="s">
        <v>61</v>
      </c>
    </row>
    <row r="413" spans="1:10" ht="14.25" customHeight="1">
      <c r="A413" s="215"/>
      <c r="B413" s="204">
        <v>12</v>
      </c>
      <c r="C413" s="205" t="s">
        <v>189</v>
      </c>
      <c r="D413" s="206" t="s">
        <v>93</v>
      </c>
      <c r="E413" s="200">
        <v>1785000000</v>
      </c>
      <c r="F413" s="200">
        <v>72241657</v>
      </c>
      <c r="G413" s="200">
        <f>'25.企業債（24決算）'!G413+'25.企業債（25決算）'!F413</f>
        <v>546019128</v>
      </c>
      <c r="H413" s="200">
        <f t="shared" si="7"/>
        <v>1238980872</v>
      </c>
      <c r="I413" s="201">
        <v>1.65</v>
      </c>
      <c r="J413" s="216" t="s">
        <v>94</v>
      </c>
    </row>
    <row r="414" spans="1:10" ht="14.25" customHeight="1">
      <c r="A414" s="203"/>
      <c r="B414" s="206">
        <v>12</v>
      </c>
      <c r="C414" s="205" t="s">
        <v>164</v>
      </c>
      <c r="D414" s="206" t="s">
        <v>95</v>
      </c>
      <c r="E414" s="200">
        <v>1950000000</v>
      </c>
      <c r="F414" s="200">
        <v>71552591</v>
      </c>
      <c r="G414" s="200">
        <f>'25.企業債（24決算）'!G414+'25.企業債（25決算）'!F414</f>
        <v>541727790</v>
      </c>
      <c r="H414" s="200">
        <f t="shared" si="7"/>
        <v>1408272210</v>
      </c>
      <c r="I414" s="201">
        <v>1.6</v>
      </c>
      <c r="J414" s="216" t="s">
        <v>54</v>
      </c>
    </row>
    <row r="415" spans="1:10" ht="14.25" customHeight="1">
      <c r="A415" s="203"/>
      <c r="B415" s="206">
        <v>13</v>
      </c>
      <c r="C415" s="205" t="s">
        <v>189</v>
      </c>
      <c r="D415" s="206" t="s">
        <v>51</v>
      </c>
      <c r="E415" s="200">
        <v>2831000000</v>
      </c>
      <c r="F415" s="200">
        <v>109178244</v>
      </c>
      <c r="G415" s="200">
        <f>'25.企業債（24決算）'!G415+'25.企業債（25決算）'!F415</f>
        <v>716379164</v>
      </c>
      <c r="H415" s="200">
        <f t="shared" si="7"/>
        <v>2114620836</v>
      </c>
      <c r="I415" s="201">
        <v>2.2000000000000002</v>
      </c>
      <c r="J415" s="216" t="s">
        <v>50</v>
      </c>
    </row>
    <row r="416" spans="1:10" ht="14.25" customHeight="1">
      <c r="A416" s="203"/>
      <c r="B416" s="206">
        <v>13</v>
      </c>
      <c r="C416" s="205" t="s">
        <v>164</v>
      </c>
      <c r="D416" s="206" t="s">
        <v>98</v>
      </c>
      <c r="E416" s="200">
        <v>2948000000</v>
      </c>
      <c r="F416" s="200">
        <v>102136599</v>
      </c>
      <c r="G416" s="200">
        <f>'25.企業債（24決算）'!G416+'25.企業債（25決算）'!F416</f>
        <v>670175022</v>
      </c>
      <c r="H416" s="200">
        <f t="shared" si="7"/>
        <v>2277824978</v>
      </c>
      <c r="I416" s="201">
        <v>2.2000000000000002</v>
      </c>
      <c r="J416" s="216" t="s">
        <v>56</v>
      </c>
    </row>
    <row r="417" spans="1:10" ht="14.25" customHeight="1">
      <c r="A417" s="203"/>
      <c r="B417" s="206">
        <v>14</v>
      </c>
      <c r="C417" s="205" t="s">
        <v>164</v>
      </c>
      <c r="D417" s="206" t="s">
        <v>53</v>
      </c>
      <c r="E417" s="200">
        <v>519000000</v>
      </c>
      <c r="F417" s="200">
        <v>19021315</v>
      </c>
      <c r="G417" s="200">
        <f>'25.企業債（24決算）'!G417+'25.企業債（25決算）'!F417</f>
        <v>110787952</v>
      </c>
      <c r="H417" s="200">
        <f t="shared" si="7"/>
        <v>408212048</v>
      </c>
      <c r="I417" s="201">
        <v>1.2</v>
      </c>
      <c r="J417" s="216" t="s">
        <v>58</v>
      </c>
    </row>
    <row r="418" spans="1:10" ht="14.25" customHeight="1">
      <c r="A418" s="203"/>
      <c r="B418" s="204">
        <v>14</v>
      </c>
      <c r="C418" s="205" t="s">
        <v>189</v>
      </c>
      <c r="D418" s="206" t="s">
        <v>53</v>
      </c>
      <c r="E418" s="200">
        <v>2551000000</v>
      </c>
      <c r="F418" s="200">
        <v>102238433</v>
      </c>
      <c r="G418" s="200">
        <f>'25.企業債（24決算）'!G418+'25.企業債（25決算）'!F418</f>
        <v>594022477</v>
      </c>
      <c r="H418" s="200">
        <f t="shared" si="7"/>
        <v>1956977523</v>
      </c>
      <c r="I418" s="201">
        <v>1.3</v>
      </c>
      <c r="J418" s="216" t="s">
        <v>54</v>
      </c>
    </row>
    <row r="419" spans="1:10" ht="14.25" customHeight="1">
      <c r="A419" s="203"/>
      <c r="B419" s="206">
        <v>15</v>
      </c>
      <c r="C419" s="205" t="s">
        <v>189</v>
      </c>
      <c r="D419" s="206" t="s">
        <v>55</v>
      </c>
      <c r="E419" s="200">
        <v>992000000</v>
      </c>
      <c r="F419" s="200">
        <v>37487287</v>
      </c>
      <c r="G419" s="200">
        <f>'25.企業債（24決算）'!G419+'25.企業債（25決算）'!F419</f>
        <v>180544395</v>
      </c>
      <c r="H419" s="200">
        <f t="shared" si="7"/>
        <v>811455605</v>
      </c>
      <c r="I419" s="201">
        <v>1.9</v>
      </c>
      <c r="J419" s="216" t="s">
        <v>56</v>
      </c>
    </row>
    <row r="420" spans="1:10" ht="14.25" customHeight="1">
      <c r="A420" s="203"/>
      <c r="B420" s="206">
        <v>16</v>
      </c>
      <c r="C420" s="205" t="s">
        <v>189</v>
      </c>
      <c r="D420" s="206" t="s">
        <v>57</v>
      </c>
      <c r="E420" s="200">
        <v>235000000</v>
      </c>
      <c r="F420" s="200">
        <v>8562434</v>
      </c>
      <c r="G420" s="200">
        <f>'25.企業債（24決算）'!G420+'25.企業債（25決算）'!F420</f>
        <v>33202190</v>
      </c>
      <c r="H420" s="200">
        <f t="shared" si="7"/>
        <v>201797810</v>
      </c>
      <c r="I420" s="201">
        <v>2.1</v>
      </c>
      <c r="J420" s="216" t="s">
        <v>58</v>
      </c>
    </row>
    <row r="421" spans="1:10" ht="14.25" customHeight="1">
      <c r="A421" s="203"/>
      <c r="B421" s="206">
        <v>17</v>
      </c>
      <c r="C421" s="205" t="s">
        <v>189</v>
      </c>
      <c r="D421" s="206" t="s">
        <v>62</v>
      </c>
      <c r="E421" s="200">
        <v>100000000</v>
      </c>
      <c r="F421" s="200">
        <v>3603381</v>
      </c>
      <c r="G421" s="200">
        <f>'25.企業債（24決算）'!G421+'25.企業債（25決算）'!F421</f>
        <v>10598539</v>
      </c>
      <c r="H421" s="200">
        <f t="shared" si="7"/>
        <v>89401461</v>
      </c>
      <c r="I421" s="201">
        <v>2</v>
      </c>
      <c r="J421" s="216" t="s">
        <v>63</v>
      </c>
    </row>
    <row r="422" spans="1:10" ht="14.25" customHeight="1">
      <c r="A422" s="203"/>
      <c r="B422" s="206">
        <v>18</v>
      </c>
      <c r="C422" s="205" t="s">
        <v>189</v>
      </c>
      <c r="D422" s="206" t="s">
        <v>347</v>
      </c>
      <c r="E422" s="200">
        <v>259000000</v>
      </c>
      <c r="F422" s="200">
        <v>9050736</v>
      </c>
      <c r="G422" s="200">
        <f>'25.企業債（24決算）'!G422+'25.企業債（25決算）'!F422</f>
        <v>17914359</v>
      </c>
      <c r="H422" s="200">
        <f t="shared" si="7"/>
        <v>241085641</v>
      </c>
      <c r="I422" s="201">
        <v>2.1</v>
      </c>
      <c r="J422" s="216" t="s">
        <v>344</v>
      </c>
    </row>
    <row r="423" spans="1:10" ht="14.25" customHeight="1">
      <c r="A423" s="203"/>
      <c r="B423" s="206">
        <v>19</v>
      </c>
      <c r="C423" s="205" t="s">
        <v>495</v>
      </c>
      <c r="D423" s="204" t="s">
        <v>632</v>
      </c>
      <c r="E423" s="200">
        <v>63000000</v>
      </c>
      <c r="F423" s="200">
        <v>2168756</v>
      </c>
      <c r="G423" s="200">
        <f>'25.企業債（23決算）'!G423+'25.企業債（25決算）'!F423</f>
        <v>2168756</v>
      </c>
      <c r="H423" s="200">
        <f t="shared" si="7"/>
        <v>60831244</v>
      </c>
      <c r="I423" s="201">
        <v>2.0499999999999998</v>
      </c>
      <c r="J423" s="202" t="s">
        <v>661</v>
      </c>
    </row>
    <row r="424" spans="1:10" ht="14.25" customHeight="1">
      <c r="A424" s="203"/>
      <c r="B424" s="206">
        <v>20</v>
      </c>
      <c r="C424" s="217" t="s">
        <v>695</v>
      </c>
      <c r="D424" s="204" t="s">
        <v>624</v>
      </c>
      <c r="E424" s="200">
        <v>55000000</v>
      </c>
      <c r="F424" s="200">
        <v>0</v>
      </c>
      <c r="G424" s="200">
        <f>'25.企業債（23決算）'!G424+'25.企業債（25決算）'!F424</f>
        <v>0</v>
      </c>
      <c r="H424" s="200">
        <f t="shared" si="7"/>
        <v>55000000</v>
      </c>
      <c r="I424" s="201">
        <v>1.9</v>
      </c>
      <c r="J424" s="202" t="s">
        <v>662</v>
      </c>
    </row>
    <row r="425" spans="1:10" ht="14.25" customHeight="1">
      <c r="A425" s="203"/>
      <c r="B425" s="206">
        <v>21</v>
      </c>
      <c r="C425" s="217" t="s">
        <v>698</v>
      </c>
      <c r="D425" s="204" t="s">
        <v>808</v>
      </c>
      <c r="E425" s="200">
        <v>19000000</v>
      </c>
      <c r="F425" s="200">
        <v>0</v>
      </c>
      <c r="G425" s="200">
        <f>'25.企業債（23決算）'!G425+'25.企業債（25決算）'!F425</f>
        <v>0</v>
      </c>
      <c r="H425" s="200">
        <f t="shared" si="7"/>
        <v>19000000</v>
      </c>
      <c r="I425" s="201">
        <v>2.1</v>
      </c>
      <c r="J425" s="202" t="s">
        <v>696</v>
      </c>
    </row>
    <row r="426" spans="1:10" ht="14.25" customHeight="1">
      <c r="A426" s="203"/>
      <c r="B426" s="206">
        <v>22</v>
      </c>
      <c r="C426" s="217" t="s">
        <v>886</v>
      </c>
      <c r="D426" s="204" t="s">
        <v>887</v>
      </c>
      <c r="E426" s="200">
        <v>4000000</v>
      </c>
      <c r="F426" s="200">
        <v>0</v>
      </c>
      <c r="G426" s="200">
        <f>'25.企業債（23決算）'!G426+'25.企業債（25決算）'!F426</f>
        <v>0</v>
      </c>
      <c r="H426" s="200">
        <f t="shared" si="7"/>
        <v>4000000</v>
      </c>
      <c r="I426" s="201">
        <v>1.9</v>
      </c>
      <c r="J426" s="202" t="s">
        <v>888</v>
      </c>
    </row>
    <row r="427" spans="1:10" ht="17.25" customHeight="1">
      <c r="A427" s="219" t="s">
        <v>376</v>
      </c>
      <c r="B427" s="220" t="s">
        <v>173</v>
      </c>
      <c r="C427" s="221" t="s">
        <v>173</v>
      </c>
      <c r="D427" s="222" t="s">
        <v>173</v>
      </c>
      <c r="E427" s="245">
        <f>SUM(E390:E406,E411:E426)</f>
        <v>59756000000</v>
      </c>
      <c r="F427" s="245">
        <f>SUM(F390:F406,F411:F426)</f>
        <v>2964805640</v>
      </c>
      <c r="G427" s="245">
        <f>SUM(G390:G406,G411:G426)</f>
        <v>24981448130</v>
      </c>
      <c r="H427" s="245">
        <f>SUM(H390:H406,H411:H426)</f>
        <v>34774551870</v>
      </c>
      <c r="I427" s="223"/>
      <c r="J427" s="224" t="s">
        <v>173</v>
      </c>
    </row>
    <row r="428" spans="1:10" ht="14.25" customHeight="1">
      <c r="A428" s="215" t="s">
        <v>300</v>
      </c>
      <c r="B428" s="206" t="s">
        <v>35</v>
      </c>
      <c r="C428" s="205" t="s">
        <v>189</v>
      </c>
      <c r="D428" s="206" t="s">
        <v>104</v>
      </c>
      <c r="E428" s="200">
        <v>2079000000</v>
      </c>
      <c r="F428" s="200">
        <v>1179596050</v>
      </c>
      <c r="G428" s="200">
        <f>'25.企業債（24決算）'!G428+'25.企業債（25決算）'!F428</f>
        <v>2079000000</v>
      </c>
      <c r="H428" s="200">
        <f t="shared" ref="H428:H466" si="8">E428-G428</f>
        <v>0</v>
      </c>
      <c r="I428" s="201">
        <v>4.75</v>
      </c>
      <c r="J428" s="147" t="s">
        <v>1710</v>
      </c>
    </row>
    <row r="429" spans="1:10" ht="14.25" customHeight="1">
      <c r="A429" s="203" t="s">
        <v>182</v>
      </c>
      <c r="B429" s="206">
        <v>6</v>
      </c>
      <c r="C429" s="205" t="s">
        <v>189</v>
      </c>
      <c r="D429" s="206" t="s">
        <v>105</v>
      </c>
      <c r="E429" s="200">
        <v>5630000000</v>
      </c>
      <c r="F429" s="200">
        <v>3186798678</v>
      </c>
      <c r="G429" s="200">
        <f>'25.企業債（24決算）'!G429+'25.企業債（25決算）'!F429</f>
        <v>5630000000</v>
      </c>
      <c r="H429" s="200">
        <f t="shared" si="8"/>
        <v>0</v>
      </c>
      <c r="I429" s="201">
        <v>4.7</v>
      </c>
      <c r="J429" s="147" t="s">
        <v>1710</v>
      </c>
    </row>
    <row r="430" spans="1:10" ht="14.25" customHeight="1">
      <c r="A430" s="203"/>
      <c r="B430" s="206">
        <v>6</v>
      </c>
      <c r="C430" s="205" t="s">
        <v>180</v>
      </c>
      <c r="D430" s="206" t="s">
        <v>106</v>
      </c>
      <c r="E430" s="200">
        <v>2312000000</v>
      </c>
      <c r="F430" s="200">
        <v>0</v>
      </c>
      <c r="G430" s="200">
        <f>'25.企業債（23決算）'!G430+'25.企業債（25決算）'!F430</f>
        <v>2312000000</v>
      </c>
      <c r="H430" s="200">
        <f t="shared" si="8"/>
        <v>0</v>
      </c>
      <c r="I430" s="201">
        <v>4.5</v>
      </c>
      <c r="J430" s="202" t="s">
        <v>244</v>
      </c>
    </row>
    <row r="431" spans="1:10" ht="14.25" customHeight="1">
      <c r="A431" s="203"/>
      <c r="B431" s="206">
        <v>6</v>
      </c>
      <c r="C431" s="205" t="s">
        <v>185</v>
      </c>
      <c r="D431" s="206" t="s">
        <v>107</v>
      </c>
      <c r="E431" s="200">
        <v>8743000000</v>
      </c>
      <c r="F431" s="200">
        <v>340993379</v>
      </c>
      <c r="G431" s="200">
        <f>'25.企業債（24決算）'!G431+'25.企業債（25決算）'!F431</f>
        <v>3700095178</v>
      </c>
      <c r="H431" s="200">
        <f t="shared" si="8"/>
        <v>5042904822</v>
      </c>
      <c r="I431" s="201">
        <v>3.15</v>
      </c>
      <c r="J431" s="202" t="s">
        <v>293</v>
      </c>
    </row>
    <row r="432" spans="1:10" ht="14.25" customHeight="1">
      <c r="A432" s="215"/>
      <c r="B432" s="204">
        <v>7</v>
      </c>
      <c r="C432" s="205" t="s">
        <v>189</v>
      </c>
      <c r="D432" s="204" t="s">
        <v>39</v>
      </c>
      <c r="E432" s="200">
        <v>1752000000</v>
      </c>
      <c r="F432" s="200">
        <v>76770218</v>
      </c>
      <c r="G432" s="200">
        <f>'25.企業債（24決算）'!G432+'25.企業債（25決算）'!F432</f>
        <v>831424890</v>
      </c>
      <c r="H432" s="200">
        <f t="shared" si="8"/>
        <v>920575110</v>
      </c>
      <c r="I432" s="201">
        <v>3.25</v>
      </c>
      <c r="J432" s="202" t="s">
        <v>286</v>
      </c>
    </row>
    <row r="433" spans="1:10" ht="14.25" customHeight="1">
      <c r="A433" s="203"/>
      <c r="B433" s="206">
        <v>7</v>
      </c>
      <c r="C433" s="205" t="s">
        <v>189</v>
      </c>
      <c r="D433" s="206" t="s">
        <v>39</v>
      </c>
      <c r="E433" s="200">
        <v>7579000000</v>
      </c>
      <c r="F433" s="200">
        <v>332165876</v>
      </c>
      <c r="G433" s="200">
        <f>'25.企業債（24決算）'!G433+'25.企業債（25決算）'!F433</f>
        <v>3607177739</v>
      </c>
      <c r="H433" s="200">
        <f t="shared" si="8"/>
        <v>3971822261</v>
      </c>
      <c r="I433" s="201">
        <v>3.2</v>
      </c>
      <c r="J433" s="202" t="s">
        <v>286</v>
      </c>
    </row>
    <row r="434" spans="1:10" ht="14.25" customHeight="1">
      <c r="A434" s="203"/>
      <c r="B434" s="206">
        <v>7</v>
      </c>
      <c r="C434" s="205" t="s">
        <v>266</v>
      </c>
      <c r="D434" s="206" t="s">
        <v>109</v>
      </c>
      <c r="E434" s="200">
        <v>2000000000</v>
      </c>
      <c r="F434" s="200">
        <v>0</v>
      </c>
      <c r="G434" s="200">
        <f>'25.企業債（23決算）'!G434+'25.企業債（25決算）'!F434</f>
        <v>2000000000</v>
      </c>
      <c r="H434" s="200">
        <f t="shared" si="8"/>
        <v>0</v>
      </c>
      <c r="I434" s="201">
        <v>3.3</v>
      </c>
      <c r="J434" s="202" t="s">
        <v>247</v>
      </c>
    </row>
    <row r="435" spans="1:10" ht="14.25" customHeight="1">
      <c r="A435" s="215"/>
      <c r="B435" s="206">
        <v>7</v>
      </c>
      <c r="C435" s="205" t="s">
        <v>185</v>
      </c>
      <c r="D435" s="206" t="s">
        <v>110</v>
      </c>
      <c r="E435" s="200">
        <v>839842385</v>
      </c>
      <c r="F435" s="200">
        <v>0</v>
      </c>
      <c r="G435" s="200">
        <f>'25.企業債（23決算）'!G435+'25.企業債（25決算）'!F435</f>
        <v>839842385</v>
      </c>
      <c r="H435" s="200">
        <f t="shared" si="8"/>
        <v>0</v>
      </c>
      <c r="I435" s="201">
        <v>2.8</v>
      </c>
      <c r="J435" s="202" t="s">
        <v>469</v>
      </c>
    </row>
    <row r="436" spans="1:10" ht="14.25" customHeight="1">
      <c r="A436" s="203"/>
      <c r="B436" s="206">
        <v>8</v>
      </c>
      <c r="C436" s="205" t="s">
        <v>266</v>
      </c>
      <c r="D436" s="206" t="s">
        <v>110</v>
      </c>
      <c r="E436" s="200">
        <v>2000000000</v>
      </c>
      <c r="F436" s="200">
        <v>0</v>
      </c>
      <c r="G436" s="200">
        <f>'25.企業債（23決算）'!G436+'25.企業債（25決算）'!F436</f>
        <v>2000000000</v>
      </c>
      <c r="H436" s="200">
        <f t="shared" si="8"/>
        <v>0</v>
      </c>
      <c r="I436" s="201">
        <v>2.6</v>
      </c>
      <c r="J436" s="216" t="s">
        <v>249</v>
      </c>
    </row>
    <row r="437" spans="1:10" ht="14.25" customHeight="1">
      <c r="A437" s="203"/>
      <c r="B437" s="206">
        <v>8</v>
      </c>
      <c r="C437" s="205" t="s">
        <v>189</v>
      </c>
      <c r="D437" s="206" t="s">
        <v>111</v>
      </c>
      <c r="E437" s="200">
        <v>908000000</v>
      </c>
      <c r="F437" s="200">
        <v>38640381</v>
      </c>
      <c r="G437" s="200">
        <f>'25.企業債（24決算）'!G437+'25.企業債（25決算）'!F437</f>
        <v>402278012</v>
      </c>
      <c r="H437" s="200">
        <f t="shared" si="8"/>
        <v>505721988</v>
      </c>
      <c r="I437" s="201">
        <v>2.85</v>
      </c>
      <c r="J437" s="216" t="s">
        <v>287</v>
      </c>
    </row>
    <row r="438" spans="1:10" ht="14.25" customHeight="1">
      <c r="A438" s="203"/>
      <c r="B438" s="206">
        <v>8</v>
      </c>
      <c r="C438" s="205" t="s">
        <v>189</v>
      </c>
      <c r="D438" s="206" t="s">
        <v>111</v>
      </c>
      <c r="E438" s="200">
        <v>1164000000</v>
      </c>
      <c r="F438" s="200">
        <v>49504146</v>
      </c>
      <c r="G438" s="200">
        <f>'25.企業債（24決算）'!G438+'25.企業債（25決算）'!F438</f>
        <v>514083685</v>
      </c>
      <c r="H438" s="200">
        <f t="shared" si="8"/>
        <v>649916315</v>
      </c>
      <c r="I438" s="201">
        <v>2.9</v>
      </c>
      <c r="J438" s="216" t="s">
        <v>287</v>
      </c>
    </row>
    <row r="439" spans="1:10" ht="14.25" customHeight="1">
      <c r="A439" s="203"/>
      <c r="B439" s="206">
        <v>9</v>
      </c>
      <c r="C439" s="205" t="s">
        <v>266</v>
      </c>
      <c r="D439" s="206" t="s">
        <v>112</v>
      </c>
      <c r="E439" s="200">
        <v>2000000000</v>
      </c>
      <c r="F439" s="200">
        <v>0</v>
      </c>
      <c r="G439" s="200">
        <f>'25.企業債（23決算）'!G439+'25.企業債（25決算）'!F439</f>
        <v>2000000000</v>
      </c>
      <c r="H439" s="200">
        <f t="shared" si="8"/>
        <v>0</v>
      </c>
      <c r="I439" s="201">
        <v>2</v>
      </c>
      <c r="J439" s="216" t="s">
        <v>251</v>
      </c>
    </row>
    <row r="440" spans="1:10" ht="14.25" customHeight="1">
      <c r="A440" s="203"/>
      <c r="B440" s="206">
        <v>8</v>
      </c>
      <c r="C440" s="205" t="s">
        <v>185</v>
      </c>
      <c r="D440" s="206" t="s">
        <v>42</v>
      </c>
      <c r="E440" s="200">
        <v>286740422</v>
      </c>
      <c r="F440" s="200">
        <v>0</v>
      </c>
      <c r="G440" s="200">
        <f>'25.企業債（23決算）'!G440+'25.企業債（25決算）'!F440</f>
        <v>286740422</v>
      </c>
      <c r="H440" s="200">
        <f t="shared" si="8"/>
        <v>0</v>
      </c>
      <c r="I440" s="201">
        <v>2.1</v>
      </c>
      <c r="J440" s="216" t="s">
        <v>469</v>
      </c>
    </row>
    <row r="441" spans="1:10" ht="14.25" customHeight="1">
      <c r="A441" s="203"/>
      <c r="B441" s="206">
        <v>8</v>
      </c>
      <c r="C441" s="205" t="s">
        <v>189</v>
      </c>
      <c r="D441" s="206" t="s">
        <v>42</v>
      </c>
      <c r="E441" s="200">
        <v>2118000000</v>
      </c>
      <c r="F441" s="200">
        <v>88891009</v>
      </c>
      <c r="G441" s="200">
        <f>'25.企業債（24決算）'!G441+'25.企業債（25決算）'!F441</f>
        <v>888890437</v>
      </c>
      <c r="H441" s="200">
        <f t="shared" si="8"/>
        <v>1229109563</v>
      </c>
      <c r="I441" s="201">
        <v>2.15</v>
      </c>
      <c r="J441" s="216" t="s">
        <v>293</v>
      </c>
    </row>
    <row r="442" spans="1:10" ht="14.25" customHeight="1">
      <c r="A442" s="203"/>
      <c r="B442" s="206">
        <v>9</v>
      </c>
      <c r="C442" s="205" t="s">
        <v>189</v>
      </c>
      <c r="D442" s="206" t="s">
        <v>42</v>
      </c>
      <c r="E442" s="200">
        <v>1001000000</v>
      </c>
      <c r="F442" s="200">
        <v>41714123</v>
      </c>
      <c r="G442" s="200">
        <f>'25.企業債（24決算）'!G442+'25.企業債（25決算）'!F442</f>
        <v>422281364</v>
      </c>
      <c r="H442" s="200">
        <f t="shared" si="8"/>
        <v>578718636</v>
      </c>
      <c r="I442" s="201">
        <v>2.2000000000000002</v>
      </c>
      <c r="J442" s="216" t="s">
        <v>293</v>
      </c>
    </row>
    <row r="443" spans="1:10" ht="14.25" customHeight="1">
      <c r="A443" s="203"/>
      <c r="B443" s="206">
        <v>9</v>
      </c>
      <c r="C443" s="205" t="s">
        <v>189</v>
      </c>
      <c r="D443" s="206" t="s">
        <v>42</v>
      </c>
      <c r="E443" s="200">
        <v>930000000</v>
      </c>
      <c r="F443" s="200">
        <v>38792738</v>
      </c>
      <c r="G443" s="200">
        <f>'25.企業債（24決算）'!G443+'25.企業債（25決算）'!F443</f>
        <v>393606895</v>
      </c>
      <c r="H443" s="200">
        <f t="shared" si="8"/>
        <v>536393105</v>
      </c>
      <c r="I443" s="201">
        <v>2.15</v>
      </c>
      <c r="J443" s="216" t="s">
        <v>293</v>
      </c>
    </row>
    <row r="444" spans="1:10" ht="14.25" customHeight="1">
      <c r="A444" s="203"/>
      <c r="B444" s="206">
        <v>10</v>
      </c>
      <c r="C444" s="205" t="s">
        <v>266</v>
      </c>
      <c r="D444" s="206" t="s">
        <v>115</v>
      </c>
      <c r="E444" s="200">
        <v>2000000000</v>
      </c>
      <c r="F444" s="200">
        <v>0</v>
      </c>
      <c r="G444" s="200">
        <f>'25.企業債（23決算）'!G444+'25.企業債（25決算）'!F444</f>
        <v>2000000000</v>
      </c>
      <c r="H444" s="200">
        <f t="shared" si="8"/>
        <v>0</v>
      </c>
      <c r="I444" s="201">
        <v>1.9</v>
      </c>
      <c r="J444" s="216" t="s">
        <v>253</v>
      </c>
    </row>
    <row r="445" spans="1:10" ht="14.25" customHeight="1">
      <c r="A445" s="203"/>
      <c r="B445" s="206">
        <v>9</v>
      </c>
      <c r="C445" s="205" t="s">
        <v>189</v>
      </c>
      <c r="D445" s="206" t="s">
        <v>116</v>
      </c>
      <c r="E445" s="200">
        <v>625000000</v>
      </c>
      <c r="F445" s="200">
        <v>26260475</v>
      </c>
      <c r="G445" s="200">
        <f>'25.企業債（24決算）'!G445+'25.企業債（25決算）'!F445</f>
        <v>265115478</v>
      </c>
      <c r="H445" s="200">
        <f t="shared" si="8"/>
        <v>359884522</v>
      </c>
      <c r="I445" s="201">
        <v>1.35</v>
      </c>
      <c r="J445" s="216" t="s">
        <v>294</v>
      </c>
    </row>
    <row r="446" spans="1:10" ht="14.25" customHeight="1">
      <c r="A446" s="203"/>
      <c r="B446" s="206">
        <v>9</v>
      </c>
      <c r="C446" s="205" t="s">
        <v>185</v>
      </c>
      <c r="D446" s="206" t="s">
        <v>44</v>
      </c>
      <c r="E446" s="200">
        <v>124925255</v>
      </c>
      <c r="F446" s="200">
        <v>0</v>
      </c>
      <c r="G446" s="200">
        <f>'25.企業債（23決算）'!G446+'25.企業債（25決算）'!F446</f>
        <v>124925255</v>
      </c>
      <c r="H446" s="200">
        <f t="shared" si="8"/>
        <v>0</v>
      </c>
      <c r="I446" s="201">
        <v>2.2000000000000002</v>
      </c>
      <c r="J446" s="216" t="s">
        <v>469</v>
      </c>
    </row>
    <row r="447" spans="1:10" ht="14.25" customHeight="1">
      <c r="A447" s="203"/>
      <c r="B447" s="206">
        <v>10</v>
      </c>
      <c r="C447" s="205" t="s">
        <v>189</v>
      </c>
      <c r="D447" s="206" t="s">
        <v>45</v>
      </c>
      <c r="E447" s="200">
        <v>1085000000</v>
      </c>
      <c r="F447" s="200">
        <v>44335952</v>
      </c>
      <c r="G447" s="200">
        <f>'25.企業債（24決算）'!G447+'25.企業債（25決算）'!F447</f>
        <v>415834180</v>
      </c>
      <c r="H447" s="200">
        <f t="shared" si="8"/>
        <v>669165820</v>
      </c>
      <c r="I447" s="201">
        <v>2.1</v>
      </c>
      <c r="J447" s="216" t="s">
        <v>294</v>
      </c>
    </row>
    <row r="448" spans="1:10" ht="14.25" customHeight="1">
      <c r="A448" s="203"/>
      <c r="B448" s="206">
        <v>10</v>
      </c>
      <c r="C448" s="205" t="s">
        <v>189</v>
      </c>
      <c r="D448" s="206" t="s">
        <v>45</v>
      </c>
      <c r="E448" s="200">
        <v>1063000000</v>
      </c>
      <c r="F448" s="200">
        <v>43436975</v>
      </c>
      <c r="G448" s="200">
        <f>'25.企業債（24決算）'!G448+'25.企業債（25決算）'!F448</f>
        <v>407402521</v>
      </c>
      <c r="H448" s="200">
        <f t="shared" si="8"/>
        <v>655597479</v>
      </c>
      <c r="I448" s="201">
        <v>2.1</v>
      </c>
      <c r="J448" s="216" t="s">
        <v>294</v>
      </c>
    </row>
    <row r="449" spans="1:10" ht="14.25" customHeight="1">
      <c r="A449" s="203"/>
      <c r="B449" s="206">
        <v>10</v>
      </c>
      <c r="C449" s="205" t="s">
        <v>185</v>
      </c>
      <c r="D449" s="206" t="s">
        <v>119</v>
      </c>
      <c r="E449" s="200">
        <v>53192729</v>
      </c>
      <c r="F449" s="200">
        <v>0</v>
      </c>
      <c r="G449" s="200">
        <f>'25.企業債（23決算）'!G449+'25.企業債（25決算）'!F449</f>
        <v>53192729</v>
      </c>
      <c r="H449" s="200">
        <f t="shared" si="8"/>
        <v>0</v>
      </c>
      <c r="I449" s="201">
        <v>2.1</v>
      </c>
      <c r="J449" s="216" t="s">
        <v>469</v>
      </c>
    </row>
    <row r="450" spans="1:10" ht="14.25" customHeight="1">
      <c r="A450" s="203"/>
      <c r="B450" s="206">
        <v>11</v>
      </c>
      <c r="C450" s="205" t="s">
        <v>189</v>
      </c>
      <c r="D450" s="206" t="s">
        <v>47</v>
      </c>
      <c r="E450" s="200">
        <v>663000000</v>
      </c>
      <c r="F450" s="200">
        <v>25569586</v>
      </c>
      <c r="G450" s="200">
        <f>'25.企業債（24決算）'!G450+'25.企業債（25決算）'!F450</f>
        <v>246064462</v>
      </c>
      <c r="H450" s="200">
        <f t="shared" si="8"/>
        <v>416935538</v>
      </c>
      <c r="I450" s="201">
        <v>2</v>
      </c>
      <c r="J450" s="216" t="s">
        <v>48</v>
      </c>
    </row>
    <row r="451" spans="1:10" ht="14.25" customHeight="1">
      <c r="A451" s="203"/>
      <c r="B451" s="206">
        <v>11</v>
      </c>
      <c r="C451" s="205" t="s">
        <v>189</v>
      </c>
      <c r="D451" s="206" t="s">
        <v>306</v>
      </c>
      <c r="E451" s="200">
        <v>433000000</v>
      </c>
      <c r="F451" s="200">
        <v>16699293</v>
      </c>
      <c r="G451" s="200">
        <f>'25.企業債（24決算）'!G451+'25.企業債（25決算）'!F451</f>
        <v>160702733</v>
      </c>
      <c r="H451" s="200">
        <f t="shared" si="8"/>
        <v>272297267</v>
      </c>
      <c r="I451" s="201">
        <v>2</v>
      </c>
      <c r="J451" s="216" t="s">
        <v>48</v>
      </c>
    </row>
    <row r="452" spans="1:10" ht="14.25" customHeight="1">
      <c r="A452" s="203"/>
      <c r="B452" s="206">
        <v>11</v>
      </c>
      <c r="C452" s="205" t="s">
        <v>185</v>
      </c>
      <c r="D452" s="206" t="s">
        <v>122</v>
      </c>
      <c r="E452" s="200">
        <v>31008169</v>
      </c>
      <c r="F452" s="200">
        <v>0</v>
      </c>
      <c r="G452" s="200">
        <f>'25.企業債（23決算）'!G452+'25.企業債（25決算）'!F452</f>
        <v>31008169</v>
      </c>
      <c r="H452" s="200">
        <f t="shared" si="8"/>
        <v>0</v>
      </c>
      <c r="I452" s="201">
        <v>2</v>
      </c>
      <c r="J452" s="216" t="s">
        <v>469</v>
      </c>
    </row>
    <row r="453" spans="1:10" ht="14.25" customHeight="1">
      <c r="A453" s="203"/>
      <c r="B453" s="206">
        <v>12</v>
      </c>
      <c r="C453" s="205" t="s">
        <v>164</v>
      </c>
      <c r="D453" s="206" t="s">
        <v>95</v>
      </c>
      <c r="E453" s="200">
        <v>103000000</v>
      </c>
      <c r="F453" s="200">
        <v>0</v>
      </c>
      <c r="G453" s="200">
        <f>'25.企業債（23決算）'!G453+'25.企業債（25決算）'!F453</f>
        <v>103000000</v>
      </c>
      <c r="H453" s="200">
        <f t="shared" si="8"/>
        <v>0</v>
      </c>
      <c r="I453" s="201">
        <v>1.6</v>
      </c>
      <c r="J453" s="216" t="s">
        <v>469</v>
      </c>
    </row>
    <row r="454" spans="1:10" ht="14.25" customHeight="1">
      <c r="A454" s="203"/>
      <c r="B454" s="206">
        <v>13</v>
      </c>
      <c r="C454" s="205" t="s">
        <v>165</v>
      </c>
      <c r="D454" s="206" t="s">
        <v>124</v>
      </c>
      <c r="E454" s="200">
        <v>47194000</v>
      </c>
      <c r="F454" s="200">
        <v>0</v>
      </c>
      <c r="G454" s="200">
        <f>'25.企業債（23決算）'!G454+'25.企業債（25決算）'!F454</f>
        <v>47194000</v>
      </c>
      <c r="H454" s="200">
        <f t="shared" si="8"/>
        <v>0</v>
      </c>
      <c r="I454" s="201" t="s">
        <v>125</v>
      </c>
      <c r="J454" s="216" t="s">
        <v>151</v>
      </c>
    </row>
    <row r="455" spans="1:10" ht="14.25" customHeight="1">
      <c r="A455" s="203"/>
      <c r="B455" s="206">
        <v>13</v>
      </c>
      <c r="C455" s="205" t="s">
        <v>164</v>
      </c>
      <c r="D455" s="206" t="s">
        <v>152</v>
      </c>
      <c r="E455" s="200">
        <v>42000000</v>
      </c>
      <c r="F455" s="200">
        <v>0</v>
      </c>
      <c r="G455" s="200">
        <f>'25.企業債（23決算）'!G455+'25.企業債（25決算）'!F455</f>
        <v>42000000</v>
      </c>
      <c r="H455" s="200">
        <f t="shared" si="8"/>
        <v>0</v>
      </c>
      <c r="I455" s="201">
        <v>1.4</v>
      </c>
      <c r="J455" s="202" t="s">
        <v>469</v>
      </c>
    </row>
    <row r="456" spans="1:10" ht="14.25" customHeight="1">
      <c r="A456" s="203"/>
      <c r="B456" s="206">
        <v>14</v>
      </c>
      <c r="C456" s="205" t="s">
        <v>189</v>
      </c>
      <c r="D456" s="206" t="s">
        <v>53</v>
      </c>
      <c r="E456" s="200">
        <v>46000000</v>
      </c>
      <c r="F456" s="200">
        <v>1838255</v>
      </c>
      <c r="G456" s="200">
        <f>'25.企業債（24決算）'!G456+'25.企業債（25決算）'!F456</f>
        <v>10813408</v>
      </c>
      <c r="H456" s="200">
        <f t="shared" si="8"/>
        <v>35186592</v>
      </c>
      <c r="I456" s="201">
        <v>1.3</v>
      </c>
      <c r="J456" s="216" t="s">
        <v>54</v>
      </c>
    </row>
    <row r="457" spans="1:10" ht="14.25" customHeight="1">
      <c r="A457" s="203"/>
      <c r="B457" s="206">
        <v>15</v>
      </c>
      <c r="C457" s="205" t="s">
        <v>189</v>
      </c>
      <c r="D457" s="206" t="s">
        <v>55</v>
      </c>
      <c r="E457" s="200">
        <v>1137000000</v>
      </c>
      <c r="F457" s="200">
        <v>42966779</v>
      </c>
      <c r="G457" s="200">
        <f>'25.企業債（24決算）'!G457+'25.企業債（25決算）'!F457</f>
        <v>206934452</v>
      </c>
      <c r="H457" s="200">
        <f t="shared" si="8"/>
        <v>930065548</v>
      </c>
      <c r="I457" s="201">
        <v>1.9</v>
      </c>
      <c r="J457" s="216" t="s">
        <v>56</v>
      </c>
    </row>
    <row r="458" spans="1:10" ht="14.25" customHeight="1">
      <c r="A458" s="218"/>
      <c r="B458" s="204">
        <v>14</v>
      </c>
      <c r="C458" s="205" t="s">
        <v>164</v>
      </c>
      <c r="D458" s="206" t="s">
        <v>157</v>
      </c>
      <c r="E458" s="200">
        <v>6867162</v>
      </c>
      <c r="F458" s="200">
        <v>0</v>
      </c>
      <c r="G458" s="200">
        <f>'25.企業債（23決算）'!G458+'25.企業債（25決算）'!F458</f>
        <v>6867162</v>
      </c>
      <c r="H458" s="200">
        <f t="shared" si="8"/>
        <v>0</v>
      </c>
      <c r="I458" s="201">
        <v>2</v>
      </c>
      <c r="J458" s="216" t="s">
        <v>469</v>
      </c>
    </row>
    <row r="459" spans="1:10" ht="14.25" customHeight="1">
      <c r="A459" s="218"/>
      <c r="B459" s="206">
        <v>15</v>
      </c>
      <c r="C459" s="205" t="s">
        <v>189</v>
      </c>
      <c r="D459" s="206" t="s">
        <v>158</v>
      </c>
      <c r="E459" s="200">
        <v>398000000</v>
      </c>
      <c r="F459" s="200">
        <v>14776015</v>
      </c>
      <c r="G459" s="200">
        <f>'25.企業債（24決算）'!G459+'25.企業債（25決算）'!F459</f>
        <v>64236661</v>
      </c>
      <c r="H459" s="200">
        <f t="shared" si="8"/>
        <v>333763339</v>
      </c>
      <c r="I459" s="201">
        <v>2</v>
      </c>
      <c r="J459" s="202" t="s">
        <v>58</v>
      </c>
    </row>
    <row r="460" spans="1:10" ht="14.25" customHeight="1">
      <c r="A460" s="218"/>
      <c r="B460" s="206">
        <v>15</v>
      </c>
      <c r="C460" s="205" t="s">
        <v>164</v>
      </c>
      <c r="D460" s="206" t="s">
        <v>160</v>
      </c>
      <c r="E460" s="200">
        <v>3390000000</v>
      </c>
      <c r="F460" s="200">
        <v>112260152</v>
      </c>
      <c r="G460" s="200">
        <f>'25.企業債（24決算）'!G460+'25.企業債（25決算）'!F460</f>
        <v>487206456</v>
      </c>
      <c r="H460" s="200">
        <f t="shared" si="8"/>
        <v>2902793544</v>
      </c>
      <c r="I460" s="201">
        <v>2.1</v>
      </c>
      <c r="J460" s="216" t="s">
        <v>139</v>
      </c>
    </row>
    <row r="461" spans="1:10" ht="14.25" customHeight="1">
      <c r="A461" s="218"/>
      <c r="B461" s="204">
        <v>7</v>
      </c>
      <c r="C461" s="205" t="s">
        <v>164</v>
      </c>
      <c r="D461" s="206" t="s">
        <v>126</v>
      </c>
      <c r="E461" s="200">
        <v>8684157615</v>
      </c>
      <c r="F461" s="200">
        <v>362558967</v>
      </c>
      <c r="G461" s="200">
        <f>'25.企業債（24決算）'!G461+'25.企業債（25決算）'!F461</f>
        <v>2927090826</v>
      </c>
      <c r="H461" s="200">
        <f t="shared" si="8"/>
        <v>5757066789</v>
      </c>
      <c r="I461" s="201">
        <v>2.8</v>
      </c>
      <c r="J461" s="216" t="s">
        <v>294</v>
      </c>
    </row>
    <row r="462" spans="1:10" ht="14.25" customHeight="1">
      <c r="A462" s="218"/>
      <c r="B462" s="206">
        <v>8</v>
      </c>
      <c r="C462" s="205" t="s">
        <v>164</v>
      </c>
      <c r="D462" s="206" t="s">
        <v>126</v>
      </c>
      <c r="E462" s="200">
        <v>4067259578</v>
      </c>
      <c r="F462" s="200">
        <v>164510813</v>
      </c>
      <c r="G462" s="200">
        <f>'25.企業債（24決算）'!G462+'25.企業債（25決算）'!F462</f>
        <v>1363885783</v>
      </c>
      <c r="H462" s="200">
        <f t="shared" si="8"/>
        <v>2703373795</v>
      </c>
      <c r="I462" s="201">
        <v>2.1</v>
      </c>
      <c r="J462" s="216" t="s">
        <v>48</v>
      </c>
    </row>
    <row r="463" spans="1:10" ht="14.25" customHeight="1">
      <c r="A463" s="218"/>
      <c r="B463" s="206">
        <v>11</v>
      </c>
      <c r="C463" s="205" t="s">
        <v>164</v>
      </c>
      <c r="D463" s="206" t="s">
        <v>126</v>
      </c>
      <c r="E463" s="200">
        <v>586991831</v>
      </c>
      <c r="F463" s="200">
        <v>21248926</v>
      </c>
      <c r="G463" s="200">
        <f>'25.企業債（24決算）'!G463+'25.企業債（25決算）'!F463</f>
        <v>167824786</v>
      </c>
      <c r="H463" s="200">
        <f t="shared" si="8"/>
        <v>419167045</v>
      </c>
      <c r="I463" s="201">
        <v>2</v>
      </c>
      <c r="J463" s="202" t="s">
        <v>54</v>
      </c>
    </row>
    <row r="464" spans="1:10" ht="14.25" customHeight="1">
      <c r="A464" s="218"/>
      <c r="B464" s="206">
        <v>12</v>
      </c>
      <c r="C464" s="205" t="s">
        <v>164</v>
      </c>
      <c r="D464" s="206" t="s">
        <v>126</v>
      </c>
      <c r="E464" s="200">
        <v>1398000000</v>
      </c>
      <c r="F464" s="200">
        <v>51297703</v>
      </c>
      <c r="G464" s="200">
        <f>'25.企業債（24決算）'!G464+'25.企業債（25決算）'!F464</f>
        <v>388377153</v>
      </c>
      <c r="H464" s="200">
        <f t="shared" si="8"/>
        <v>1009622847</v>
      </c>
      <c r="I464" s="201">
        <v>1.6</v>
      </c>
      <c r="J464" s="202" t="s">
        <v>54</v>
      </c>
    </row>
    <row r="465" spans="1:10" ht="14.25" customHeight="1">
      <c r="A465" s="218"/>
      <c r="B465" s="206">
        <v>14</v>
      </c>
      <c r="C465" s="205" t="s">
        <v>164</v>
      </c>
      <c r="D465" s="206" t="s">
        <v>126</v>
      </c>
      <c r="E465" s="200">
        <v>2371132838</v>
      </c>
      <c r="F465" s="200">
        <v>80059190</v>
      </c>
      <c r="G465" s="200">
        <f>'25.企業債（24決算）'!G465+'25.企業債（25決算）'!F465</f>
        <v>384828904</v>
      </c>
      <c r="H465" s="200">
        <f t="shared" si="8"/>
        <v>1986303934</v>
      </c>
      <c r="I465" s="201">
        <v>2</v>
      </c>
      <c r="J465" s="202" t="s">
        <v>63</v>
      </c>
    </row>
    <row r="466" spans="1:10" ht="14.25" customHeight="1" thickBot="1">
      <c r="A466" s="218"/>
      <c r="B466" s="206">
        <v>16</v>
      </c>
      <c r="C466" s="205" t="s">
        <v>189</v>
      </c>
      <c r="D466" s="206" t="s">
        <v>699</v>
      </c>
      <c r="E466" s="200">
        <v>4470000000</v>
      </c>
      <c r="F466" s="200">
        <v>162868428</v>
      </c>
      <c r="G466" s="200">
        <f>'25.企業債（24決算）'!G466+'25.企業債（25決算）'!F466</f>
        <v>631548040</v>
      </c>
      <c r="H466" s="200">
        <f t="shared" si="8"/>
        <v>3838451960</v>
      </c>
      <c r="I466" s="201">
        <v>2.1</v>
      </c>
      <c r="J466" s="202" t="s">
        <v>700</v>
      </c>
    </row>
    <row r="467" spans="1:10" ht="9.75" customHeight="1" thickBot="1">
      <c r="A467" s="257"/>
      <c r="B467" s="258"/>
      <c r="C467" s="257"/>
      <c r="D467" s="258"/>
      <c r="E467" s="259"/>
      <c r="F467" s="259"/>
      <c r="G467" s="259"/>
      <c r="H467" s="259"/>
      <c r="I467" s="260"/>
      <c r="J467" s="261"/>
    </row>
    <row r="468" spans="1:10">
      <c r="A468" s="479" t="s">
        <v>26</v>
      </c>
      <c r="B468" s="481" t="s">
        <v>311</v>
      </c>
      <c r="C468" s="483" t="s">
        <v>27</v>
      </c>
      <c r="D468" s="481" t="s">
        <v>312</v>
      </c>
      <c r="E468" s="485" t="s">
        <v>28</v>
      </c>
      <c r="F468" s="487" t="s">
        <v>29</v>
      </c>
      <c r="G468" s="493"/>
      <c r="H468" s="489" t="s">
        <v>174</v>
      </c>
      <c r="I468" s="491" t="s">
        <v>30</v>
      </c>
      <c r="J468" s="477" t="s">
        <v>313</v>
      </c>
    </row>
    <row r="469" spans="1:10">
      <c r="A469" s="480"/>
      <c r="B469" s="482"/>
      <c r="C469" s="484"/>
      <c r="D469" s="482"/>
      <c r="E469" s="486"/>
      <c r="F469" s="207" t="s">
        <v>176</v>
      </c>
      <c r="G469" s="207" t="s">
        <v>305</v>
      </c>
      <c r="H469" s="490"/>
      <c r="I469" s="492"/>
      <c r="J469" s="478"/>
    </row>
    <row r="470" spans="1:10">
      <c r="A470" s="209"/>
      <c r="B470" s="210"/>
      <c r="C470" s="210"/>
      <c r="D470" s="211" t="s">
        <v>177</v>
      </c>
      <c r="E470" s="212" t="s">
        <v>178</v>
      </c>
      <c r="F470" s="212" t="s">
        <v>172</v>
      </c>
      <c r="G470" s="212" t="s">
        <v>178</v>
      </c>
      <c r="H470" s="212" t="s">
        <v>178</v>
      </c>
      <c r="I470" s="213" t="s">
        <v>31</v>
      </c>
      <c r="J470" s="214" t="s">
        <v>175</v>
      </c>
    </row>
    <row r="471" spans="1:10" ht="14.25" customHeight="1">
      <c r="A471" s="215" t="s">
        <v>300</v>
      </c>
      <c r="B471" s="204" t="s">
        <v>343</v>
      </c>
      <c r="C471" s="205" t="s">
        <v>164</v>
      </c>
      <c r="D471" s="206" t="s">
        <v>701</v>
      </c>
      <c r="E471" s="200">
        <v>2132074745</v>
      </c>
      <c r="F471" s="200">
        <v>83577067</v>
      </c>
      <c r="G471" s="200">
        <f>'25.企業債（24決算）'!G471+'25.企業債（25決算）'!F471</f>
        <v>690260781</v>
      </c>
      <c r="H471" s="200">
        <f t="shared" ref="H471:H491" si="9">E471-G471</f>
        <v>1441813964</v>
      </c>
      <c r="I471" s="201">
        <v>2.2000000000000002</v>
      </c>
      <c r="J471" s="202" t="s">
        <v>94</v>
      </c>
    </row>
    <row r="472" spans="1:10" ht="14.25" customHeight="1">
      <c r="A472" s="203" t="s">
        <v>182</v>
      </c>
      <c r="B472" s="206">
        <v>10</v>
      </c>
      <c r="C472" s="205" t="s">
        <v>164</v>
      </c>
      <c r="D472" s="206" t="s">
        <v>301</v>
      </c>
      <c r="E472" s="200">
        <v>2010807271</v>
      </c>
      <c r="F472" s="200">
        <v>75068875</v>
      </c>
      <c r="G472" s="200">
        <f>'25.企業債（24決算）'!G472+'25.企業債（25決算）'!F472</f>
        <v>622362559</v>
      </c>
      <c r="H472" s="200">
        <f t="shared" si="9"/>
        <v>1388444712</v>
      </c>
      <c r="I472" s="201">
        <v>2.1</v>
      </c>
      <c r="J472" s="202" t="s">
        <v>50</v>
      </c>
    </row>
    <row r="473" spans="1:10" ht="14.25" customHeight="1">
      <c r="A473" s="215"/>
      <c r="B473" s="204">
        <v>13</v>
      </c>
      <c r="C473" s="205" t="s">
        <v>164</v>
      </c>
      <c r="D473" s="206" t="s">
        <v>301</v>
      </c>
      <c r="E473" s="200">
        <v>1799000000</v>
      </c>
      <c r="F473" s="200">
        <v>65390174</v>
      </c>
      <c r="G473" s="200">
        <f>'25.企業債（24決算）'!G473+'25.企業債（25決算）'!F473</f>
        <v>409174949</v>
      </c>
      <c r="H473" s="200">
        <f t="shared" si="9"/>
        <v>1389825051</v>
      </c>
      <c r="I473" s="201">
        <v>1.4</v>
      </c>
      <c r="J473" s="216" t="s">
        <v>58</v>
      </c>
    </row>
    <row r="474" spans="1:10" ht="14.25" customHeight="1">
      <c r="A474" s="203"/>
      <c r="B474" s="206">
        <v>16</v>
      </c>
      <c r="C474" s="205" t="s">
        <v>164</v>
      </c>
      <c r="D474" s="206" t="s">
        <v>672</v>
      </c>
      <c r="E474" s="200">
        <v>1424000000</v>
      </c>
      <c r="F474" s="200">
        <v>46666064</v>
      </c>
      <c r="G474" s="200">
        <f>'25.企業債（24決算）'!G474+'25.企業債（25決算）'!F474</f>
        <v>159347922</v>
      </c>
      <c r="H474" s="200">
        <f t="shared" si="9"/>
        <v>1264652078</v>
      </c>
      <c r="I474" s="201">
        <v>2</v>
      </c>
      <c r="J474" s="202" t="s">
        <v>141</v>
      </c>
    </row>
    <row r="475" spans="1:10" ht="14.25" customHeight="1">
      <c r="A475" s="203"/>
      <c r="B475" s="206">
        <v>16</v>
      </c>
      <c r="C475" s="205" t="s">
        <v>189</v>
      </c>
      <c r="D475" s="206" t="s">
        <v>672</v>
      </c>
      <c r="E475" s="200">
        <v>279000000</v>
      </c>
      <c r="F475" s="200">
        <v>10248436</v>
      </c>
      <c r="G475" s="200">
        <f>'25.企業債（24決算）'!G475+'25.企業債（25決算）'!F475</f>
        <v>35037459</v>
      </c>
      <c r="H475" s="200">
        <f t="shared" si="9"/>
        <v>243962541</v>
      </c>
      <c r="I475" s="201">
        <v>1.9</v>
      </c>
      <c r="J475" s="202" t="s">
        <v>63</v>
      </c>
    </row>
    <row r="476" spans="1:10" ht="14.25" customHeight="1">
      <c r="A476" s="203"/>
      <c r="B476" s="206">
        <v>17</v>
      </c>
      <c r="C476" s="205" t="s">
        <v>189</v>
      </c>
      <c r="D476" s="206" t="s">
        <v>62</v>
      </c>
      <c r="E476" s="200">
        <v>6488000000</v>
      </c>
      <c r="F476" s="200">
        <v>233787321</v>
      </c>
      <c r="G476" s="200">
        <f>'25.企業債（24決算）'!G476+'25.企業債（25決算）'!F476</f>
        <v>687633128</v>
      </c>
      <c r="H476" s="200">
        <f t="shared" si="9"/>
        <v>5800366872</v>
      </c>
      <c r="I476" s="201">
        <v>2</v>
      </c>
      <c r="J476" s="202" t="s">
        <v>63</v>
      </c>
    </row>
    <row r="477" spans="1:10" ht="14.25" customHeight="1">
      <c r="A477" s="203"/>
      <c r="B477" s="206">
        <v>18</v>
      </c>
      <c r="C477" s="205" t="s">
        <v>189</v>
      </c>
      <c r="D477" s="204" t="s">
        <v>673</v>
      </c>
      <c r="E477" s="200">
        <v>803000000</v>
      </c>
      <c r="F477" s="200">
        <v>28060774</v>
      </c>
      <c r="G477" s="200">
        <f>'25.企業債（24決算）'!G477+'25.企業債（25決算）'!F477</f>
        <v>55541426</v>
      </c>
      <c r="H477" s="200">
        <f t="shared" si="9"/>
        <v>747458574</v>
      </c>
      <c r="I477" s="201">
        <v>2.1</v>
      </c>
      <c r="J477" s="202" t="s">
        <v>674</v>
      </c>
    </row>
    <row r="478" spans="1:10" ht="14.25" customHeight="1">
      <c r="A478" s="203"/>
      <c r="B478" s="206">
        <v>18</v>
      </c>
      <c r="C478" s="205" t="s">
        <v>189</v>
      </c>
      <c r="D478" s="204" t="s">
        <v>673</v>
      </c>
      <c r="E478" s="200">
        <v>3571000000</v>
      </c>
      <c r="F478" s="200">
        <v>124788326</v>
      </c>
      <c r="G478" s="200">
        <f>'25.企業債（24決算）'!G478+'25.企業債（25決算）'!F478</f>
        <v>246996801</v>
      </c>
      <c r="H478" s="200">
        <f t="shared" si="9"/>
        <v>3324003199</v>
      </c>
      <c r="I478" s="201">
        <v>2.1</v>
      </c>
      <c r="J478" s="202" t="s">
        <v>344</v>
      </c>
    </row>
    <row r="479" spans="1:10" ht="14.25" customHeight="1">
      <c r="A479" s="203"/>
      <c r="B479" s="206">
        <v>18</v>
      </c>
      <c r="C479" s="205" t="s">
        <v>164</v>
      </c>
      <c r="D479" s="204" t="s">
        <v>675</v>
      </c>
      <c r="E479" s="200">
        <v>1940000000</v>
      </c>
      <c r="F479" s="200">
        <v>60974194</v>
      </c>
      <c r="G479" s="200">
        <f>'25.企業債（24決算）'!G479+'25.企業債（25決算）'!F479</f>
        <v>120687818</v>
      </c>
      <c r="H479" s="200">
        <f t="shared" si="9"/>
        <v>1819312182</v>
      </c>
      <c r="I479" s="201">
        <v>2.1</v>
      </c>
      <c r="J479" s="202" t="s">
        <v>662</v>
      </c>
    </row>
    <row r="480" spans="1:10" ht="14.25" customHeight="1">
      <c r="A480" s="203"/>
      <c r="B480" s="206">
        <v>18</v>
      </c>
      <c r="C480" s="205" t="s">
        <v>164</v>
      </c>
      <c r="D480" s="204" t="s">
        <v>676</v>
      </c>
      <c r="E480" s="200">
        <v>4606000000</v>
      </c>
      <c r="F480" s="200">
        <v>143262311</v>
      </c>
      <c r="G480" s="200">
        <f>'25.企業債（24決算）'!G480+'25.企業債（25決算）'!F480</f>
        <v>213778942</v>
      </c>
      <c r="H480" s="200">
        <f t="shared" si="9"/>
        <v>4392221058</v>
      </c>
      <c r="I480" s="201">
        <v>2.1</v>
      </c>
      <c r="J480" s="202" t="s">
        <v>677</v>
      </c>
    </row>
    <row r="481" spans="1:10" ht="14.25" customHeight="1">
      <c r="A481" s="203"/>
      <c r="B481" s="206">
        <v>18</v>
      </c>
      <c r="C481" s="205" t="s">
        <v>495</v>
      </c>
      <c r="D481" s="204" t="s">
        <v>678</v>
      </c>
      <c r="E481" s="200">
        <v>38000000</v>
      </c>
      <c r="F481" s="200">
        <v>1314109</v>
      </c>
      <c r="G481" s="200">
        <f>'25.企業債（24決算）'!G481+'25.企業債（25決算）'!F481</f>
        <v>1960940</v>
      </c>
      <c r="H481" s="200">
        <f t="shared" si="9"/>
        <v>36039060</v>
      </c>
      <c r="I481" s="201">
        <v>2.1</v>
      </c>
      <c r="J481" s="202" t="s">
        <v>661</v>
      </c>
    </row>
    <row r="482" spans="1:10" ht="14.25" customHeight="1">
      <c r="A482" s="203"/>
      <c r="B482" s="206">
        <v>19</v>
      </c>
      <c r="C482" s="205" t="s">
        <v>495</v>
      </c>
      <c r="D482" s="204" t="s">
        <v>632</v>
      </c>
      <c r="E482" s="200">
        <v>1139000000</v>
      </c>
      <c r="F482" s="200">
        <v>39209723</v>
      </c>
      <c r="G482" s="200">
        <f>'25.企業債（24決算）'!G482+'25.企業債（25決算）'!F482</f>
        <v>39209723</v>
      </c>
      <c r="H482" s="200">
        <f t="shared" si="9"/>
        <v>1099790277</v>
      </c>
      <c r="I482" s="201">
        <v>2.0499999999999998</v>
      </c>
      <c r="J482" s="202" t="s">
        <v>661</v>
      </c>
    </row>
    <row r="483" spans="1:10" ht="14.25" customHeight="1">
      <c r="A483" s="203"/>
      <c r="B483" s="206">
        <v>19</v>
      </c>
      <c r="C483" s="205" t="s">
        <v>164</v>
      </c>
      <c r="D483" s="204" t="s">
        <v>679</v>
      </c>
      <c r="E483" s="200">
        <v>1099000000</v>
      </c>
      <c r="F483" s="200">
        <v>17273786</v>
      </c>
      <c r="G483" s="200">
        <f>'25.企業債（24決算）'!G483+'25.企業債（25決算）'!F483</f>
        <v>17273786</v>
      </c>
      <c r="H483" s="200">
        <f t="shared" si="9"/>
        <v>1081726214</v>
      </c>
      <c r="I483" s="201">
        <v>1.9</v>
      </c>
      <c r="J483" s="202" t="s">
        <v>680</v>
      </c>
    </row>
    <row r="484" spans="1:10" ht="14.25" customHeight="1">
      <c r="A484" s="203"/>
      <c r="B484" s="206">
        <v>20</v>
      </c>
      <c r="C484" s="217" t="s">
        <v>695</v>
      </c>
      <c r="D484" s="204" t="s">
        <v>681</v>
      </c>
      <c r="E484" s="200">
        <v>32000000</v>
      </c>
      <c r="F484" s="200">
        <v>564642</v>
      </c>
      <c r="G484" s="200">
        <f>'25.企業債（24決算）'!G484+'25.企業債（25決算）'!F484</f>
        <v>564642</v>
      </c>
      <c r="H484" s="200">
        <f t="shared" si="9"/>
        <v>31435358</v>
      </c>
      <c r="I484" s="201">
        <v>1.8</v>
      </c>
      <c r="J484" s="202" t="s">
        <v>662</v>
      </c>
    </row>
    <row r="485" spans="1:10" ht="14.25" customHeight="1">
      <c r="A485" s="203"/>
      <c r="B485" s="206">
        <v>20</v>
      </c>
      <c r="C485" s="217" t="s">
        <v>695</v>
      </c>
      <c r="D485" s="204" t="s">
        <v>624</v>
      </c>
      <c r="E485" s="200">
        <v>1232000000</v>
      </c>
      <c r="F485" s="200">
        <v>0</v>
      </c>
      <c r="G485" s="200">
        <f>'25.企業債（23決算）'!G485+'25.企業債（25決算）'!F485</f>
        <v>0</v>
      </c>
      <c r="H485" s="200">
        <f t="shared" si="9"/>
        <v>1232000000</v>
      </c>
      <c r="I485" s="201">
        <v>1.9</v>
      </c>
      <c r="J485" s="202" t="s">
        <v>662</v>
      </c>
    </row>
    <row r="486" spans="1:10" ht="14.25" customHeight="1">
      <c r="A486" s="203"/>
      <c r="B486" s="206">
        <v>20</v>
      </c>
      <c r="C486" s="205" t="s">
        <v>164</v>
      </c>
      <c r="D486" s="204" t="s">
        <v>871</v>
      </c>
      <c r="E486" s="200">
        <v>1184000000</v>
      </c>
      <c r="F486" s="200">
        <v>0</v>
      </c>
      <c r="G486" s="200">
        <f>'25.企業債（23決算）'!G486+'25.企業債（25決算）'!F486</f>
        <v>0</v>
      </c>
      <c r="H486" s="200">
        <f t="shared" si="9"/>
        <v>1184000000</v>
      </c>
      <c r="I486" s="201">
        <v>2.1</v>
      </c>
      <c r="J486" s="202" t="s">
        <v>872</v>
      </c>
    </row>
    <row r="487" spans="1:10" ht="14.25" customHeight="1">
      <c r="A487" s="218"/>
      <c r="B487" s="206">
        <v>21</v>
      </c>
      <c r="C487" s="217" t="s">
        <v>698</v>
      </c>
      <c r="D487" s="204" t="s">
        <v>808</v>
      </c>
      <c r="E487" s="200">
        <v>495000000</v>
      </c>
      <c r="F487" s="200">
        <v>0</v>
      </c>
      <c r="G487" s="200">
        <f>'25.企業債（23決算）'!G487+'25.企業債（25決算）'!F487</f>
        <v>0</v>
      </c>
      <c r="H487" s="200">
        <f t="shared" si="9"/>
        <v>495000000</v>
      </c>
      <c r="I487" s="201">
        <v>2.1</v>
      </c>
      <c r="J487" s="202" t="s">
        <v>696</v>
      </c>
    </row>
    <row r="488" spans="1:10" ht="14.25" customHeight="1">
      <c r="A488" s="218"/>
      <c r="B488" s="206">
        <v>21</v>
      </c>
      <c r="C488" s="217" t="s">
        <v>698</v>
      </c>
      <c r="D488" s="204" t="s">
        <v>1266</v>
      </c>
      <c r="E488" s="200">
        <v>76000000</v>
      </c>
      <c r="F488" s="200">
        <v>0</v>
      </c>
      <c r="G488" s="200">
        <f>'25.企業債（23決算）'!G488+'25.企業債（25決算）'!F488</f>
        <v>0</v>
      </c>
      <c r="H488" s="200">
        <f>E488-G488</f>
        <v>76000000</v>
      </c>
      <c r="I488" s="201">
        <v>1.9</v>
      </c>
      <c r="J488" s="202" t="s">
        <v>888</v>
      </c>
    </row>
    <row r="489" spans="1:10" ht="14.25" customHeight="1">
      <c r="A489" s="218"/>
      <c r="B489" s="206">
        <v>21</v>
      </c>
      <c r="C489" s="217" t="s">
        <v>886</v>
      </c>
      <c r="D489" s="204" t="s">
        <v>887</v>
      </c>
      <c r="E489" s="200">
        <v>999000000</v>
      </c>
      <c r="F489" s="200">
        <v>0</v>
      </c>
      <c r="G489" s="200">
        <f>'25.企業債（23決算）'!G489+'25.企業債（25決算）'!F489</f>
        <v>0</v>
      </c>
      <c r="H489" s="200">
        <f>E489-G489</f>
        <v>999000000</v>
      </c>
      <c r="I489" s="201">
        <v>1.9</v>
      </c>
      <c r="J489" s="202" t="s">
        <v>888</v>
      </c>
    </row>
    <row r="490" spans="1:10" ht="14.25" customHeight="1">
      <c r="A490" s="218"/>
      <c r="B490" s="206">
        <v>22</v>
      </c>
      <c r="C490" s="217" t="s">
        <v>886</v>
      </c>
      <c r="D490" s="204" t="s">
        <v>887</v>
      </c>
      <c r="E490" s="200">
        <v>1019000000</v>
      </c>
      <c r="F490" s="200">
        <v>0</v>
      </c>
      <c r="G490" s="200">
        <f>'25.企業債（23決算）'!G490+'25.企業債（25決算）'!F490</f>
        <v>0</v>
      </c>
      <c r="H490" s="200">
        <f t="shared" si="9"/>
        <v>1019000000</v>
      </c>
      <c r="I490" s="201">
        <v>1.9</v>
      </c>
      <c r="J490" s="202" t="s">
        <v>888</v>
      </c>
    </row>
    <row r="491" spans="1:10" ht="14.25" customHeight="1">
      <c r="A491" s="218"/>
      <c r="B491" s="206">
        <v>23</v>
      </c>
      <c r="C491" s="184" t="s">
        <v>164</v>
      </c>
      <c r="D491" s="204" t="s">
        <v>1339</v>
      </c>
      <c r="E491" s="200">
        <v>2000000000</v>
      </c>
      <c r="F491" s="200">
        <v>0</v>
      </c>
      <c r="G491" s="200">
        <f>'25.企業債（23決算）'!G491+'25.企業債（25決算）'!F491</f>
        <v>0</v>
      </c>
      <c r="H491" s="200">
        <f t="shared" si="9"/>
        <v>2000000000</v>
      </c>
      <c r="I491" s="201">
        <v>1.7</v>
      </c>
      <c r="J491" s="202" t="s">
        <v>1340</v>
      </c>
    </row>
    <row r="492" spans="1:10" ht="14.25" customHeight="1">
      <c r="A492" s="218"/>
      <c r="B492" s="206">
        <v>24</v>
      </c>
      <c r="C492" s="184" t="s">
        <v>164</v>
      </c>
      <c r="D492" s="128" t="s">
        <v>83</v>
      </c>
      <c r="E492" s="200">
        <v>200000000</v>
      </c>
      <c r="F492" s="200">
        <v>0</v>
      </c>
      <c r="G492" s="200">
        <v>0</v>
      </c>
      <c r="H492" s="200">
        <f>E492-G492</f>
        <v>200000000</v>
      </c>
      <c r="I492" s="201">
        <v>1.5</v>
      </c>
      <c r="J492" s="202" t="s">
        <v>82</v>
      </c>
    </row>
    <row r="493" spans="1:10" ht="17.25" customHeight="1">
      <c r="A493" s="219" t="s">
        <v>376</v>
      </c>
      <c r="B493" s="220" t="s">
        <v>173</v>
      </c>
      <c r="C493" s="221" t="s">
        <v>173</v>
      </c>
      <c r="D493" s="222" t="s">
        <v>173</v>
      </c>
      <c r="E493" s="245">
        <f>SUM(E428:E466,E471:E492)</f>
        <v>108734194000</v>
      </c>
      <c r="F493" s="245">
        <f>SUM(F428:F466,F471:F492)</f>
        <v>7474739909</v>
      </c>
      <c r="G493" s="245">
        <f>SUM(G428:G466,G471:G492)</f>
        <v>41743305041</v>
      </c>
      <c r="H493" s="245">
        <f>SUM(H428:H466,H471:H492)</f>
        <v>66990888959</v>
      </c>
      <c r="I493" s="223"/>
      <c r="J493" s="224" t="s">
        <v>173</v>
      </c>
    </row>
    <row r="494" spans="1:10" ht="14.25" customHeight="1">
      <c r="A494" s="215" t="s">
        <v>873</v>
      </c>
      <c r="B494" s="204" t="s">
        <v>682</v>
      </c>
      <c r="C494" s="205" t="s">
        <v>185</v>
      </c>
      <c r="D494" s="206" t="s">
        <v>683</v>
      </c>
      <c r="E494" s="200">
        <v>598000000</v>
      </c>
      <c r="F494" s="200">
        <v>22802891</v>
      </c>
      <c r="G494" s="200">
        <f>'25.企業債（24決算）'!G494+'25.企業債（25決算）'!F494</f>
        <v>235913331</v>
      </c>
      <c r="H494" s="200">
        <f t="shared" ref="H494:H532" si="10">E494-G494</f>
        <v>362086669</v>
      </c>
      <c r="I494" s="201">
        <v>2.8</v>
      </c>
      <c r="J494" s="216" t="s">
        <v>294</v>
      </c>
    </row>
    <row r="495" spans="1:10" ht="14.25" customHeight="1">
      <c r="A495" s="203" t="s">
        <v>302</v>
      </c>
      <c r="B495" s="204">
        <v>8</v>
      </c>
      <c r="C495" s="205" t="s">
        <v>189</v>
      </c>
      <c r="D495" s="206" t="s">
        <v>111</v>
      </c>
      <c r="E495" s="200">
        <v>490000000</v>
      </c>
      <c r="F495" s="200">
        <v>20933588</v>
      </c>
      <c r="G495" s="200">
        <f>'25.企業債（24決算）'!G495+'25.企業債（25決算）'!F495</f>
        <v>216023003</v>
      </c>
      <c r="H495" s="200">
        <f t="shared" si="10"/>
        <v>273976997</v>
      </c>
      <c r="I495" s="201">
        <v>2.85</v>
      </c>
      <c r="J495" s="216" t="s">
        <v>287</v>
      </c>
    </row>
    <row r="496" spans="1:10" ht="17.25" customHeight="1">
      <c r="A496" s="219" t="s">
        <v>376</v>
      </c>
      <c r="B496" s="220"/>
      <c r="C496" s="221"/>
      <c r="D496" s="222"/>
      <c r="E496" s="245">
        <f>SUM(E494:E495)</f>
        <v>1088000000</v>
      </c>
      <c r="F496" s="245">
        <f>SUM(F494:F495)</f>
        <v>43736479</v>
      </c>
      <c r="G496" s="245">
        <f>SUM(G494:G495)</f>
        <v>451936334</v>
      </c>
      <c r="H496" s="245">
        <f>SUM(H494:H495)</f>
        <v>636063666</v>
      </c>
      <c r="I496" s="223"/>
      <c r="J496" s="224"/>
    </row>
    <row r="497" spans="1:10" ht="14.25" customHeight="1">
      <c r="A497" s="225" t="s">
        <v>702</v>
      </c>
      <c r="B497" s="204" t="s">
        <v>317</v>
      </c>
      <c r="C497" s="205" t="s">
        <v>266</v>
      </c>
      <c r="D497" s="206" t="s">
        <v>684</v>
      </c>
      <c r="E497" s="200">
        <v>509000000</v>
      </c>
      <c r="F497" s="200">
        <v>0</v>
      </c>
      <c r="G497" s="200">
        <f>'25.企業債（23決算）'!G496+'25.企業債（25決算）'!F497</f>
        <v>509000000</v>
      </c>
      <c r="H497" s="200">
        <f t="shared" si="10"/>
        <v>0</v>
      </c>
      <c r="I497" s="201">
        <v>1.7</v>
      </c>
      <c r="J497" s="216" t="s">
        <v>61</v>
      </c>
    </row>
    <row r="498" spans="1:10" ht="14.25" customHeight="1">
      <c r="A498" s="226" t="s">
        <v>703</v>
      </c>
      <c r="B498" s="206">
        <v>13</v>
      </c>
      <c r="C498" s="205" t="s">
        <v>603</v>
      </c>
      <c r="D498" s="206" t="s">
        <v>51</v>
      </c>
      <c r="E498" s="200">
        <v>466000000</v>
      </c>
      <c r="F498" s="200">
        <v>0</v>
      </c>
      <c r="G498" s="200">
        <f>'25.企業債（23決算）'!G497+'25.企業債（25決算）'!F498</f>
        <v>466000000</v>
      </c>
      <c r="H498" s="200">
        <f t="shared" si="10"/>
        <v>0</v>
      </c>
      <c r="I498" s="201">
        <v>1.2</v>
      </c>
      <c r="J498" s="216" t="s">
        <v>685</v>
      </c>
    </row>
    <row r="499" spans="1:10" ht="17.25" customHeight="1">
      <c r="A499" s="219" t="s">
        <v>376</v>
      </c>
      <c r="B499" s="220" t="s">
        <v>173</v>
      </c>
      <c r="C499" s="221" t="s">
        <v>173</v>
      </c>
      <c r="D499" s="222" t="s">
        <v>173</v>
      </c>
      <c r="E499" s="245">
        <f>SUM(E497:E498)</f>
        <v>975000000</v>
      </c>
      <c r="F499" s="245">
        <f>SUM(F497:F498)</f>
        <v>0</v>
      </c>
      <c r="G499" s="245">
        <f>SUM(G497:G498)</f>
        <v>975000000</v>
      </c>
      <c r="H499" s="245">
        <f>SUM(H497:H498)</f>
        <v>0</v>
      </c>
      <c r="I499" s="223"/>
      <c r="J499" s="224" t="s">
        <v>173</v>
      </c>
    </row>
    <row r="500" spans="1:10" ht="14.25" customHeight="1">
      <c r="A500" s="227" t="s">
        <v>704</v>
      </c>
      <c r="B500" s="204" t="s">
        <v>318</v>
      </c>
      <c r="C500" s="205" t="s">
        <v>163</v>
      </c>
      <c r="D500" s="206" t="s">
        <v>307</v>
      </c>
      <c r="E500" s="200">
        <v>584000000</v>
      </c>
      <c r="F500" s="200">
        <v>20922906</v>
      </c>
      <c r="G500" s="200">
        <f>'25.企業債（24決算）'!G500+'25.企業債（25決算）'!F500</f>
        <v>130224287</v>
      </c>
      <c r="H500" s="200">
        <f t="shared" si="10"/>
        <v>453775713</v>
      </c>
      <c r="I500" s="201">
        <v>1.6</v>
      </c>
      <c r="J500" s="216" t="s">
        <v>58</v>
      </c>
    </row>
    <row r="501" spans="1:10" ht="14.25" customHeight="1">
      <c r="A501" s="228" t="s">
        <v>302</v>
      </c>
      <c r="B501" s="204">
        <v>14</v>
      </c>
      <c r="C501" s="205" t="s">
        <v>163</v>
      </c>
      <c r="D501" s="206" t="s">
        <v>53</v>
      </c>
      <c r="E501" s="200">
        <v>341000000</v>
      </c>
      <c r="F501" s="200">
        <v>12497627</v>
      </c>
      <c r="G501" s="200">
        <f>'25.企業債（24決算）'!G501+'25.企業債（25決算）'!F501</f>
        <v>72791311</v>
      </c>
      <c r="H501" s="200">
        <f t="shared" si="10"/>
        <v>268208689</v>
      </c>
      <c r="I501" s="201">
        <v>1.2</v>
      </c>
      <c r="J501" s="216" t="s">
        <v>58</v>
      </c>
    </row>
    <row r="502" spans="1:10" ht="17.25" customHeight="1">
      <c r="A502" s="219" t="s">
        <v>376</v>
      </c>
      <c r="B502" s="220" t="s">
        <v>173</v>
      </c>
      <c r="C502" s="221" t="s">
        <v>173</v>
      </c>
      <c r="D502" s="222" t="s">
        <v>173</v>
      </c>
      <c r="E502" s="245">
        <f>SUM(E500:E501)</f>
        <v>925000000</v>
      </c>
      <c r="F502" s="245">
        <f>SUM(F500:F501)</f>
        <v>33420533</v>
      </c>
      <c r="G502" s="245">
        <f>SUM(G500:G501)</f>
        <v>203015598</v>
      </c>
      <c r="H502" s="245">
        <f>SUM(H500:H501)</f>
        <v>721984402</v>
      </c>
      <c r="I502" s="229"/>
      <c r="J502" s="224" t="s">
        <v>173</v>
      </c>
    </row>
    <row r="503" spans="1:10" ht="14.25" customHeight="1">
      <c r="A503" s="230" t="s">
        <v>705</v>
      </c>
      <c r="B503" s="204" t="s">
        <v>318</v>
      </c>
      <c r="C503" s="205" t="s">
        <v>189</v>
      </c>
      <c r="D503" s="204" t="s">
        <v>308</v>
      </c>
      <c r="E503" s="200">
        <v>329000000</v>
      </c>
      <c r="F503" s="200">
        <v>0</v>
      </c>
      <c r="G503" s="200">
        <f>'25.企業債（23決算）'!G502+'25.企業債（25決算）'!F503</f>
        <v>329000000</v>
      </c>
      <c r="H503" s="200">
        <f t="shared" si="10"/>
        <v>0</v>
      </c>
      <c r="I503" s="201">
        <v>1</v>
      </c>
      <c r="J503" s="216" t="s">
        <v>61</v>
      </c>
    </row>
    <row r="504" spans="1:10" ht="14.25" customHeight="1">
      <c r="A504" s="231" t="s">
        <v>166</v>
      </c>
      <c r="B504" s="204">
        <v>13</v>
      </c>
      <c r="C504" s="205" t="s">
        <v>603</v>
      </c>
      <c r="D504" s="206" t="s">
        <v>51</v>
      </c>
      <c r="E504" s="200">
        <v>728000000</v>
      </c>
      <c r="F504" s="200">
        <v>28075507</v>
      </c>
      <c r="G504" s="200">
        <f>'25.企業債（24決算）'!G504+'25.企業債（25決算）'!F504</f>
        <v>184219016</v>
      </c>
      <c r="H504" s="200">
        <f t="shared" si="10"/>
        <v>543780984</v>
      </c>
      <c r="I504" s="201">
        <v>2.2000000000000002</v>
      </c>
      <c r="J504" s="216" t="s">
        <v>303</v>
      </c>
    </row>
    <row r="505" spans="1:10" ht="14.25" customHeight="1">
      <c r="A505" s="231"/>
      <c r="B505" s="204">
        <v>13</v>
      </c>
      <c r="C505" s="205" t="s">
        <v>603</v>
      </c>
      <c r="D505" s="206" t="s">
        <v>605</v>
      </c>
      <c r="E505" s="200">
        <v>59000000</v>
      </c>
      <c r="F505" s="200">
        <v>2293736</v>
      </c>
      <c r="G505" s="200">
        <f>'25.企業債（24決算）'!G505+'25.企業債（25決算）'!F505</f>
        <v>14162464</v>
      </c>
      <c r="H505" s="200">
        <f t="shared" si="10"/>
        <v>44837536</v>
      </c>
      <c r="I505" s="201">
        <v>1.9</v>
      </c>
      <c r="J505" s="216" t="s">
        <v>54</v>
      </c>
    </row>
    <row r="506" spans="1:10" ht="14.25" customHeight="1">
      <c r="A506" s="231"/>
      <c r="B506" s="204">
        <v>14</v>
      </c>
      <c r="C506" s="205" t="s">
        <v>266</v>
      </c>
      <c r="D506" s="206" t="s">
        <v>607</v>
      </c>
      <c r="E506" s="200">
        <v>2500000000</v>
      </c>
      <c r="F506" s="200">
        <v>0</v>
      </c>
      <c r="G506" s="200">
        <f>'25.企業債（24決算）'!G506+'25.企業債（25決算）'!F506</f>
        <v>2500000000</v>
      </c>
      <c r="H506" s="200">
        <f t="shared" si="10"/>
        <v>0</v>
      </c>
      <c r="I506" s="201">
        <v>0.8</v>
      </c>
      <c r="J506" s="216" t="s">
        <v>608</v>
      </c>
    </row>
    <row r="507" spans="1:10" ht="14.25" customHeight="1">
      <c r="A507" s="231"/>
      <c r="B507" s="204">
        <v>14</v>
      </c>
      <c r="C507" s="205" t="s">
        <v>603</v>
      </c>
      <c r="D507" s="206" t="s">
        <v>609</v>
      </c>
      <c r="E507" s="200">
        <v>530000000</v>
      </c>
      <c r="F507" s="200">
        <v>0</v>
      </c>
      <c r="G507" s="200">
        <f>'25.企業債（24決算）'!G507+'25.企業債（25決算）'!F507</f>
        <v>530000000</v>
      </c>
      <c r="H507" s="200">
        <f t="shared" si="10"/>
        <v>0</v>
      </c>
      <c r="I507" s="201">
        <v>0.6</v>
      </c>
      <c r="J507" s="216" t="s">
        <v>608</v>
      </c>
    </row>
    <row r="508" spans="1:10" ht="14.25" customHeight="1">
      <c r="A508" s="231"/>
      <c r="B508" s="204">
        <v>15</v>
      </c>
      <c r="C508" s="205" t="s">
        <v>266</v>
      </c>
      <c r="D508" s="206" t="s">
        <v>610</v>
      </c>
      <c r="E508" s="200">
        <v>2000000000</v>
      </c>
      <c r="F508" s="200">
        <v>2000000000</v>
      </c>
      <c r="G508" s="200">
        <f>'25.企業債（24決算）'!G508+'25.企業債（25決算）'!F508</f>
        <v>2000000000</v>
      </c>
      <c r="H508" s="200">
        <f t="shared" si="10"/>
        <v>0</v>
      </c>
      <c r="I508" s="201">
        <v>1.4</v>
      </c>
      <c r="J508" s="216" t="s">
        <v>611</v>
      </c>
    </row>
    <row r="509" spans="1:10" ht="14.25" customHeight="1">
      <c r="A509" s="231"/>
      <c r="B509" s="204">
        <v>14</v>
      </c>
      <c r="C509" s="205" t="s">
        <v>189</v>
      </c>
      <c r="D509" s="206" t="s">
        <v>304</v>
      </c>
      <c r="E509" s="200">
        <v>70000000</v>
      </c>
      <c r="F509" s="200">
        <v>5163708</v>
      </c>
      <c r="G509" s="200">
        <f>'25.企業債（24決算）'!G509+'25.企業債（25決算）'!F509</f>
        <v>70000000</v>
      </c>
      <c r="H509" s="200">
        <f t="shared" si="10"/>
        <v>0</v>
      </c>
      <c r="I509" s="201">
        <v>1</v>
      </c>
      <c r="J509" s="216" t="s">
        <v>611</v>
      </c>
    </row>
    <row r="510" spans="1:10" ht="14.25" customHeight="1">
      <c r="A510" s="231"/>
      <c r="B510" s="204">
        <v>15</v>
      </c>
      <c r="C510" s="205" t="s">
        <v>189</v>
      </c>
      <c r="D510" s="206" t="s">
        <v>612</v>
      </c>
      <c r="E510" s="200">
        <v>989000000</v>
      </c>
      <c r="F510" s="200">
        <v>145977587</v>
      </c>
      <c r="G510" s="200">
        <f>'25.企業債（24決算）'!G510+'25.企業債（25決算）'!F510</f>
        <v>989000000</v>
      </c>
      <c r="H510" s="200">
        <f t="shared" si="10"/>
        <v>0</v>
      </c>
      <c r="I510" s="201">
        <v>1.1000000000000001</v>
      </c>
      <c r="J510" s="216" t="s">
        <v>267</v>
      </c>
    </row>
    <row r="511" spans="1:10" ht="14.25" customHeight="1">
      <c r="A511" s="231"/>
      <c r="B511" s="204">
        <v>16</v>
      </c>
      <c r="C511" s="205" t="s">
        <v>266</v>
      </c>
      <c r="D511" s="206" t="s">
        <v>613</v>
      </c>
      <c r="E511" s="200">
        <v>2000000000</v>
      </c>
      <c r="F511" s="200">
        <v>0</v>
      </c>
      <c r="G511" s="200">
        <f>'25.企業債（23決算）'!G510+'25.企業債（25決算）'!F511</f>
        <v>0</v>
      </c>
      <c r="H511" s="200">
        <f t="shared" si="10"/>
        <v>2000000000</v>
      </c>
      <c r="I511" s="201">
        <v>1.3</v>
      </c>
      <c r="J511" s="216" t="s">
        <v>614</v>
      </c>
    </row>
    <row r="512" spans="1:10" ht="14.25" customHeight="1">
      <c r="A512" s="231"/>
      <c r="B512" s="204">
        <v>17</v>
      </c>
      <c r="C512" s="205" t="s">
        <v>266</v>
      </c>
      <c r="D512" s="206" t="s">
        <v>615</v>
      </c>
      <c r="E512" s="200">
        <v>2000000000</v>
      </c>
      <c r="F512" s="200">
        <v>0</v>
      </c>
      <c r="G512" s="200">
        <f>'25.企業債（23決算）'!G511+'25.企業債（25決算）'!F512</f>
        <v>0</v>
      </c>
      <c r="H512" s="200">
        <f t="shared" si="10"/>
        <v>2000000000</v>
      </c>
      <c r="I512" s="201">
        <v>1.5</v>
      </c>
      <c r="J512" s="216" t="s">
        <v>167</v>
      </c>
    </row>
    <row r="513" spans="1:10" ht="14.25" customHeight="1">
      <c r="A513" s="231"/>
      <c r="B513" s="204">
        <v>16</v>
      </c>
      <c r="C513" s="205" t="s">
        <v>189</v>
      </c>
      <c r="D513" s="206" t="s">
        <v>616</v>
      </c>
      <c r="E513" s="200">
        <v>255000000</v>
      </c>
      <c r="F513" s="200">
        <v>37077612</v>
      </c>
      <c r="G513" s="200">
        <f>'25.企業債（24決算）'!G513+'25.企業債（25決算）'!F513</f>
        <v>198545156</v>
      </c>
      <c r="H513" s="200">
        <f t="shared" si="10"/>
        <v>56454844</v>
      </c>
      <c r="I513" s="201">
        <v>1.2</v>
      </c>
      <c r="J513" s="216" t="s">
        <v>617</v>
      </c>
    </row>
    <row r="514" spans="1:10" ht="14.25" customHeight="1">
      <c r="A514" s="231"/>
      <c r="B514" s="204">
        <v>18</v>
      </c>
      <c r="C514" s="205" t="s">
        <v>266</v>
      </c>
      <c r="D514" s="204" t="s">
        <v>618</v>
      </c>
      <c r="E514" s="200">
        <v>500000000</v>
      </c>
      <c r="F514" s="200">
        <v>0</v>
      </c>
      <c r="G514" s="200">
        <f>'25.企業債（23決算）'!G513+'25.企業債（25決算）'!F514</f>
        <v>0</v>
      </c>
      <c r="H514" s="200">
        <f t="shared" si="10"/>
        <v>500000000</v>
      </c>
      <c r="I514" s="201">
        <v>1.8</v>
      </c>
      <c r="J514" s="202" t="s">
        <v>619</v>
      </c>
    </row>
    <row r="515" spans="1:10" ht="14.25" customHeight="1">
      <c r="A515" s="231"/>
      <c r="B515" s="204">
        <v>18</v>
      </c>
      <c r="C515" s="205" t="s">
        <v>189</v>
      </c>
      <c r="D515" s="204" t="s">
        <v>347</v>
      </c>
      <c r="E515" s="200">
        <v>187000000</v>
      </c>
      <c r="F515" s="200">
        <v>26699864</v>
      </c>
      <c r="G515" s="200">
        <f>'25.企業債（24決算）'!G515+'25.企業債（25決算）'!F515</f>
        <v>104216778</v>
      </c>
      <c r="H515" s="200">
        <f t="shared" si="10"/>
        <v>82783222</v>
      </c>
      <c r="I515" s="201">
        <v>1.65</v>
      </c>
      <c r="J515" s="202" t="s">
        <v>276</v>
      </c>
    </row>
    <row r="516" spans="1:10" ht="14.25" customHeight="1">
      <c r="A516" s="231"/>
      <c r="B516" s="204">
        <v>19</v>
      </c>
      <c r="C516" s="205" t="s">
        <v>620</v>
      </c>
      <c r="D516" s="204" t="s">
        <v>621</v>
      </c>
      <c r="E516" s="200">
        <v>2000000000</v>
      </c>
      <c r="F516" s="200">
        <v>0</v>
      </c>
      <c r="G516" s="200">
        <f>'25.企業債（23決算）'!G515+'25.企業債（25決算）'!F516</f>
        <v>0</v>
      </c>
      <c r="H516" s="200">
        <f t="shared" si="10"/>
        <v>2000000000</v>
      </c>
      <c r="I516" s="201">
        <v>1.65</v>
      </c>
      <c r="J516" s="202" t="s">
        <v>622</v>
      </c>
    </row>
    <row r="517" spans="1:10" ht="14.25" customHeight="1">
      <c r="A517" s="231"/>
      <c r="B517" s="204">
        <v>19</v>
      </c>
      <c r="C517" s="205" t="s">
        <v>189</v>
      </c>
      <c r="D517" s="204" t="s">
        <v>348</v>
      </c>
      <c r="E517" s="200">
        <v>273000000</v>
      </c>
      <c r="F517" s="200">
        <v>38464856</v>
      </c>
      <c r="G517" s="200">
        <f>'25.企業債（24決算）'!G517+'25.企業債（25決算）'!F517</f>
        <v>113859243</v>
      </c>
      <c r="H517" s="200">
        <f t="shared" si="10"/>
        <v>159140757</v>
      </c>
      <c r="I517" s="201">
        <v>1.35</v>
      </c>
      <c r="J517" s="202" t="s">
        <v>277</v>
      </c>
    </row>
    <row r="518" spans="1:10" ht="14.25" customHeight="1">
      <c r="A518" s="231"/>
      <c r="B518" s="204">
        <v>20</v>
      </c>
      <c r="C518" s="205" t="s">
        <v>266</v>
      </c>
      <c r="D518" s="204" t="s">
        <v>623</v>
      </c>
      <c r="E518" s="200">
        <v>2000000000</v>
      </c>
      <c r="F518" s="200">
        <v>0</v>
      </c>
      <c r="G518" s="200">
        <f>'25.企業債（23決算）'!G517+'25.企業債（25決算）'!F518</f>
        <v>0</v>
      </c>
      <c r="H518" s="200">
        <f t="shared" si="10"/>
        <v>2000000000</v>
      </c>
      <c r="I518" s="201">
        <v>1.48</v>
      </c>
      <c r="J518" s="202" t="s">
        <v>280</v>
      </c>
    </row>
    <row r="519" spans="1:10" ht="14.25" customHeight="1">
      <c r="A519" s="231"/>
      <c r="B519" s="204">
        <v>20</v>
      </c>
      <c r="C519" s="217" t="s">
        <v>695</v>
      </c>
      <c r="D519" s="204" t="s">
        <v>624</v>
      </c>
      <c r="E519" s="200">
        <v>605000000</v>
      </c>
      <c r="F519" s="200">
        <v>84704535</v>
      </c>
      <c r="G519" s="200">
        <f>'25.企業債（24決算）'!G519+'25.企業債（25決算）'!F519</f>
        <v>168568336</v>
      </c>
      <c r="H519" s="200">
        <f t="shared" si="10"/>
        <v>436431664</v>
      </c>
      <c r="I519" s="201">
        <v>1</v>
      </c>
      <c r="J519" s="202" t="s">
        <v>280</v>
      </c>
    </row>
    <row r="520" spans="1:10" ht="14.25" customHeight="1">
      <c r="A520" s="232"/>
      <c r="B520" s="204">
        <v>20</v>
      </c>
      <c r="C520" s="217" t="s">
        <v>695</v>
      </c>
      <c r="D520" s="204" t="s">
        <v>624</v>
      </c>
      <c r="E520" s="200">
        <v>363000000</v>
      </c>
      <c r="F520" s="200">
        <v>50822722</v>
      </c>
      <c r="G520" s="200">
        <f>'25.企業債（24決算）'!G520+'25.企業債（25決算）'!F520</f>
        <v>101141002</v>
      </c>
      <c r="H520" s="200">
        <f t="shared" si="10"/>
        <v>261858998</v>
      </c>
      <c r="I520" s="201">
        <v>1</v>
      </c>
      <c r="J520" s="202" t="s">
        <v>689</v>
      </c>
    </row>
    <row r="521" spans="1:10" ht="14.25" customHeight="1">
      <c r="A521" s="231"/>
      <c r="B521" s="204">
        <v>21</v>
      </c>
      <c r="C521" s="217" t="s">
        <v>698</v>
      </c>
      <c r="D521" s="204" t="s">
        <v>808</v>
      </c>
      <c r="E521" s="200">
        <v>1423000000</v>
      </c>
      <c r="F521" s="200">
        <v>197850511</v>
      </c>
      <c r="G521" s="200">
        <f>'25.企業債（24決算）'!G521+'25.企業債（25決算）'!F521</f>
        <v>197850511</v>
      </c>
      <c r="H521" s="200">
        <f>E521-G521</f>
        <v>1225149489</v>
      </c>
      <c r="I521" s="201">
        <v>0.9</v>
      </c>
      <c r="J521" s="202" t="s">
        <v>283</v>
      </c>
    </row>
    <row r="522" spans="1:10" ht="14.25" customHeight="1">
      <c r="A522" s="231"/>
      <c r="B522" s="204">
        <v>22</v>
      </c>
      <c r="C522" s="217" t="s">
        <v>886</v>
      </c>
      <c r="D522" s="204" t="s">
        <v>1339</v>
      </c>
      <c r="E522" s="200">
        <v>965000000</v>
      </c>
      <c r="F522" s="200">
        <v>0</v>
      </c>
      <c r="G522" s="200">
        <f>'25.企業債（23決算）'!G521+'25.企業債（25決算）'!F522</f>
        <v>0</v>
      </c>
      <c r="H522" s="200">
        <f t="shared" si="10"/>
        <v>965000000</v>
      </c>
      <c r="I522" s="201">
        <v>0.7</v>
      </c>
      <c r="J522" s="202" t="s">
        <v>1377</v>
      </c>
    </row>
    <row r="523" spans="1:10" ht="14.25" customHeight="1">
      <c r="A523" s="231"/>
      <c r="B523" s="204">
        <v>24</v>
      </c>
      <c r="C523" s="217" t="s">
        <v>886</v>
      </c>
      <c r="D523" s="128" t="s">
        <v>80</v>
      </c>
      <c r="E523" s="200">
        <v>1800000000</v>
      </c>
      <c r="F523" s="200">
        <v>0</v>
      </c>
      <c r="G523" s="200">
        <v>0</v>
      </c>
      <c r="H523" s="200">
        <f>E523-G523</f>
        <v>1800000000</v>
      </c>
      <c r="I523" s="201">
        <v>0.4</v>
      </c>
      <c r="J523" s="147" t="s">
        <v>81</v>
      </c>
    </row>
    <row r="524" spans="1:10" ht="14.25" customHeight="1">
      <c r="A524" s="231"/>
      <c r="B524" s="204">
        <v>25</v>
      </c>
      <c r="C524" s="217" t="s">
        <v>886</v>
      </c>
      <c r="D524" s="128" t="s">
        <v>1711</v>
      </c>
      <c r="E524" s="200">
        <v>2000000000</v>
      </c>
      <c r="F524" s="200">
        <v>0</v>
      </c>
      <c r="G524" s="200">
        <v>0</v>
      </c>
      <c r="H524" s="200">
        <f>E524-G524</f>
        <v>2000000000</v>
      </c>
      <c r="I524" s="201">
        <v>0.4</v>
      </c>
      <c r="J524" s="147" t="s">
        <v>1712</v>
      </c>
    </row>
    <row r="525" spans="1:10" ht="17.25" customHeight="1">
      <c r="A525" s="219" t="s">
        <v>376</v>
      </c>
      <c r="B525" s="220" t="s">
        <v>173</v>
      </c>
      <c r="C525" s="221" t="s">
        <v>173</v>
      </c>
      <c r="D525" s="222" t="s">
        <v>173</v>
      </c>
      <c r="E525" s="245">
        <f>SUM(E503:E524)</f>
        <v>23576000000</v>
      </c>
      <c r="F525" s="245">
        <f>SUM(F503:F524)</f>
        <v>2617130638</v>
      </c>
      <c r="G525" s="245">
        <f>SUM(G503:G524)</f>
        <v>7500562506</v>
      </c>
      <c r="H525" s="245">
        <f>SUM(H503:H524)</f>
        <v>16075437494</v>
      </c>
      <c r="I525" s="223"/>
      <c r="J525" s="224" t="s">
        <v>173</v>
      </c>
    </row>
    <row r="526" spans="1:10" ht="14.25" customHeight="1">
      <c r="A526" s="225" t="s">
        <v>168</v>
      </c>
      <c r="B526" s="204" t="s">
        <v>319</v>
      </c>
      <c r="C526" s="233" t="s">
        <v>189</v>
      </c>
      <c r="D526" s="206" t="s">
        <v>309</v>
      </c>
      <c r="E526" s="234">
        <v>29000000</v>
      </c>
      <c r="F526" s="200">
        <v>1684837</v>
      </c>
      <c r="G526" s="200">
        <f>'25.企業債（24決算）'!G525+'25.企業債（25決算）'!F526</f>
        <v>12975098</v>
      </c>
      <c r="H526" s="200">
        <f t="shared" si="10"/>
        <v>16024902</v>
      </c>
      <c r="I526" s="201">
        <v>1.1000000000000001</v>
      </c>
      <c r="J526" s="235" t="s">
        <v>686</v>
      </c>
    </row>
    <row r="527" spans="1:10" ht="14.25" customHeight="1">
      <c r="A527" s="236" t="s">
        <v>169</v>
      </c>
      <c r="B527" s="204">
        <v>15</v>
      </c>
      <c r="C527" s="237" t="s">
        <v>189</v>
      </c>
      <c r="D527" s="206" t="s">
        <v>612</v>
      </c>
      <c r="E527" s="238">
        <v>67000000</v>
      </c>
      <c r="F527" s="200">
        <v>3805931</v>
      </c>
      <c r="G527" s="200">
        <f>'25.企業債（24決算）'!G526+'25.企業債（25決算）'!F527</f>
        <v>25410686</v>
      </c>
      <c r="H527" s="200">
        <f t="shared" si="10"/>
        <v>41589314</v>
      </c>
      <c r="I527" s="201">
        <v>1.6</v>
      </c>
      <c r="J527" s="216" t="s">
        <v>626</v>
      </c>
    </row>
    <row r="528" spans="1:10" ht="14.25" customHeight="1">
      <c r="A528" s="236"/>
      <c r="B528" s="204">
        <v>16</v>
      </c>
      <c r="C528" s="237" t="s">
        <v>189</v>
      </c>
      <c r="D528" s="206" t="s">
        <v>137</v>
      </c>
      <c r="E528" s="238">
        <v>62000000</v>
      </c>
      <c r="F528" s="200">
        <v>3454578</v>
      </c>
      <c r="G528" s="200">
        <f>'25.企業債（24決算）'!G527+'25.企業債（25決算）'!F528</f>
        <v>19876879</v>
      </c>
      <c r="H528" s="200">
        <f t="shared" si="10"/>
        <v>42123121</v>
      </c>
      <c r="I528" s="201">
        <v>1.7</v>
      </c>
      <c r="J528" s="202" t="s">
        <v>628</v>
      </c>
    </row>
    <row r="529" spans="1:10" ht="14.25" customHeight="1">
      <c r="A529" s="236"/>
      <c r="B529" s="204">
        <v>17</v>
      </c>
      <c r="C529" s="237" t="s">
        <v>189</v>
      </c>
      <c r="D529" s="206" t="s">
        <v>629</v>
      </c>
      <c r="E529" s="238">
        <v>124000000</v>
      </c>
      <c r="F529" s="200">
        <v>6763497</v>
      </c>
      <c r="G529" s="200">
        <f>'25.企業債（24決算）'!G528+'25.企業債（25決算）'!F529</f>
        <v>32637438</v>
      </c>
      <c r="H529" s="200">
        <f t="shared" si="10"/>
        <v>91362562</v>
      </c>
      <c r="I529" s="201">
        <v>1.8</v>
      </c>
      <c r="J529" s="202" t="s">
        <v>43</v>
      </c>
    </row>
    <row r="530" spans="1:10" ht="14.25" customHeight="1">
      <c r="A530" s="236"/>
      <c r="B530" s="204">
        <v>18</v>
      </c>
      <c r="C530" s="237" t="s">
        <v>189</v>
      </c>
      <c r="D530" s="206" t="s">
        <v>347</v>
      </c>
      <c r="E530" s="238">
        <v>38000000</v>
      </c>
      <c r="F530" s="200">
        <v>2024927</v>
      </c>
      <c r="G530" s="200">
        <f>'25.企業債（24決算）'!G529+'25.企業債（25決算）'!F530</f>
        <v>7874944</v>
      </c>
      <c r="H530" s="200">
        <f t="shared" si="10"/>
        <v>30125056</v>
      </c>
      <c r="I530" s="201">
        <v>1.9</v>
      </c>
      <c r="J530" s="202" t="s">
        <v>294</v>
      </c>
    </row>
    <row r="531" spans="1:10" ht="14.25" customHeight="1">
      <c r="A531" s="236"/>
      <c r="B531" s="204">
        <v>19</v>
      </c>
      <c r="C531" s="237" t="s">
        <v>495</v>
      </c>
      <c r="D531" s="204" t="s">
        <v>632</v>
      </c>
      <c r="E531" s="238">
        <v>71000000</v>
      </c>
      <c r="F531" s="200">
        <v>3748227</v>
      </c>
      <c r="G531" s="200">
        <f>'25.企業債（24決算）'!G530+'25.企業債（25決算）'!F531</f>
        <v>11051569</v>
      </c>
      <c r="H531" s="200">
        <f t="shared" si="10"/>
        <v>59948431</v>
      </c>
      <c r="I531" s="201">
        <v>1.75</v>
      </c>
      <c r="J531" s="202" t="s">
        <v>633</v>
      </c>
    </row>
    <row r="532" spans="1:10" ht="14.25" customHeight="1">
      <c r="A532" s="236"/>
      <c r="B532" s="204">
        <v>20</v>
      </c>
      <c r="C532" s="217" t="s">
        <v>695</v>
      </c>
      <c r="D532" s="204" t="s">
        <v>624</v>
      </c>
      <c r="E532" s="238">
        <v>55000000</v>
      </c>
      <c r="F532" s="200">
        <v>2884986</v>
      </c>
      <c r="G532" s="200">
        <f>'25.企業債（24決算）'!G531+'25.企業債（25決算）'!F532</f>
        <v>5724360</v>
      </c>
      <c r="H532" s="200">
        <f t="shared" si="10"/>
        <v>49275640</v>
      </c>
      <c r="I532" s="201">
        <v>1.6</v>
      </c>
      <c r="J532" s="202" t="s">
        <v>296</v>
      </c>
    </row>
    <row r="533" spans="1:10" ht="17.25" customHeight="1" thickBot="1">
      <c r="A533" s="239" t="s">
        <v>376</v>
      </c>
      <c r="B533" s="240" t="s">
        <v>173</v>
      </c>
      <c r="C533" s="241" t="s">
        <v>173</v>
      </c>
      <c r="D533" s="242" t="s">
        <v>173</v>
      </c>
      <c r="E533" s="246">
        <f>SUM(E526:E532)</f>
        <v>446000000</v>
      </c>
      <c r="F533" s="246">
        <f>SUM(F526:F532)</f>
        <v>24366983</v>
      </c>
      <c r="G533" s="246">
        <f>SUM(G526:G532)</f>
        <v>115550974</v>
      </c>
      <c r="H533" s="246">
        <f>SUM(H526:H532)</f>
        <v>330449026</v>
      </c>
      <c r="I533" s="243"/>
      <c r="J533" s="244" t="s">
        <v>173</v>
      </c>
    </row>
    <row r="534" spans="1:10" ht="9.75" customHeight="1" thickBot="1">
      <c r="A534" s="261"/>
      <c r="B534" s="272"/>
      <c r="C534" s="257"/>
      <c r="D534" s="270"/>
      <c r="E534" s="259"/>
      <c r="F534" s="259"/>
      <c r="G534" s="259"/>
      <c r="H534" s="259"/>
      <c r="I534" s="260"/>
      <c r="J534" s="270"/>
    </row>
    <row r="535" spans="1:10" ht="14.25" customHeight="1">
      <c r="A535" s="479" t="s">
        <v>26</v>
      </c>
      <c r="B535" s="481" t="s">
        <v>311</v>
      </c>
      <c r="C535" s="483" t="s">
        <v>27</v>
      </c>
      <c r="D535" s="481" t="s">
        <v>312</v>
      </c>
      <c r="E535" s="485" t="s">
        <v>28</v>
      </c>
      <c r="F535" s="487" t="s">
        <v>29</v>
      </c>
      <c r="G535" s="493"/>
      <c r="H535" s="489" t="s">
        <v>174</v>
      </c>
      <c r="I535" s="491" t="s">
        <v>30</v>
      </c>
      <c r="J535" s="477" t="s">
        <v>313</v>
      </c>
    </row>
    <row r="536" spans="1:10" ht="14.25" customHeight="1">
      <c r="A536" s="480"/>
      <c r="B536" s="482"/>
      <c r="C536" s="484"/>
      <c r="D536" s="482"/>
      <c r="E536" s="486"/>
      <c r="F536" s="207" t="s">
        <v>176</v>
      </c>
      <c r="G536" s="207" t="s">
        <v>305</v>
      </c>
      <c r="H536" s="490"/>
      <c r="I536" s="492"/>
      <c r="J536" s="478"/>
    </row>
    <row r="537" spans="1:10" ht="14.25" customHeight="1">
      <c r="A537" s="247" t="s">
        <v>706</v>
      </c>
      <c r="B537" s="248" t="s">
        <v>320</v>
      </c>
      <c r="C537" s="249" t="s">
        <v>163</v>
      </c>
      <c r="D537" s="211" t="s">
        <v>310</v>
      </c>
      <c r="E537" s="250">
        <v>1006000000</v>
      </c>
      <c r="F537" s="200">
        <v>33966695</v>
      </c>
      <c r="G537" s="200">
        <f>'25.企業債（24決算）'!G536+'25.企業債（25決算）'!F537</f>
        <v>163271273</v>
      </c>
      <c r="H537" s="200">
        <f t="shared" ref="H537:H546" si="11">E537-G537</f>
        <v>842728727</v>
      </c>
      <c r="I537" s="213">
        <v>2</v>
      </c>
      <c r="J537" s="235" t="s">
        <v>63</v>
      </c>
    </row>
    <row r="538" spans="1:10" ht="14.25" customHeight="1">
      <c r="A538" s="236" t="s">
        <v>707</v>
      </c>
      <c r="B538" s="204">
        <v>16</v>
      </c>
      <c r="C538" s="237" t="s">
        <v>189</v>
      </c>
      <c r="D538" s="206" t="s">
        <v>137</v>
      </c>
      <c r="E538" s="200">
        <v>288000000</v>
      </c>
      <c r="F538" s="200">
        <v>10493536</v>
      </c>
      <c r="G538" s="200">
        <f>'25.企業債（24決算）'!G537+'25.企業債（25決算）'!F538</f>
        <v>40690344</v>
      </c>
      <c r="H538" s="200">
        <f t="shared" si="11"/>
        <v>247309656</v>
      </c>
      <c r="I538" s="201">
        <v>2.1</v>
      </c>
      <c r="J538" s="202" t="s">
        <v>58</v>
      </c>
    </row>
    <row r="539" spans="1:10" ht="14.25" customHeight="1">
      <c r="A539" s="232"/>
      <c r="B539" s="204">
        <v>16</v>
      </c>
      <c r="C539" s="205" t="s">
        <v>163</v>
      </c>
      <c r="D539" s="206" t="s">
        <v>138</v>
      </c>
      <c r="E539" s="200">
        <v>2952000000</v>
      </c>
      <c r="F539" s="200">
        <v>96739973</v>
      </c>
      <c r="G539" s="200">
        <f>'25.企業債（24決算）'!G538+'25.企業債（25決算）'!F539</f>
        <v>375124516</v>
      </c>
      <c r="H539" s="200">
        <f t="shared" si="11"/>
        <v>2576875484</v>
      </c>
      <c r="I539" s="201">
        <v>2.1</v>
      </c>
      <c r="J539" s="202" t="s">
        <v>139</v>
      </c>
    </row>
    <row r="540" spans="1:10" ht="14.25" customHeight="1">
      <c r="A540" s="232"/>
      <c r="B540" s="204">
        <v>17</v>
      </c>
      <c r="C540" s="205" t="s">
        <v>163</v>
      </c>
      <c r="D540" s="206" t="s">
        <v>140</v>
      </c>
      <c r="E540" s="200">
        <v>3534000000</v>
      </c>
      <c r="F540" s="200">
        <v>113418401</v>
      </c>
      <c r="G540" s="200">
        <f>'25.企業債（24決算）'!G539+'25.企業債（25決算）'!F540</f>
        <v>333269303</v>
      </c>
      <c r="H540" s="200">
        <f t="shared" si="11"/>
        <v>3200730697</v>
      </c>
      <c r="I540" s="201">
        <v>2.1</v>
      </c>
      <c r="J540" s="202" t="s">
        <v>141</v>
      </c>
    </row>
    <row r="541" spans="1:10" ht="14.25" customHeight="1">
      <c r="A541" s="232"/>
      <c r="B541" s="204">
        <v>18</v>
      </c>
      <c r="C541" s="205" t="s">
        <v>266</v>
      </c>
      <c r="D541" s="204" t="s">
        <v>346</v>
      </c>
      <c r="E541" s="200">
        <v>1500000000</v>
      </c>
      <c r="F541" s="200">
        <v>0</v>
      </c>
      <c r="G541" s="200">
        <f>'25.企業債（23決算）'!G538+'25.企業債（25決算）'!F541</f>
        <v>0</v>
      </c>
      <c r="H541" s="200">
        <f t="shared" si="11"/>
        <v>1500000000</v>
      </c>
      <c r="I541" s="201">
        <v>1.8</v>
      </c>
      <c r="J541" s="202" t="s">
        <v>276</v>
      </c>
    </row>
    <row r="542" spans="1:10" ht="14.25" customHeight="1">
      <c r="A542" s="232"/>
      <c r="B542" s="204">
        <v>18</v>
      </c>
      <c r="C542" s="205" t="s">
        <v>163</v>
      </c>
      <c r="D542" s="204" t="s">
        <v>675</v>
      </c>
      <c r="E542" s="200">
        <v>1800000000</v>
      </c>
      <c r="F542" s="200">
        <v>56573994</v>
      </c>
      <c r="G542" s="200">
        <f>'25.企業債（24決算）'!G541+'25.企業債（25決算）'!F542</f>
        <v>111978388</v>
      </c>
      <c r="H542" s="200">
        <f t="shared" si="11"/>
        <v>1688021612</v>
      </c>
      <c r="I542" s="201">
        <v>2.1</v>
      </c>
      <c r="J542" s="202" t="s">
        <v>662</v>
      </c>
    </row>
    <row r="543" spans="1:10" ht="14.25" customHeight="1">
      <c r="A543" s="232"/>
      <c r="B543" s="204">
        <v>19</v>
      </c>
      <c r="C543" s="205" t="s">
        <v>345</v>
      </c>
      <c r="D543" s="204" t="s">
        <v>632</v>
      </c>
      <c r="E543" s="200">
        <v>3666000000</v>
      </c>
      <c r="F543" s="200">
        <v>112840282</v>
      </c>
      <c r="G543" s="200">
        <f>'25.企業債（24決算）'!G542+'25.企業債（25決算）'!F543</f>
        <v>112840282</v>
      </c>
      <c r="H543" s="200">
        <f t="shared" si="11"/>
        <v>3553159718</v>
      </c>
      <c r="I543" s="201">
        <v>2.1</v>
      </c>
      <c r="J543" s="202" t="s">
        <v>677</v>
      </c>
    </row>
    <row r="544" spans="1:10" ht="14.25" customHeight="1">
      <c r="A544" s="232"/>
      <c r="B544" s="204">
        <v>20</v>
      </c>
      <c r="C544" s="205" t="s">
        <v>345</v>
      </c>
      <c r="D544" s="204" t="s">
        <v>624</v>
      </c>
      <c r="E544" s="200">
        <v>3348000000</v>
      </c>
      <c r="F544" s="200">
        <v>0</v>
      </c>
      <c r="G544" s="200">
        <f>'25.企業債（23決算）'!G541+'25.企業債（25決算）'!F544</f>
        <v>0</v>
      </c>
      <c r="H544" s="200">
        <f t="shared" si="11"/>
        <v>3348000000</v>
      </c>
      <c r="I544" s="201">
        <v>1.9</v>
      </c>
      <c r="J544" s="202" t="s">
        <v>636</v>
      </c>
    </row>
    <row r="545" spans="1:10" ht="14.25" customHeight="1">
      <c r="A545" s="232"/>
      <c r="B545" s="204">
        <v>21</v>
      </c>
      <c r="C545" s="237" t="s">
        <v>163</v>
      </c>
      <c r="D545" s="204" t="s">
        <v>808</v>
      </c>
      <c r="E545" s="200">
        <v>1744000000</v>
      </c>
      <c r="F545" s="200">
        <v>0</v>
      </c>
      <c r="G545" s="200">
        <f>'25.企業債（23決算）'!G542+'25.企業債（25決算）'!F545</f>
        <v>0</v>
      </c>
      <c r="H545" s="200">
        <f>E545-G545</f>
        <v>1744000000</v>
      </c>
      <c r="I545" s="201">
        <v>2.1</v>
      </c>
      <c r="J545" s="202" t="s">
        <v>696</v>
      </c>
    </row>
    <row r="546" spans="1:10" ht="14.25" customHeight="1">
      <c r="A546" s="232"/>
      <c r="B546" s="204">
        <v>22</v>
      </c>
      <c r="C546" s="237" t="s">
        <v>163</v>
      </c>
      <c r="D546" s="204" t="s">
        <v>887</v>
      </c>
      <c r="E546" s="200">
        <v>416000000</v>
      </c>
      <c r="F546" s="200">
        <v>0</v>
      </c>
      <c r="G546" s="200">
        <f>'25.企業債（23決算）'!G543+'25.企業債（25決算）'!F546</f>
        <v>0</v>
      </c>
      <c r="H546" s="200">
        <f t="shared" si="11"/>
        <v>416000000</v>
      </c>
      <c r="I546" s="201">
        <v>1.9</v>
      </c>
      <c r="J546" s="202" t="s">
        <v>888</v>
      </c>
    </row>
    <row r="547" spans="1:10">
      <c r="A547" s="219" t="s">
        <v>376</v>
      </c>
      <c r="B547" s="220"/>
      <c r="C547" s="221"/>
      <c r="D547" s="222"/>
      <c r="E547" s="245">
        <f>SUM(E537:E546)</f>
        <v>20254000000</v>
      </c>
      <c r="F547" s="245">
        <f>SUM(F537:F546)</f>
        <v>424032881</v>
      </c>
      <c r="G547" s="245">
        <f>SUM(G537:G546)</f>
        <v>1137174106</v>
      </c>
      <c r="H547" s="245">
        <f>SUM(H537:H546)</f>
        <v>19116825894</v>
      </c>
      <c r="I547" s="223"/>
      <c r="J547" s="224"/>
    </row>
    <row r="548" spans="1:10" ht="14.25" thickBot="1">
      <c r="A548" s="239" t="s">
        <v>170</v>
      </c>
      <c r="B548" s="240" t="s">
        <v>173</v>
      </c>
      <c r="C548" s="241" t="s">
        <v>173</v>
      </c>
      <c r="D548" s="242" t="s">
        <v>173</v>
      </c>
      <c r="E548" s="246">
        <f>E24+E43+E78+E161+E195+E287+E385+E389+E427+E493+E496+E499+E502+E525+E533+E547</f>
        <v>527595236889</v>
      </c>
      <c r="F548" s="246">
        <f>F24+F43+F78+F161+F195+F287+F385+F389+F427+F493+F496+F499+F502+F525+F533+F547</f>
        <v>22660583157</v>
      </c>
      <c r="G548" s="246">
        <f>G24+G43+G78+G161+G195+G287+G385+G389+G427+G493+G496+G499+G502+G525+G533+G547</f>
        <v>362881094411</v>
      </c>
      <c r="H548" s="246">
        <f>H24+H43+H78+H161+H195+H287+H385+H389+H427+H493+H496+H499+H502+H525+H533+H547</f>
        <v>164714142478</v>
      </c>
      <c r="I548" s="243"/>
      <c r="J548" s="244" t="s">
        <v>173</v>
      </c>
    </row>
    <row r="549" spans="1:10">
      <c r="H549" s="274"/>
    </row>
    <row r="551" spans="1:10">
      <c r="E551" s="274"/>
    </row>
  </sheetData>
  <mergeCells count="90">
    <mergeCell ref="I535:I536"/>
    <mergeCell ref="J535:J536"/>
    <mergeCell ref="H468:H469"/>
    <mergeCell ref="I468:I469"/>
    <mergeCell ref="J468:J469"/>
    <mergeCell ref="F535:G535"/>
    <mergeCell ref="H535:H536"/>
    <mergeCell ref="A468:A469"/>
    <mergeCell ref="B468:B469"/>
    <mergeCell ref="C468:C469"/>
    <mergeCell ref="D468:D469"/>
    <mergeCell ref="E468:E469"/>
    <mergeCell ref="F468:G468"/>
    <mergeCell ref="A535:A536"/>
    <mergeCell ref="B535:B536"/>
    <mergeCell ref="C535:C536"/>
    <mergeCell ref="D535:D536"/>
    <mergeCell ref="E535:E536"/>
    <mergeCell ref="J346:J347"/>
    <mergeCell ref="A408:A409"/>
    <mergeCell ref="B408:B409"/>
    <mergeCell ref="C408:C409"/>
    <mergeCell ref="D408:D409"/>
    <mergeCell ref="E408:E409"/>
    <mergeCell ref="F408:G408"/>
    <mergeCell ref="H408:H409"/>
    <mergeCell ref="I408:I409"/>
    <mergeCell ref="J408:J409"/>
    <mergeCell ref="A346:A347"/>
    <mergeCell ref="B346:B347"/>
    <mergeCell ref="C346:C347"/>
    <mergeCell ref="D346:D347"/>
    <mergeCell ref="E346:E347"/>
    <mergeCell ref="H228:H229"/>
    <mergeCell ref="I228:I229"/>
    <mergeCell ref="F346:G346"/>
    <mergeCell ref="H346:H347"/>
    <mergeCell ref="I346:I347"/>
    <mergeCell ref="J228:J229"/>
    <mergeCell ref="A289:A290"/>
    <mergeCell ref="B289:B290"/>
    <mergeCell ref="C289:C290"/>
    <mergeCell ref="D289:D290"/>
    <mergeCell ref="E289:E290"/>
    <mergeCell ref="F289:G289"/>
    <mergeCell ref="H289:H290"/>
    <mergeCell ref="I289:I290"/>
    <mergeCell ref="J289:J290"/>
    <mergeCell ref="A228:A229"/>
    <mergeCell ref="B228:B229"/>
    <mergeCell ref="C228:C229"/>
    <mergeCell ref="D228:D229"/>
    <mergeCell ref="E228:E229"/>
    <mergeCell ref="F228:G228"/>
    <mergeCell ref="J113:J114"/>
    <mergeCell ref="A171:A172"/>
    <mergeCell ref="B171:B172"/>
    <mergeCell ref="C171:C172"/>
    <mergeCell ref="D171:D172"/>
    <mergeCell ref="E171:E172"/>
    <mergeCell ref="F171:G171"/>
    <mergeCell ref="H171:H172"/>
    <mergeCell ref="I171:I172"/>
    <mergeCell ref="J171:J172"/>
    <mergeCell ref="A113:A114"/>
    <mergeCell ref="B113:B114"/>
    <mergeCell ref="C113:C114"/>
    <mergeCell ref="D113:D114"/>
    <mergeCell ref="E113:E114"/>
    <mergeCell ref="H2:H3"/>
    <mergeCell ref="I2:I3"/>
    <mergeCell ref="F113:G113"/>
    <mergeCell ref="H113:H114"/>
    <mergeCell ref="I113:I114"/>
    <mergeCell ref="J2:J3"/>
    <mergeCell ref="A57:A58"/>
    <mergeCell ref="B57:B58"/>
    <mergeCell ref="C57:C58"/>
    <mergeCell ref="D57:D58"/>
    <mergeCell ref="E57:E58"/>
    <mergeCell ref="F57:G57"/>
    <mergeCell ref="H57:H58"/>
    <mergeCell ref="I57:I58"/>
    <mergeCell ref="J57:J58"/>
    <mergeCell ref="A2:A3"/>
    <mergeCell ref="B2:B3"/>
    <mergeCell ref="C2:C3"/>
    <mergeCell ref="D2:D3"/>
    <mergeCell ref="E2:E3"/>
    <mergeCell ref="F2:G2"/>
  </mergeCells>
  <phoneticPr fontId="2"/>
  <pageMargins left="0.98425196850393704" right="0.39370078740157483" top="0.98425196850393704" bottom="0.74803149606299213" header="0.31496062992125984" footer="0.31496062992125984"/>
  <pageSetup paperSize="9" scale="82" firstPageNumber="100" orientation="portrait" useFirstPageNumber="1" r:id="rId1"/>
  <headerFooter>
    <oddFooter>&amp;C&amp;P</oddFooter>
  </headerFooter>
  <rowBreaks count="9" manualBreakCount="9">
    <brk id="56" max="16383" man="1"/>
    <brk id="112" max="16383" man="1"/>
    <brk id="170" max="16383" man="1"/>
    <brk id="227" max="16383" man="1"/>
    <brk id="288" max="16383" man="1"/>
    <brk id="345" max="16383" man="1"/>
    <brk id="407" max="16383" man="1"/>
    <brk id="467" max="16383" man="1"/>
    <brk id="53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50"/>
  <sheetViews>
    <sheetView view="pageBreakPreview" zoomScale="115" zoomScaleNormal="100" zoomScaleSheetLayoutView="115" workbookViewId="0">
      <pane ySplit="3" topLeftCell="A523" activePane="bottomLeft" state="frozen"/>
      <selection activeCell="A2" sqref="A2:A3"/>
      <selection pane="bottomLeft" activeCell="A2" sqref="A2:A3"/>
    </sheetView>
  </sheetViews>
  <sheetFormatPr defaultColWidth="9" defaultRowHeight="13.5"/>
  <cols>
    <col min="1" max="1" width="10.875" style="256" customWidth="1"/>
    <col min="2" max="2" width="4.5" style="256" customWidth="1"/>
    <col min="3" max="3" width="12.75" style="256" customWidth="1"/>
    <col min="4" max="4" width="8.875" style="256" customWidth="1"/>
    <col min="5" max="5" width="12.75" style="273" customWidth="1"/>
    <col min="6" max="6" width="11.875" style="273" customWidth="1"/>
    <col min="7" max="8" width="12.75" style="273" customWidth="1"/>
    <col min="9" max="9" width="5" style="256" customWidth="1"/>
    <col min="10" max="10" width="4.25" style="256" customWidth="1"/>
    <col min="11" max="12" width="14" style="256" bestFit="1" customWidth="1"/>
    <col min="13" max="16384" width="9" style="256"/>
  </cols>
  <sheetData>
    <row r="1" spans="1:10" ht="20.25" customHeight="1" thickBot="1">
      <c r="A1" s="275" t="s">
        <v>637</v>
      </c>
      <c r="B1" s="251"/>
      <c r="C1" s="252"/>
      <c r="D1" s="251"/>
      <c r="E1" s="253"/>
      <c r="F1" s="254"/>
      <c r="G1" s="253"/>
      <c r="H1" s="253"/>
      <c r="I1" s="255"/>
      <c r="J1" s="252"/>
    </row>
    <row r="2" spans="1:10">
      <c r="A2" s="479" t="s">
        <v>85</v>
      </c>
      <c r="B2" s="481" t="s">
        <v>311</v>
      </c>
      <c r="C2" s="483" t="s">
        <v>86</v>
      </c>
      <c r="D2" s="481" t="s">
        <v>312</v>
      </c>
      <c r="E2" s="485" t="s">
        <v>87</v>
      </c>
      <c r="F2" s="487" t="s">
        <v>88</v>
      </c>
      <c r="G2" s="493"/>
      <c r="H2" s="489" t="s">
        <v>174</v>
      </c>
      <c r="I2" s="491" t="s">
        <v>89</v>
      </c>
      <c r="J2" s="477" t="s">
        <v>313</v>
      </c>
    </row>
    <row r="3" spans="1:10">
      <c r="A3" s="480"/>
      <c r="B3" s="482"/>
      <c r="C3" s="484"/>
      <c r="D3" s="482"/>
      <c r="E3" s="486"/>
      <c r="F3" s="207" t="s">
        <v>176</v>
      </c>
      <c r="G3" s="207" t="s">
        <v>305</v>
      </c>
      <c r="H3" s="490"/>
      <c r="I3" s="492"/>
      <c r="J3" s="478"/>
    </row>
    <row r="4" spans="1:10" ht="14.25" customHeight="1">
      <c r="A4" s="209"/>
      <c r="B4" s="210"/>
      <c r="C4" s="210"/>
      <c r="D4" s="211" t="s">
        <v>177</v>
      </c>
      <c r="E4" s="212" t="s">
        <v>178</v>
      </c>
      <c r="F4" s="212" t="s">
        <v>172</v>
      </c>
      <c r="G4" s="212" t="s">
        <v>178</v>
      </c>
      <c r="H4" s="212" t="s">
        <v>178</v>
      </c>
      <c r="I4" s="213" t="s">
        <v>90</v>
      </c>
      <c r="J4" s="214" t="s">
        <v>175</v>
      </c>
    </row>
    <row r="5" spans="1:10" ht="14.25" customHeight="1">
      <c r="A5" s="215" t="s">
        <v>179</v>
      </c>
      <c r="B5" s="206" t="s">
        <v>356</v>
      </c>
      <c r="C5" s="263" t="s">
        <v>180</v>
      </c>
      <c r="D5" s="206" t="s">
        <v>357</v>
      </c>
      <c r="E5" s="200">
        <v>40000000</v>
      </c>
      <c r="F5" s="200">
        <v>0</v>
      </c>
      <c r="G5" s="200">
        <v>40000000</v>
      </c>
      <c r="H5" s="200">
        <f t="shared" ref="H5:H55" si="0">E5-G5</f>
        <v>0</v>
      </c>
      <c r="I5" s="201">
        <v>7.8</v>
      </c>
      <c r="J5" s="216" t="s">
        <v>358</v>
      </c>
    </row>
    <row r="6" spans="1:10" ht="14.25" customHeight="1">
      <c r="A6" s="203" t="s">
        <v>182</v>
      </c>
      <c r="B6" s="204" t="s">
        <v>183</v>
      </c>
      <c r="C6" s="263" t="s">
        <v>184</v>
      </c>
      <c r="D6" s="206" t="s">
        <v>359</v>
      </c>
      <c r="E6" s="200">
        <v>10000000</v>
      </c>
      <c r="F6" s="200">
        <v>0</v>
      </c>
      <c r="G6" s="200">
        <v>10000000</v>
      </c>
      <c r="H6" s="200">
        <f t="shared" si="0"/>
        <v>0</v>
      </c>
      <c r="I6" s="201">
        <v>7.8</v>
      </c>
      <c r="J6" s="216" t="s">
        <v>181</v>
      </c>
    </row>
    <row r="7" spans="1:10" ht="14.25" customHeight="1">
      <c r="A7" s="203"/>
      <c r="B7" s="204" t="s">
        <v>183</v>
      </c>
      <c r="C7" s="205" t="s">
        <v>185</v>
      </c>
      <c r="D7" s="206" t="s">
        <v>360</v>
      </c>
      <c r="E7" s="200">
        <v>50000000</v>
      </c>
      <c r="F7" s="200">
        <v>0</v>
      </c>
      <c r="G7" s="200">
        <v>50000000</v>
      </c>
      <c r="H7" s="200">
        <f t="shared" si="0"/>
        <v>0</v>
      </c>
      <c r="I7" s="201">
        <v>6.5</v>
      </c>
      <c r="J7" s="216" t="s">
        <v>186</v>
      </c>
    </row>
    <row r="8" spans="1:10" ht="14.25" customHeight="1">
      <c r="A8" s="203"/>
      <c r="B8" s="204" t="s">
        <v>187</v>
      </c>
      <c r="C8" s="205" t="s">
        <v>185</v>
      </c>
      <c r="D8" s="206" t="s">
        <v>361</v>
      </c>
      <c r="E8" s="200">
        <v>150000000</v>
      </c>
      <c r="F8" s="200">
        <v>0</v>
      </c>
      <c r="G8" s="200">
        <v>150000000</v>
      </c>
      <c r="H8" s="200">
        <f t="shared" si="0"/>
        <v>0</v>
      </c>
      <c r="I8" s="201">
        <v>6.5</v>
      </c>
      <c r="J8" s="216" t="s">
        <v>188</v>
      </c>
    </row>
    <row r="9" spans="1:10" ht="14.25" customHeight="1">
      <c r="A9" s="203"/>
      <c r="B9" s="204" t="s">
        <v>187</v>
      </c>
      <c r="C9" s="205" t="s">
        <v>189</v>
      </c>
      <c r="D9" s="206" t="s">
        <v>362</v>
      </c>
      <c r="E9" s="200">
        <v>200000000</v>
      </c>
      <c r="F9" s="200">
        <v>0</v>
      </c>
      <c r="G9" s="200">
        <v>200000000</v>
      </c>
      <c r="H9" s="200">
        <f t="shared" si="0"/>
        <v>0</v>
      </c>
      <c r="I9" s="201">
        <v>7.6</v>
      </c>
      <c r="J9" s="216" t="s">
        <v>190</v>
      </c>
    </row>
    <row r="10" spans="1:10" ht="14.25" customHeight="1">
      <c r="A10" s="203"/>
      <c r="B10" s="204" t="s">
        <v>191</v>
      </c>
      <c r="C10" s="205" t="s">
        <v>189</v>
      </c>
      <c r="D10" s="206" t="s">
        <v>363</v>
      </c>
      <c r="E10" s="200">
        <v>200000000</v>
      </c>
      <c r="F10" s="200">
        <v>0</v>
      </c>
      <c r="G10" s="200">
        <v>200000000</v>
      </c>
      <c r="H10" s="200">
        <f t="shared" si="0"/>
        <v>0</v>
      </c>
      <c r="I10" s="201">
        <v>7.6</v>
      </c>
      <c r="J10" s="216" t="s">
        <v>192</v>
      </c>
    </row>
    <row r="11" spans="1:10" ht="14.25" customHeight="1">
      <c r="A11" s="203"/>
      <c r="B11" s="204" t="s">
        <v>191</v>
      </c>
      <c r="C11" s="205" t="s">
        <v>193</v>
      </c>
      <c r="D11" s="206" t="s">
        <v>364</v>
      </c>
      <c r="E11" s="200">
        <v>200000000</v>
      </c>
      <c r="F11" s="200">
        <v>0</v>
      </c>
      <c r="G11" s="200">
        <v>200000000</v>
      </c>
      <c r="H11" s="200">
        <f t="shared" si="0"/>
        <v>0</v>
      </c>
      <c r="I11" s="201">
        <v>6.5</v>
      </c>
      <c r="J11" s="216" t="s">
        <v>194</v>
      </c>
    </row>
    <row r="12" spans="1:10" ht="14.25" customHeight="1">
      <c r="A12" s="203"/>
      <c r="B12" s="204" t="s">
        <v>195</v>
      </c>
      <c r="C12" s="205" t="s">
        <v>189</v>
      </c>
      <c r="D12" s="206" t="s">
        <v>365</v>
      </c>
      <c r="E12" s="200">
        <v>250000000</v>
      </c>
      <c r="F12" s="200">
        <v>0</v>
      </c>
      <c r="G12" s="200">
        <v>250000000</v>
      </c>
      <c r="H12" s="200">
        <f t="shared" si="0"/>
        <v>0</v>
      </c>
      <c r="I12" s="201">
        <v>7.6</v>
      </c>
      <c r="J12" s="216" t="s">
        <v>196</v>
      </c>
    </row>
    <row r="13" spans="1:10" ht="14.25" customHeight="1">
      <c r="A13" s="203"/>
      <c r="B13" s="204" t="s">
        <v>195</v>
      </c>
      <c r="C13" s="263" t="s">
        <v>180</v>
      </c>
      <c r="D13" s="206" t="s">
        <v>366</v>
      </c>
      <c r="E13" s="200">
        <v>100000000</v>
      </c>
      <c r="F13" s="200">
        <v>0</v>
      </c>
      <c r="G13" s="200">
        <v>100000000</v>
      </c>
      <c r="H13" s="200">
        <f t="shared" si="0"/>
        <v>0</v>
      </c>
      <c r="I13" s="201">
        <v>7.3</v>
      </c>
      <c r="J13" s="216" t="s">
        <v>197</v>
      </c>
    </row>
    <row r="14" spans="1:10" ht="14.25" customHeight="1">
      <c r="A14" s="203"/>
      <c r="B14" s="204" t="s">
        <v>195</v>
      </c>
      <c r="C14" s="205" t="s">
        <v>193</v>
      </c>
      <c r="D14" s="206" t="s">
        <v>367</v>
      </c>
      <c r="E14" s="200">
        <v>250000000</v>
      </c>
      <c r="F14" s="200">
        <v>0</v>
      </c>
      <c r="G14" s="200">
        <v>250000000</v>
      </c>
      <c r="H14" s="200">
        <f t="shared" si="0"/>
        <v>0</v>
      </c>
      <c r="I14" s="201">
        <v>6.5</v>
      </c>
      <c r="J14" s="216" t="s">
        <v>198</v>
      </c>
    </row>
    <row r="15" spans="1:10" ht="14.25" customHeight="1">
      <c r="A15" s="203"/>
      <c r="B15" s="204" t="s">
        <v>199</v>
      </c>
      <c r="C15" s="205" t="s">
        <v>189</v>
      </c>
      <c r="D15" s="206" t="s">
        <v>368</v>
      </c>
      <c r="E15" s="200">
        <v>100000000</v>
      </c>
      <c r="F15" s="200">
        <v>0</v>
      </c>
      <c r="G15" s="200">
        <v>100000000</v>
      </c>
      <c r="H15" s="200">
        <f t="shared" si="0"/>
        <v>0</v>
      </c>
      <c r="I15" s="201">
        <v>7.6</v>
      </c>
      <c r="J15" s="216" t="s">
        <v>186</v>
      </c>
    </row>
    <row r="16" spans="1:10" ht="14.25" customHeight="1">
      <c r="A16" s="203"/>
      <c r="B16" s="204" t="s">
        <v>199</v>
      </c>
      <c r="C16" s="205" t="s">
        <v>189</v>
      </c>
      <c r="D16" s="206" t="s">
        <v>369</v>
      </c>
      <c r="E16" s="200">
        <v>170000000</v>
      </c>
      <c r="F16" s="200">
        <v>0</v>
      </c>
      <c r="G16" s="200">
        <v>170000000</v>
      </c>
      <c r="H16" s="200">
        <f t="shared" si="0"/>
        <v>0</v>
      </c>
      <c r="I16" s="201">
        <v>7.6</v>
      </c>
      <c r="J16" s="216" t="s">
        <v>186</v>
      </c>
    </row>
    <row r="17" spans="1:10" ht="14.25" customHeight="1">
      <c r="A17" s="203"/>
      <c r="B17" s="204" t="s">
        <v>199</v>
      </c>
      <c r="C17" s="263" t="s">
        <v>180</v>
      </c>
      <c r="D17" s="206" t="s">
        <v>370</v>
      </c>
      <c r="E17" s="200">
        <v>60000000</v>
      </c>
      <c r="F17" s="200">
        <v>0</v>
      </c>
      <c r="G17" s="200">
        <v>60000000</v>
      </c>
      <c r="H17" s="200">
        <f t="shared" si="0"/>
        <v>0</v>
      </c>
      <c r="I17" s="201">
        <v>7.3</v>
      </c>
      <c r="J17" s="216" t="s">
        <v>200</v>
      </c>
    </row>
    <row r="18" spans="1:10" ht="14.25" customHeight="1">
      <c r="A18" s="203"/>
      <c r="B18" s="204" t="s">
        <v>199</v>
      </c>
      <c r="C18" s="205" t="s">
        <v>193</v>
      </c>
      <c r="D18" s="206" t="s">
        <v>371</v>
      </c>
      <c r="E18" s="200">
        <v>270000000</v>
      </c>
      <c r="F18" s="200">
        <v>0</v>
      </c>
      <c r="G18" s="200">
        <v>270000000</v>
      </c>
      <c r="H18" s="200">
        <f t="shared" si="0"/>
        <v>0</v>
      </c>
      <c r="I18" s="201">
        <v>6.5</v>
      </c>
      <c r="J18" s="216" t="s">
        <v>201</v>
      </c>
    </row>
    <row r="19" spans="1:10" ht="14.25" customHeight="1">
      <c r="A19" s="203"/>
      <c r="B19" s="204" t="s">
        <v>202</v>
      </c>
      <c r="C19" s="205" t="s">
        <v>189</v>
      </c>
      <c r="D19" s="206" t="s">
        <v>372</v>
      </c>
      <c r="E19" s="200">
        <v>160000000</v>
      </c>
      <c r="F19" s="200">
        <v>0</v>
      </c>
      <c r="G19" s="200">
        <v>160000000</v>
      </c>
      <c r="H19" s="200">
        <f t="shared" si="0"/>
        <v>0</v>
      </c>
      <c r="I19" s="201">
        <v>7.4</v>
      </c>
      <c r="J19" s="216" t="s">
        <v>203</v>
      </c>
    </row>
    <row r="20" spans="1:10" ht="14.25" customHeight="1">
      <c r="A20" s="203"/>
      <c r="B20" s="204" t="s">
        <v>202</v>
      </c>
      <c r="C20" s="205" t="s">
        <v>193</v>
      </c>
      <c r="D20" s="206" t="s">
        <v>373</v>
      </c>
      <c r="E20" s="200">
        <v>200000000</v>
      </c>
      <c r="F20" s="200">
        <v>0</v>
      </c>
      <c r="G20" s="200">
        <v>200000000</v>
      </c>
      <c r="H20" s="200">
        <f t="shared" si="0"/>
        <v>0</v>
      </c>
      <c r="I20" s="201">
        <v>6.5</v>
      </c>
      <c r="J20" s="216" t="s">
        <v>204</v>
      </c>
    </row>
    <row r="21" spans="1:10" ht="14.25" customHeight="1">
      <c r="A21" s="203"/>
      <c r="B21" s="204" t="s">
        <v>205</v>
      </c>
      <c r="C21" s="263" t="s">
        <v>180</v>
      </c>
      <c r="D21" s="206" t="s">
        <v>374</v>
      </c>
      <c r="E21" s="200">
        <v>30000000</v>
      </c>
      <c r="F21" s="200">
        <v>0</v>
      </c>
      <c r="G21" s="200">
        <v>30000000</v>
      </c>
      <c r="H21" s="200">
        <f t="shared" si="0"/>
        <v>0</v>
      </c>
      <c r="I21" s="201">
        <v>7.1</v>
      </c>
      <c r="J21" s="216" t="s">
        <v>206</v>
      </c>
    </row>
    <row r="22" spans="1:10" ht="14.25" customHeight="1">
      <c r="A22" s="203"/>
      <c r="B22" s="204" t="s">
        <v>205</v>
      </c>
      <c r="C22" s="263" t="s">
        <v>184</v>
      </c>
      <c r="D22" s="206" t="s">
        <v>375</v>
      </c>
      <c r="E22" s="200">
        <v>50000000</v>
      </c>
      <c r="F22" s="200">
        <v>0</v>
      </c>
      <c r="G22" s="200">
        <v>50000000</v>
      </c>
      <c r="H22" s="200">
        <f t="shared" si="0"/>
        <v>0</v>
      </c>
      <c r="I22" s="201">
        <v>7.1</v>
      </c>
      <c r="J22" s="216" t="s">
        <v>171</v>
      </c>
    </row>
    <row r="23" spans="1:10" ht="14.25" customHeight="1">
      <c r="A23" s="276"/>
      <c r="B23" s="277" t="s">
        <v>205</v>
      </c>
      <c r="C23" s="278" t="s">
        <v>207</v>
      </c>
      <c r="D23" s="279" t="s">
        <v>375</v>
      </c>
      <c r="E23" s="280">
        <v>50000000</v>
      </c>
      <c r="F23" s="200">
        <v>0</v>
      </c>
      <c r="G23" s="200">
        <v>50000000</v>
      </c>
      <c r="H23" s="200">
        <f t="shared" si="0"/>
        <v>0</v>
      </c>
      <c r="I23" s="208">
        <v>7.1</v>
      </c>
      <c r="J23" s="281" t="s">
        <v>171</v>
      </c>
    </row>
    <row r="24" spans="1:10" ht="17.25" customHeight="1">
      <c r="A24" s="219" t="s">
        <v>376</v>
      </c>
      <c r="B24" s="220" t="s">
        <v>173</v>
      </c>
      <c r="C24" s="221" t="s">
        <v>173</v>
      </c>
      <c r="D24" s="222" t="s">
        <v>173</v>
      </c>
      <c r="E24" s="245">
        <f>SUM(E5:E23)</f>
        <v>2540000000</v>
      </c>
      <c r="F24" s="245">
        <f>SUM(F5:F23)</f>
        <v>0</v>
      </c>
      <c r="G24" s="245">
        <f>SUM(G5:G23)</f>
        <v>2540000000</v>
      </c>
      <c r="H24" s="245">
        <f>SUM(H5:H23)</f>
        <v>0</v>
      </c>
      <c r="I24" s="223"/>
      <c r="J24" s="224" t="s">
        <v>173</v>
      </c>
    </row>
    <row r="25" spans="1:10" ht="14.25" customHeight="1">
      <c r="A25" s="209" t="s">
        <v>208</v>
      </c>
      <c r="B25" s="265" t="s">
        <v>377</v>
      </c>
      <c r="C25" s="249" t="s">
        <v>189</v>
      </c>
      <c r="D25" s="211" t="s">
        <v>378</v>
      </c>
      <c r="E25" s="250">
        <v>340000000</v>
      </c>
      <c r="F25" s="200">
        <v>0</v>
      </c>
      <c r="G25" s="200">
        <v>340000000</v>
      </c>
      <c r="H25" s="200">
        <f t="shared" si="0"/>
        <v>0</v>
      </c>
      <c r="I25" s="213">
        <v>7.4</v>
      </c>
      <c r="J25" s="235" t="s">
        <v>209</v>
      </c>
    </row>
    <row r="26" spans="1:10" ht="14.25" customHeight="1">
      <c r="A26" s="203" t="s">
        <v>182</v>
      </c>
      <c r="B26" s="282" t="s">
        <v>205</v>
      </c>
      <c r="C26" s="263" t="s">
        <v>180</v>
      </c>
      <c r="D26" s="206" t="s">
        <v>375</v>
      </c>
      <c r="E26" s="200">
        <v>200000000</v>
      </c>
      <c r="F26" s="200">
        <v>0</v>
      </c>
      <c r="G26" s="200">
        <v>200000000</v>
      </c>
      <c r="H26" s="200">
        <f t="shared" si="0"/>
        <v>0</v>
      </c>
      <c r="I26" s="201">
        <v>7.1</v>
      </c>
      <c r="J26" s="216" t="s">
        <v>171</v>
      </c>
    </row>
    <row r="27" spans="1:10" ht="14.25" customHeight="1">
      <c r="A27" s="203"/>
      <c r="B27" s="282" t="s">
        <v>205</v>
      </c>
      <c r="C27" s="205" t="s">
        <v>193</v>
      </c>
      <c r="D27" s="206" t="s">
        <v>379</v>
      </c>
      <c r="E27" s="200">
        <v>370000000</v>
      </c>
      <c r="F27" s="200">
        <v>0</v>
      </c>
      <c r="G27" s="200">
        <v>370000000</v>
      </c>
      <c r="H27" s="200">
        <f t="shared" si="0"/>
        <v>0</v>
      </c>
      <c r="I27" s="201">
        <v>6.5</v>
      </c>
      <c r="J27" s="216" t="s">
        <v>210</v>
      </c>
    </row>
    <row r="28" spans="1:10" ht="14.25" customHeight="1">
      <c r="A28" s="203"/>
      <c r="B28" s="282" t="s">
        <v>211</v>
      </c>
      <c r="C28" s="205" t="s">
        <v>189</v>
      </c>
      <c r="D28" s="206" t="s">
        <v>380</v>
      </c>
      <c r="E28" s="200">
        <v>200000000</v>
      </c>
      <c r="F28" s="200">
        <v>0</v>
      </c>
      <c r="G28" s="200">
        <v>200000000</v>
      </c>
      <c r="H28" s="200">
        <f t="shared" si="0"/>
        <v>0</v>
      </c>
      <c r="I28" s="201">
        <v>7.3</v>
      </c>
      <c r="J28" s="216" t="s">
        <v>212</v>
      </c>
    </row>
    <row r="29" spans="1:10" ht="14.25" customHeight="1">
      <c r="A29" s="203"/>
      <c r="B29" s="282" t="s">
        <v>211</v>
      </c>
      <c r="C29" s="205" t="s">
        <v>213</v>
      </c>
      <c r="D29" s="206" t="s">
        <v>381</v>
      </c>
      <c r="E29" s="200">
        <v>300000000</v>
      </c>
      <c r="F29" s="200">
        <v>0</v>
      </c>
      <c r="G29" s="200">
        <v>300000000</v>
      </c>
      <c r="H29" s="200">
        <f t="shared" si="0"/>
        <v>0</v>
      </c>
      <c r="I29" s="201">
        <v>6.5</v>
      </c>
      <c r="J29" s="216" t="s">
        <v>214</v>
      </c>
    </row>
    <row r="30" spans="1:10" ht="14.25" customHeight="1">
      <c r="A30" s="203"/>
      <c r="B30" s="282" t="s">
        <v>211</v>
      </c>
      <c r="C30" s="205" t="s">
        <v>189</v>
      </c>
      <c r="D30" s="206" t="s">
        <v>382</v>
      </c>
      <c r="E30" s="200">
        <v>220000000</v>
      </c>
      <c r="F30" s="200">
        <v>0</v>
      </c>
      <c r="G30" s="200">
        <v>220000000</v>
      </c>
      <c r="H30" s="200">
        <f t="shared" si="0"/>
        <v>0</v>
      </c>
      <c r="I30" s="201">
        <v>7.3</v>
      </c>
      <c r="J30" s="216" t="s">
        <v>212</v>
      </c>
    </row>
    <row r="31" spans="1:10" ht="14.25" customHeight="1">
      <c r="A31" s="203"/>
      <c r="B31" s="282" t="s">
        <v>211</v>
      </c>
      <c r="C31" s="263" t="s">
        <v>180</v>
      </c>
      <c r="D31" s="206" t="s">
        <v>383</v>
      </c>
      <c r="E31" s="200">
        <v>100000000</v>
      </c>
      <c r="F31" s="200">
        <v>0</v>
      </c>
      <c r="G31" s="200">
        <v>100000000</v>
      </c>
      <c r="H31" s="200">
        <f t="shared" si="0"/>
        <v>0</v>
      </c>
      <c r="I31" s="201">
        <v>7.3</v>
      </c>
      <c r="J31" s="216" t="s">
        <v>171</v>
      </c>
    </row>
    <row r="32" spans="1:10" ht="14.25" customHeight="1">
      <c r="A32" s="203"/>
      <c r="B32" s="282" t="s">
        <v>211</v>
      </c>
      <c r="C32" s="205" t="s">
        <v>193</v>
      </c>
      <c r="D32" s="206" t="s">
        <v>384</v>
      </c>
      <c r="E32" s="200">
        <v>480000000</v>
      </c>
      <c r="F32" s="200">
        <v>0</v>
      </c>
      <c r="G32" s="200">
        <v>480000000</v>
      </c>
      <c r="H32" s="200">
        <f t="shared" si="0"/>
        <v>0</v>
      </c>
      <c r="I32" s="201">
        <v>6.5</v>
      </c>
      <c r="J32" s="216" t="s">
        <v>214</v>
      </c>
    </row>
    <row r="33" spans="1:10" ht="14.25" customHeight="1">
      <c r="A33" s="203"/>
      <c r="B33" s="282" t="s">
        <v>215</v>
      </c>
      <c r="C33" s="205" t="s">
        <v>189</v>
      </c>
      <c r="D33" s="206" t="s">
        <v>385</v>
      </c>
      <c r="E33" s="200">
        <v>300000000</v>
      </c>
      <c r="F33" s="200">
        <v>0</v>
      </c>
      <c r="G33" s="200">
        <v>300000000</v>
      </c>
      <c r="H33" s="200">
        <f t="shared" si="0"/>
        <v>0</v>
      </c>
      <c r="I33" s="201">
        <v>7.3</v>
      </c>
      <c r="J33" s="216" t="s">
        <v>188</v>
      </c>
    </row>
    <row r="34" spans="1:10" ht="14.25" customHeight="1">
      <c r="A34" s="203"/>
      <c r="B34" s="282" t="s">
        <v>215</v>
      </c>
      <c r="C34" s="205" t="s">
        <v>189</v>
      </c>
      <c r="D34" s="206" t="s">
        <v>385</v>
      </c>
      <c r="E34" s="200">
        <v>620000000</v>
      </c>
      <c r="F34" s="200">
        <v>0</v>
      </c>
      <c r="G34" s="200">
        <v>620000000</v>
      </c>
      <c r="H34" s="200">
        <f t="shared" si="0"/>
        <v>0</v>
      </c>
      <c r="I34" s="201">
        <v>7.3</v>
      </c>
      <c r="J34" s="216" t="s">
        <v>188</v>
      </c>
    </row>
    <row r="35" spans="1:10" ht="14.25" customHeight="1">
      <c r="A35" s="203"/>
      <c r="B35" s="282" t="s">
        <v>215</v>
      </c>
      <c r="C35" s="263" t="s">
        <v>180</v>
      </c>
      <c r="D35" s="206" t="s">
        <v>386</v>
      </c>
      <c r="E35" s="200">
        <v>100000000</v>
      </c>
      <c r="F35" s="200">
        <v>0</v>
      </c>
      <c r="G35" s="200">
        <v>100000000</v>
      </c>
      <c r="H35" s="200">
        <f t="shared" si="0"/>
        <v>0</v>
      </c>
      <c r="I35" s="201">
        <v>7.1</v>
      </c>
      <c r="J35" s="216" t="s">
        <v>216</v>
      </c>
    </row>
    <row r="36" spans="1:10" ht="14.25" customHeight="1">
      <c r="A36" s="203"/>
      <c r="B36" s="282" t="s">
        <v>215</v>
      </c>
      <c r="C36" s="205" t="s">
        <v>193</v>
      </c>
      <c r="D36" s="206" t="s">
        <v>387</v>
      </c>
      <c r="E36" s="200">
        <v>280000000</v>
      </c>
      <c r="F36" s="200">
        <v>0</v>
      </c>
      <c r="G36" s="200">
        <v>280000000</v>
      </c>
      <c r="H36" s="200">
        <f t="shared" si="0"/>
        <v>0</v>
      </c>
      <c r="I36" s="201">
        <v>6.5</v>
      </c>
      <c r="J36" s="202" t="s">
        <v>217</v>
      </c>
    </row>
    <row r="37" spans="1:10" ht="14.25" customHeight="1">
      <c r="A37" s="203"/>
      <c r="B37" s="282" t="s">
        <v>218</v>
      </c>
      <c r="C37" s="205" t="s">
        <v>189</v>
      </c>
      <c r="D37" s="206" t="s">
        <v>388</v>
      </c>
      <c r="E37" s="200">
        <v>350000000</v>
      </c>
      <c r="F37" s="200">
        <v>0</v>
      </c>
      <c r="G37" s="200">
        <v>350000000</v>
      </c>
      <c r="H37" s="200">
        <f t="shared" si="0"/>
        <v>0</v>
      </c>
      <c r="I37" s="201">
        <v>7.3</v>
      </c>
      <c r="J37" s="202" t="s">
        <v>214</v>
      </c>
    </row>
    <row r="38" spans="1:10" ht="14.25" customHeight="1">
      <c r="A38" s="203"/>
      <c r="B38" s="282" t="s">
        <v>218</v>
      </c>
      <c r="C38" s="205" t="s">
        <v>185</v>
      </c>
      <c r="D38" s="206" t="s">
        <v>389</v>
      </c>
      <c r="E38" s="200">
        <v>780000000</v>
      </c>
      <c r="F38" s="200">
        <v>0</v>
      </c>
      <c r="G38" s="200">
        <v>780000000</v>
      </c>
      <c r="H38" s="200">
        <f t="shared" si="0"/>
        <v>0</v>
      </c>
      <c r="I38" s="201">
        <v>6.5</v>
      </c>
      <c r="J38" s="202" t="s">
        <v>219</v>
      </c>
    </row>
    <row r="39" spans="1:10" ht="14.25" customHeight="1">
      <c r="A39" s="203"/>
      <c r="B39" s="282" t="s">
        <v>218</v>
      </c>
      <c r="C39" s="205" t="s">
        <v>189</v>
      </c>
      <c r="D39" s="206" t="s">
        <v>390</v>
      </c>
      <c r="E39" s="200">
        <v>210000000</v>
      </c>
      <c r="F39" s="200">
        <v>0</v>
      </c>
      <c r="G39" s="200">
        <v>210000000</v>
      </c>
      <c r="H39" s="200">
        <f t="shared" si="0"/>
        <v>0</v>
      </c>
      <c r="I39" s="201">
        <v>7.3</v>
      </c>
      <c r="J39" s="202" t="s">
        <v>214</v>
      </c>
    </row>
    <row r="40" spans="1:10" ht="14.25" customHeight="1">
      <c r="A40" s="203"/>
      <c r="B40" s="282" t="s">
        <v>220</v>
      </c>
      <c r="C40" s="205" t="s">
        <v>189</v>
      </c>
      <c r="D40" s="206" t="s">
        <v>391</v>
      </c>
      <c r="E40" s="200">
        <v>200000000</v>
      </c>
      <c r="F40" s="200">
        <v>0</v>
      </c>
      <c r="G40" s="200">
        <v>200000000</v>
      </c>
      <c r="H40" s="200">
        <f t="shared" si="0"/>
        <v>0</v>
      </c>
      <c r="I40" s="201">
        <v>7</v>
      </c>
      <c r="J40" s="202" t="s">
        <v>217</v>
      </c>
    </row>
    <row r="41" spans="1:10" ht="14.25" customHeight="1">
      <c r="A41" s="203"/>
      <c r="B41" s="282" t="s">
        <v>220</v>
      </c>
      <c r="C41" s="205" t="s">
        <v>193</v>
      </c>
      <c r="D41" s="206" t="s">
        <v>392</v>
      </c>
      <c r="E41" s="200">
        <v>230000000</v>
      </c>
      <c r="F41" s="200">
        <v>0</v>
      </c>
      <c r="G41" s="200">
        <v>230000000</v>
      </c>
      <c r="H41" s="200">
        <f t="shared" si="0"/>
        <v>0</v>
      </c>
      <c r="I41" s="201">
        <v>6.5</v>
      </c>
      <c r="J41" s="202" t="s">
        <v>221</v>
      </c>
    </row>
    <row r="42" spans="1:10" ht="14.25" customHeight="1">
      <c r="A42" s="276"/>
      <c r="B42" s="282" t="s">
        <v>218</v>
      </c>
      <c r="C42" s="205" t="s">
        <v>180</v>
      </c>
      <c r="D42" s="206" t="s">
        <v>393</v>
      </c>
      <c r="E42" s="200">
        <v>60000000</v>
      </c>
      <c r="F42" s="200">
        <v>0</v>
      </c>
      <c r="G42" s="200">
        <v>60000000</v>
      </c>
      <c r="H42" s="200">
        <f t="shared" si="0"/>
        <v>0</v>
      </c>
      <c r="I42" s="201">
        <v>7.1</v>
      </c>
      <c r="J42" s="202" t="s">
        <v>196</v>
      </c>
    </row>
    <row r="43" spans="1:10" ht="17.25" customHeight="1">
      <c r="A43" s="219" t="s">
        <v>376</v>
      </c>
      <c r="B43" s="220" t="s">
        <v>173</v>
      </c>
      <c r="C43" s="221" t="s">
        <v>173</v>
      </c>
      <c r="D43" s="222" t="s">
        <v>173</v>
      </c>
      <c r="E43" s="245">
        <f>SUM(E25:E42)</f>
        <v>5340000000</v>
      </c>
      <c r="F43" s="245">
        <f>SUM(F25:F42)</f>
        <v>0</v>
      </c>
      <c r="G43" s="245">
        <f>SUM(G25:G42)</f>
        <v>5340000000</v>
      </c>
      <c r="H43" s="245">
        <f>SUM(H25:H42)</f>
        <v>0</v>
      </c>
      <c r="I43" s="223"/>
      <c r="J43" s="224" t="s">
        <v>173</v>
      </c>
    </row>
    <row r="44" spans="1:10" ht="14.25" customHeight="1">
      <c r="A44" s="215" t="s">
        <v>222</v>
      </c>
      <c r="B44" s="204" t="s">
        <v>394</v>
      </c>
      <c r="C44" s="205" t="s">
        <v>189</v>
      </c>
      <c r="D44" s="206" t="s">
        <v>395</v>
      </c>
      <c r="E44" s="200">
        <v>40000000</v>
      </c>
      <c r="F44" s="200">
        <v>0</v>
      </c>
      <c r="G44" s="200">
        <v>40000000</v>
      </c>
      <c r="H44" s="200">
        <f t="shared" si="0"/>
        <v>0</v>
      </c>
      <c r="I44" s="201">
        <v>7.3</v>
      </c>
      <c r="J44" s="202" t="s">
        <v>214</v>
      </c>
    </row>
    <row r="45" spans="1:10" ht="14.25" customHeight="1">
      <c r="A45" s="203" t="s">
        <v>182</v>
      </c>
      <c r="B45" s="204" t="s">
        <v>218</v>
      </c>
      <c r="C45" s="205" t="s">
        <v>185</v>
      </c>
      <c r="D45" s="206" t="s">
        <v>396</v>
      </c>
      <c r="E45" s="200">
        <v>25000000</v>
      </c>
      <c r="F45" s="200">
        <v>0</v>
      </c>
      <c r="G45" s="200">
        <v>25000000</v>
      </c>
      <c r="H45" s="200">
        <f t="shared" si="0"/>
        <v>0</v>
      </c>
      <c r="I45" s="201">
        <v>6.5</v>
      </c>
      <c r="J45" s="202" t="s">
        <v>219</v>
      </c>
    </row>
    <row r="46" spans="1:10" ht="14.25" customHeight="1">
      <c r="A46" s="203"/>
      <c r="B46" s="204" t="s">
        <v>220</v>
      </c>
      <c r="C46" s="205" t="s">
        <v>189</v>
      </c>
      <c r="D46" s="206" t="s">
        <v>391</v>
      </c>
      <c r="E46" s="200">
        <v>300000000</v>
      </c>
      <c r="F46" s="200">
        <v>0</v>
      </c>
      <c r="G46" s="200">
        <v>300000000</v>
      </c>
      <c r="H46" s="200">
        <f t="shared" si="0"/>
        <v>0</v>
      </c>
      <c r="I46" s="201">
        <v>7</v>
      </c>
      <c r="J46" s="202" t="s">
        <v>217</v>
      </c>
    </row>
    <row r="47" spans="1:10" ht="14.25" customHeight="1">
      <c r="A47" s="203"/>
      <c r="B47" s="204" t="s">
        <v>220</v>
      </c>
      <c r="C47" s="205" t="s">
        <v>189</v>
      </c>
      <c r="D47" s="206" t="s">
        <v>397</v>
      </c>
      <c r="E47" s="200">
        <v>570000000</v>
      </c>
      <c r="F47" s="200">
        <v>0</v>
      </c>
      <c r="G47" s="200">
        <v>570000000</v>
      </c>
      <c r="H47" s="200">
        <f t="shared" si="0"/>
        <v>0</v>
      </c>
      <c r="I47" s="201">
        <v>7</v>
      </c>
      <c r="J47" s="202" t="s">
        <v>217</v>
      </c>
    </row>
    <row r="48" spans="1:10" ht="14.25" customHeight="1">
      <c r="A48" s="215"/>
      <c r="B48" s="204" t="s">
        <v>220</v>
      </c>
      <c r="C48" s="205" t="s">
        <v>180</v>
      </c>
      <c r="D48" s="206" t="s">
        <v>398</v>
      </c>
      <c r="E48" s="200">
        <v>300000000</v>
      </c>
      <c r="F48" s="200">
        <v>0</v>
      </c>
      <c r="G48" s="200">
        <v>300000000</v>
      </c>
      <c r="H48" s="200">
        <f t="shared" si="0"/>
        <v>0</v>
      </c>
      <c r="I48" s="201">
        <v>7.1</v>
      </c>
      <c r="J48" s="202" t="s">
        <v>203</v>
      </c>
    </row>
    <row r="49" spans="1:10" ht="14.25" customHeight="1">
      <c r="A49" s="215"/>
      <c r="B49" s="204" t="s">
        <v>218</v>
      </c>
      <c r="C49" s="205" t="s">
        <v>180</v>
      </c>
      <c r="D49" s="206" t="s">
        <v>393</v>
      </c>
      <c r="E49" s="200">
        <v>650000000</v>
      </c>
      <c r="F49" s="200">
        <v>0</v>
      </c>
      <c r="G49" s="200">
        <v>650000000</v>
      </c>
      <c r="H49" s="200">
        <f t="shared" si="0"/>
        <v>0</v>
      </c>
      <c r="I49" s="201">
        <v>7.1</v>
      </c>
      <c r="J49" s="202" t="s">
        <v>196</v>
      </c>
    </row>
    <row r="50" spans="1:10" ht="14.25" customHeight="1">
      <c r="A50" s="215"/>
      <c r="B50" s="206" t="s">
        <v>399</v>
      </c>
      <c r="C50" s="205" t="s">
        <v>185</v>
      </c>
      <c r="D50" s="206" t="s">
        <v>400</v>
      </c>
      <c r="E50" s="200">
        <v>1330000000</v>
      </c>
      <c r="F50" s="200">
        <v>0</v>
      </c>
      <c r="G50" s="200">
        <v>1330000000</v>
      </c>
      <c r="H50" s="200">
        <f t="shared" si="0"/>
        <v>0</v>
      </c>
      <c r="I50" s="201">
        <v>6.5</v>
      </c>
      <c r="J50" s="202" t="s">
        <v>221</v>
      </c>
    </row>
    <row r="51" spans="1:10" ht="14.25" customHeight="1">
      <c r="A51" s="215"/>
      <c r="B51" s="204">
        <v>42</v>
      </c>
      <c r="C51" s="205" t="s">
        <v>189</v>
      </c>
      <c r="D51" s="206" t="s">
        <v>401</v>
      </c>
      <c r="E51" s="200">
        <v>480000000</v>
      </c>
      <c r="F51" s="200">
        <v>0</v>
      </c>
      <c r="G51" s="200">
        <v>480000000</v>
      </c>
      <c r="H51" s="200">
        <f t="shared" si="0"/>
        <v>0</v>
      </c>
      <c r="I51" s="201">
        <v>7</v>
      </c>
      <c r="J51" s="202" t="s">
        <v>223</v>
      </c>
    </row>
    <row r="52" spans="1:10" ht="14.25" customHeight="1">
      <c r="A52" s="203"/>
      <c r="B52" s="204" t="s">
        <v>224</v>
      </c>
      <c r="C52" s="205" t="s">
        <v>185</v>
      </c>
      <c r="D52" s="206" t="s">
        <v>402</v>
      </c>
      <c r="E52" s="200">
        <v>990000000</v>
      </c>
      <c r="F52" s="200">
        <v>0</v>
      </c>
      <c r="G52" s="200">
        <v>990000000</v>
      </c>
      <c r="H52" s="200">
        <f t="shared" si="0"/>
        <v>0</v>
      </c>
      <c r="I52" s="201">
        <v>6.5</v>
      </c>
      <c r="J52" s="202" t="s">
        <v>225</v>
      </c>
    </row>
    <row r="53" spans="1:10" ht="14.25" customHeight="1">
      <c r="A53" s="218"/>
      <c r="B53" s="204">
        <v>42</v>
      </c>
      <c r="C53" s="205" t="s">
        <v>180</v>
      </c>
      <c r="D53" s="206" t="s">
        <v>711</v>
      </c>
      <c r="E53" s="200">
        <v>230000000</v>
      </c>
      <c r="F53" s="200">
        <v>0</v>
      </c>
      <c r="G53" s="200">
        <v>230000000</v>
      </c>
      <c r="H53" s="200">
        <f t="shared" si="0"/>
        <v>0</v>
      </c>
      <c r="I53" s="201">
        <v>7.1</v>
      </c>
      <c r="J53" s="283" t="s">
        <v>203</v>
      </c>
    </row>
    <row r="54" spans="1:10" ht="14.25" customHeight="1">
      <c r="A54" s="218"/>
      <c r="B54" s="204" t="s">
        <v>226</v>
      </c>
      <c r="C54" s="205" t="s">
        <v>189</v>
      </c>
      <c r="D54" s="206" t="s">
        <v>322</v>
      </c>
      <c r="E54" s="200">
        <v>300000000</v>
      </c>
      <c r="F54" s="200">
        <v>0</v>
      </c>
      <c r="G54" s="200">
        <v>300000000</v>
      </c>
      <c r="H54" s="200">
        <f t="shared" si="0"/>
        <v>0</v>
      </c>
      <c r="I54" s="201">
        <v>7</v>
      </c>
      <c r="J54" s="283" t="s">
        <v>227</v>
      </c>
    </row>
    <row r="55" spans="1:10" ht="14.25" customHeight="1" thickBot="1">
      <c r="A55" s="284"/>
      <c r="B55" s="285">
        <v>43</v>
      </c>
      <c r="C55" s="286" t="s">
        <v>189</v>
      </c>
      <c r="D55" s="287" t="s">
        <v>323</v>
      </c>
      <c r="E55" s="268">
        <v>500000000</v>
      </c>
      <c r="F55" s="268">
        <v>0</v>
      </c>
      <c r="G55" s="268">
        <v>500000000</v>
      </c>
      <c r="H55" s="268">
        <f t="shared" si="0"/>
        <v>0</v>
      </c>
      <c r="I55" s="288">
        <v>7</v>
      </c>
      <c r="J55" s="289" t="s">
        <v>227</v>
      </c>
    </row>
    <row r="56" spans="1:10" ht="9.75" customHeight="1" thickBot="1">
      <c r="A56" s="252"/>
      <c r="B56" s="282"/>
      <c r="C56" s="252"/>
      <c r="D56" s="265"/>
      <c r="E56" s="253"/>
      <c r="F56" s="253"/>
      <c r="G56" s="253"/>
      <c r="H56" s="253"/>
      <c r="I56" s="255"/>
      <c r="J56" s="251"/>
    </row>
    <row r="57" spans="1:10">
      <c r="A57" s="479" t="s">
        <v>85</v>
      </c>
      <c r="B57" s="481" t="s">
        <v>311</v>
      </c>
      <c r="C57" s="483" t="s">
        <v>86</v>
      </c>
      <c r="D57" s="481" t="s">
        <v>312</v>
      </c>
      <c r="E57" s="485" t="s">
        <v>87</v>
      </c>
      <c r="F57" s="487" t="s">
        <v>88</v>
      </c>
      <c r="G57" s="488"/>
      <c r="H57" s="489" t="s">
        <v>174</v>
      </c>
      <c r="I57" s="491" t="s">
        <v>89</v>
      </c>
      <c r="J57" s="477" t="s">
        <v>313</v>
      </c>
    </row>
    <row r="58" spans="1:10">
      <c r="A58" s="480"/>
      <c r="B58" s="482"/>
      <c r="C58" s="484"/>
      <c r="D58" s="482"/>
      <c r="E58" s="486"/>
      <c r="F58" s="207" t="s">
        <v>176</v>
      </c>
      <c r="G58" s="290" t="s">
        <v>305</v>
      </c>
      <c r="H58" s="490"/>
      <c r="I58" s="492"/>
      <c r="J58" s="478"/>
    </row>
    <row r="59" spans="1:10">
      <c r="A59" s="209"/>
      <c r="B59" s="210"/>
      <c r="C59" s="210"/>
      <c r="D59" s="211" t="s">
        <v>177</v>
      </c>
      <c r="E59" s="212" t="s">
        <v>178</v>
      </c>
      <c r="F59" s="212" t="s">
        <v>172</v>
      </c>
      <c r="G59" s="291" t="s">
        <v>178</v>
      </c>
      <c r="H59" s="212" t="s">
        <v>178</v>
      </c>
      <c r="I59" s="213" t="s">
        <v>90</v>
      </c>
      <c r="J59" s="214" t="s">
        <v>175</v>
      </c>
    </row>
    <row r="60" spans="1:10" ht="14.25" customHeight="1">
      <c r="A60" s="215" t="s">
        <v>222</v>
      </c>
      <c r="B60" s="204" t="s">
        <v>330</v>
      </c>
      <c r="C60" s="205" t="s">
        <v>189</v>
      </c>
      <c r="D60" s="206" t="s">
        <v>690</v>
      </c>
      <c r="E60" s="200">
        <v>310000000</v>
      </c>
      <c r="F60" s="200">
        <v>0</v>
      </c>
      <c r="G60" s="292">
        <v>310000000</v>
      </c>
      <c r="H60" s="200">
        <f t="shared" ref="H60:H111" si="1">E60-G60</f>
        <v>0</v>
      </c>
      <c r="I60" s="201">
        <v>7</v>
      </c>
      <c r="J60" s="202" t="s">
        <v>227</v>
      </c>
    </row>
    <row r="61" spans="1:10" ht="14.25" customHeight="1">
      <c r="A61" s="203" t="s">
        <v>182</v>
      </c>
      <c r="B61" s="204" t="s">
        <v>226</v>
      </c>
      <c r="C61" s="205" t="s">
        <v>180</v>
      </c>
      <c r="D61" s="206" t="s">
        <v>405</v>
      </c>
      <c r="E61" s="200">
        <v>260000000</v>
      </c>
      <c r="F61" s="200">
        <v>0</v>
      </c>
      <c r="G61" s="292">
        <v>260000000</v>
      </c>
      <c r="H61" s="200">
        <f t="shared" si="1"/>
        <v>0</v>
      </c>
      <c r="I61" s="201">
        <v>7.1</v>
      </c>
      <c r="J61" s="202" t="s">
        <v>209</v>
      </c>
    </row>
    <row r="62" spans="1:10" ht="14.25" customHeight="1">
      <c r="A62" s="203"/>
      <c r="B62" s="204" t="s">
        <v>226</v>
      </c>
      <c r="C62" s="205" t="s">
        <v>185</v>
      </c>
      <c r="D62" s="206" t="s">
        <v>406</v>
      </c>
      <c r="E62" s="200">
        <v>2130000000</v>
      </c>
      <c r="F62" s="200">
        <v>0</v>
      </c>
      <c r="G62" s="292">
        <v>2130000000</v>
      </c>
      <c r="H62" s="200">
        <f t="shared" si="1"/>
        <v>0</v>
      </c>
      <c r="I62" s="201">
        <v>6.5</v>
      </c>
      <c r="J62" s="202" t="s">
        <v>228</v>
      </c>
    </row>
    <row r="63" spans="1:10" ht="14.25" customHeight="1">
      <c r="A63" s="203"/>
      <c r="B63" s="204" t="s">
        <v>229</v>
      </c>
      <c r="C63" s="205" t="s">
        <v>189</v>
      </c>
      <c r="D63" s="206" t="s">
        <v>407</v>
      </c>
      <c r="E63" s="200">
        <v>300000000</v>
      </c>
      <c r="F63" s="200">
        <v>0</v>
      </c>
      <c r="G63" s="292">
        <v>300000000</v>
      </c>
      <c r="H63" s="200">
        <f t="shared" si="1"/>
        <v>0</v>
      </c>
      <c r="I63" s="201">
        <v>7</v>
      </c>
      <c r="J63" s="202" t="s">
        <v>230</v>
      </c>
    </row>
    <row r="64" spans="1:10" ht="14.25" customHeight="1">
      <c r="A64" s="203"/>
      <c r="B64" s="204" t="s">
        <v>229</v>
      </c>
      <c r="C64" s="205" t="s">
        <v>189</v>
      </c>
      <c r="D64" s="206" t="s">
        <v>408</v>
      </c>
      <c r="E64" s="200">
        <v>520000000</v>
      </c>
      <c r="F64" s="200">
        <v>0</v>
      </c>
      <c r="G64" s="292">
        <v>520000000</v>
      </c>
      <c r="H64" s="200">
        <f t="shared" si="1"/>
        <v>0</v>
      </c>
      <c r="I64" s="201">
        <v>7</v>
      </c>
      <c r="J64" s="202" t="s">
        <v>230</v>
      </c>
    </row>
    <row r="65" spans="1:10" ht="14.25" customHeight="1">
      <c r="A65" s="203"/>
      <c r="B65" s="204" t="s">
        <v>229</v>
      </c>
      <c r="C65" s="205" t="s">
        <v>189</v>
      </c>
      <c r="D65" s="206" t="s">
        <v>409</v>
      </c>
      <c r="E65" s="200">
        <v>130000000</v>
      </c>
      <c r="F65" s="200">
        <v>0</v>
      </c>
      <c r="G65" s="292">
        <v>130000000</v>
      </c>
      <c r="H65" s="200">
        <f t="shared" si="1"/>
        <v>0</v>
      </c>
      <c r="I65" s="201">
        <v>7</v>
      </c>
      <c r="J65" s="202" t="s">
        <v>230</v>
      </c>
    </row>
    <row r="66" spans="1:10" ht="14.25" customHeight="1">
      <c r="A66" s="203"/>
      <c r="B66" s="204" t="s">
        <v>229</v>
      </c>
      <c r="C66" s="205" t="s">
        <v>180</v>
      </c>
      <c r="D66" s="206" t="s">
        <v>410</v>
      </c>
      <c r="E66" s="200">
        <v>150000000</v>
      </c>
      <c r="F66" s="200">
        <v>0</v>
      </c>
      <c r="G66" s="292">
        <v>150000000</v>
      </c>
      <c r="H66" s="200">
        <f t="shared" si="1"/>
        <v>0</v>
      </c>
      <c r="I66" s="201">
        <v>7.1</v>
      </c>
      <c r="J66" s="202" t="s">
        <v>231</v>
      </c>
    </row>
    <row r="67" spans="1:10" ht="14.25" customHeight="1">
      <c r="A67" s="203"/>
      <c r="B67" s="204" t="s">
        <v>229</v>
      </c>
      <c r="C67" s="205" t="s">
        <v>185</v>
      </c>
      <c r="D67" s="206" t="s">
        <v>411</v>
      </c>
      <c r="E67" s="200">
        <v>1700000000</v>
      </c>
      <c r="F67" s="200">
        <v>0</v>
      </c>
      <c r="G67" s="292">
        <v>1700000000</v>
      </c>
      <c r="H67" s="200">
        <f t="shared" si="1"/>
        <v>0</v>
      </c>
      <c r="I67" s="201">
        <v>6.5</v>
      </c>
      <c r="J67" s="202" t="s">
        <v>232</v>
      </c>
    </row>
    <row r="68" spans="1:10" ht="14.25" customHeight="1">
      <c r="A68" s="203"/>
      <c r="B68" s="204" t="s">
        <v>233</v>
      </c>
      <c r="C68" s="205" t="s">
        <v>189</v>
      </c>
      <c r="D68" s="206" t="s">
        <v>412</v>
      </c>
      <c r="E68" s="200">
        <v>200000000</v>
      </c>
      <c r="F68" s="200">
        <v>0</v>
      </c>
      <c r="G68" s="292">
        <v>200000000</v>
      </c>
      <c r="H68" s="200">
        <f t="shared" si="1"/>
        <v>0</v>
      </c>
      <c r="I68" s="201">
        <v>6.7</v>
      </c>
      <c r="J68" s="202" t="s">
        <v>234</v>
      </c>
    </row>
    <row r="69" spans="1:10" ht="14.25" customHeight="1">
      <c r="A69" s="203"/>
      <c r="B69" s="204" t="s">
        <v>233</v>
      </c>
      <c r="C69" s="205" t="s">
        <v>189</v>
      </c>
      <c r="D69" s="206" t="s">
        <v>412</v>
      </c>
      <c r="E69" s="200">
        <v>600000000</v>
      </c>
      <c r="F69" s="200">
        <v>0</v>
      </c>
      <c r="G69" s="292">
        <v>600000000</v>
      </c>
      <c r="H69" s="200">
        <f t="shared" si="1"/>
        <v>0</v>
      </c>
      <c r="I69" s="201">
        <v>6.7</v>
      </c>
      <c r="J69" s="202" t="s">
        <v>234</v>
      </c>
    </row>
    <row r="70" spans="1:10" ht="14.25" customHeight="1">
      <c r="A70" s="203"/>
      <c r="B70" s="204" t="s">
        <v>233</v>
      </c>
      <c r="C70" s="205" t="s">
        <v>185</v>
      </c>
      <c r="D70" s="206" t="s">
        <v>413</v>
      </c>
      <c r="E70" s="200">
        <v>1560000000</v>
      </c>
      <c r="F70" s="200">
        <v>0</v>
      </c>
      <c r="G70" s="292">
        <v>1560000000</v>
      </c>
      <c r="H70" s="200">
        <f t="shared" si="1"/>
        <v>0</v>
      </c>
      <c r="I70" s="201">
        <v>6.5</v>
      </c>
      <c r="J70" s="202" t="s">
        <v>235</v>
      </c>
    </row>
    <row r="71" spans="1:10" ht="14.25" customHeight="1">
      <c r="A71" s="203"/>
      <c r="B71" s="204" t="s">
        <v>233</v>
      </c>
      <c r="C71" s="205" t="s">
        <v>180</v>
      </c>
      <c r="D71" s="206" t="s">
        <v>414</v>
      </c>
      <c r="E71" s="200">
        <v>240000000</v>
      </c>
      <c r="F71" s="200">
        <v>0</v>
      </c>
      <c r="G71" s="292">
        <v>240000000</v>
      </c>
      <c r="H71" s="200">
        <f t="shared" si="1"/>
        <v>0</v>
      </c>
      <c r="I71" s="201">
        <v>7.1</v>
      </c>
      <c r="J71" s="202" t="s">
        <v>209</v>
      </c>
    </row>
    <row r="72" spans="1:10" ht="14.25" customHeight="1">
      <c r="A72" s="203"/>
      <c r="B72" s="204" t="s">
        <v>236</v>
      </c>
      <c r="C72" s="205" t="s">
        <v>189</v>
      </c>
      <c r="D72" s="206" t="s">
        <v>415</v>
      </c>
      <c r="E72" s="200">
        <v>108000000</v>
      </c>
      <c r="F72" s="200">
        <v>0</v>
      </c>
      <c r="G72" s="292">
        <v>108000000</v>
      </c>
      <c r="H72" s="200">
        <f t="shared" si="1"/>
        <v>0</v>
      </c>
      <c r="I72" s="201">
        <v>6.7</v>
      </c>
      <c r="J72" s="202" t="s">
        <v>237</v>
      </c>
    </row>
    <row r="73" spans="1:10" ht="14.25" customHeight="1">
      <c r="A73" s="203"/>
      <c r="B73" s="204" t="s">
        <v>236</v>
      </c>
      <c r="C73" s="205" t="s">
        <v>189</v>
      </c>
      <c r="D73" s="206" t="s">
        <v>416</v>
      </c>
      <c r="E73" s="200">
        <v>90000000</v>
      </c>
      <c r="F73" s="200">
        <v>0</v>
      </c>
      <c r="G73" s="292">
        <v>90000000</v>
      </c>
      <c r="H73" s="200">
        <f t="shared" si="1"/>
        <v>0</v>
      </c>
      <c r="I73" s="201">
        <v>6.7</v>
      </c>
      <c r="J73" s="202" t="s">
        <v>237</v>
      </c>
    </row>
    <row r="74" spans="1:10" ht="14.25" customHeight="1">
      <c r="A74" s="203"/>
      <c r="B74" s="204" t="s">
        <v>236</v>
      </c>
      <c r="C74" s="205" t="s">
        <v>180</v>
      </c>
      <c r="D74" s="206" t="s">
        <v>416</v>
      </c>
      <c r="E74" s="200">
        <v>50000000</v>
      </c>
      <c r="F74" s="200">
        <v>0</v>
      </c>
      <c r="G74" s="292">
        <v>50000000</v>
      </c>
      <c r="H74" s="200">
        <f t="shared" si="1"/>
        <v>0</v>
      </c>
      <c r="I74" s="201">
        <v>7.1</v>
      </c>
      <c r="J74" s="202" t="s">
        <v>238</v>
      </c>
    </row>
    <row r="75" spans="1:10" ht="14.25" customHeight="1">
      <c r="A75" s="203"/>
      <c r="B75" s="204" t="s">
        <v>236</v>
      </c>
      <c r="C75" s="205" t="s">
        <v>180</v>
      </c>
      <c r="D75" s="206" t="s">
        <v>417</v>
      </c>
      <c r="E75" s="200">
        <v>100000000</v>
      </c>
      <c r="F75" s="200">
        <v>0</v>
      </c>
      <c r="G75" s="292">
        <v>100000000</v>
      </c>
      <c r="H75" s="200">
        <f t="shared" si="1"/>
        <v>0</v>
      </c>
      <c r="I75" s="201">
        <v>6.9</v>
      </c>
      <c r="J75" s="202" t="s">
        <v>238</v>
      </c>
    </row>
    <row r="76" spans="1:10" ht="14.25" customHeight="1">
      <c r="A76" s="203"/>
      <c r="B76" s="204" t="s">
        <v>236</v>
      </c>
      <c r="C76" s="205" t="s">
        <v>185</v>
      </c>
      <c r="D76" s="206" t="s">
        <v>418</v>
      </c>
      <c r="E76" s="200">
        <v>232000000</v>
      </c>
      <c r="F76" s="200">
        <v>0</v>
      </c>
      <c r="G76" s="292">
        <v>232000000</v>
      </c>
      <c r="H76" s="200">
        <f t="shared" si="1"/>
        <v>0</v>
      </c>
      <c r="I76" s="201">
        <v>6.5</v>
      </c>
      <c r="J76" s="202" t="s">
        <v>239</v>
      </c>
    </row>
    <row r="77" spans="1:10" ht="14.25" customHeight="1">
      <c r="A77" s="276"/>
      <c r="B77" s="277" t="s">
        <v>236</v>
      </c>
      <c r="C77" s="293" t="s">
        <v>180</v>
      </c>
      <c r="D77" s="279" t="s">
        <v>418</v>
      </c>
      <c r="E77" s="280">
        <v>100000000</v>
      </c>
      <c r="F77" s="200">
        <v>0</v>
      </c>
      <c r="G77" s="292">
        <v>100000000</v>
      </c>
      <c r="H77" s="200">
        <f t="shared" si="1"/>
        <v>0</v>
      </c>
      <c r="I77" s="208">
        <v>6.8</v>
      </c>
      <c r="J77" s="294" t="s">
        <v>212</v>
      </c>
    </row>
    <row r="78" spans="1:10" ht="17.25" customHeight="1">
      <c r="A78" s="219" t="s">
        <v>376</v>
      </c>
      <c r="B78" s="220" t="s">
        <v>173</v>
      </c>
      <c r="C78" s="221" t="s">
        <v>173</v>
      </c>
      <c r="D78" s="222" t="s">
        <v>173</v>
      </c>
      <c r="E78" s="245">
        <f>SUM(E44:E55,E60:E77)</f>
        <v>14495000000</v>
      </c>
      <c r="F78" s="245">
        <f>SUM(F44:F55,F60:F77)</f>
        <v>0</v>
      </c>
      <c r="G78" s="245">
        <f>SUM(G44:G55,G60:G77)</f>
        <v>14495000000</v>
      </c>
      <c r="H78" s="245">
        <f>SUM(H44:H55,H60:H77)</f>
        <v>0</v>
      </c>
      <c r="I78" s="223"/>
      <c r="J78" s="224" t="s">
        <v>173</v>
      </c>
    </row>
    <row r="79" spans="1:10" ht="14.25" customHeight="1">
      <c r="A79" s="209" t="s">
        <v>240</v>
      </c>
      <c r="B79" s="211" t="s">
        <v>419</v>
      </c>
      <c r="C79" s="249" t="s">
        <v>189</v>
      </c>
      <c r="D79" s="211" t="s">
        <v>420</v>
      </c>
      <c r="E79" s="250">
        <v>150000000</v>
      </c>
      <c r="F79" s="200">
        <v>0</v>
      </c>
      <c r="G79" s="292">
        <v>150000000</v>
      </c>
      <c r="H79" s="200">
        <f t="shared" si="1"/>
        <v>0</v>
      </c>
      <c r="I79" s="213">
        <v>6.7</v>
      </c>
      <c r="J79" s="214" t="s">
        <v>237</v>
      </c>
    </row>
    <row r="80" spans="1:10" ht="14.25" customHeight="1">
      <c r="A80" s="203" t="s">
        <v>182</v>
      </c>
      <c r="B80" s="204" t="s">
        <v>236</v>
      </c>
      <c r="C80" s="205" t="s">
        <v>189</v>
      </c>
      <c r="D80" s="206" t="s">
        <v>416</v>
      </c>
      <c r="E80" s="200">
        <v>482714000</v>
      </c>
      <c r="F80" s="200">
        <v>0</v>
      </c>
      <c r="G80" s="292">
        <v>482714000</v>
      </c>
      <c r="H80" s="200">
        <f t="shared" si="1"/>
        <v>0</v>
      </c>
      <c r="I80" s="201">
        <v>6.7</v>
      </c>
      <c r="J80" s="202" t="s">
        <v>237</v>
      </c>
    </row>
    <row r="81" spans="1:10" ht="14.25" customHeight="1">
      <c r="A81" s="203"/>
      <c r="B81" s="204" t="s">
        <v>236</v>
      </c>
      <c r="C81" s="263" t="s">
        <v>180</v>
      </c>
      <c r="D81" s="206" t="s">
        <v>417</v>
      </c>
      <c r="E81" s="200">
        <v>200000000</v>
      </c>
      <c r="F81" s="200">
        <v>0</v>
      </c>
      <c r="G81" s="292">
        <v>200000000</v>
      </c>
      <c r="H81" s="200">
        <f t="shared" si="1"/>
        <v>0</v>
      </c>
      <c r="I81" s="201">
        <v>6.9</v>
      </c>
      <c r="J81" s="202" t="s">
        <v>238</v>
      </c>
    </row>
    <row r="82" spans="1:10" ht="14.25" customHeight="1">
      <c r="A82" s="203"/>
      <c r="B82" s="204" t="s">
        <v>236</v>
      </c>
      <c r="C82" s="205" t="s">
        <v>189</v>
      </c>
      <c r="D82" s="206" t="s">
        <v>421</v>
      </c>
      <c r="E82" s="200">
        <v>125000000</v>
      </c>
      <c r="F82" s="200">
        <v>0</v>
      </c>
      <c r="G82" s="292">
        <v>125000000</v>
      </c>
      <c r="H82" s="200">
        <f t="shared" si="1"/>
        <v>0</v>
      </c>
      <c r="I82" s="201">
        <v>6.7</v>
      </c>
      <c r="J82" s="202" t="s">
        <v>237</v>
      </c>
    </row>
    <row r="83" spans="1:10" ht="14.25" customHeight="1">
      <c r="A83" s="203"/>
      <c r="B83" s="204" t="s">
        <v>236</v>
      </c>
      <c r="C83" s="263" t="s">
        <v>180</v>
      </c>
      <c r="D83" s="206" t="s">
        <v>422</v>
      </c>
      <c r="E83" s="200">
        <v>500000000</v>
      </c>
      <c r="F83" s="200">
        <v>0</v>
      </c>
      <c r="G83" s="292">
        <v>500000000</v>
      </c>
      <c r="H83" s="200">
        <f t="shared" si="1"/>
        <v>0</v>
      </c>
      <c r="I83" s="201">
        <v>6.8</v>
      </c>
      <c r="J83" s="202" t="s">
        <v>238</v>
      </c>
    </row>
    <row r="84" spans="1:10" ht="14.25" customHeight="1">
      <c r="A84" s="203"/>
      <c r="B84" s="204" t="s">
        <v>236</v>
      </c>
      <c r="C84" s="263" t="s">
        <v>180</v>
      </c>
      <c r="D84" s="206" t="s">
        <v>418</v>
      </c>
      <c r="E84" s="200">
        <v>200000000</v>
      </c>
      <c r="F84" s="200">
        <v>0</v>
      </c>
      <c r="G84" s="292">
        <v>200000000</v>
      </c>
      <c r="H84" s="200">
        <f t="shared" si="1"/>
        <v>0</v>
      </c>
      <c r="I84" s="201">
        <v>6.8</v>
      </c>
      <c r="J84" s="202" t="s">
        <v>212</v>
      </c>
    </row>
    <row r="85" spans="1:10" ht="14.25" customHeight="1">
      <c r="A85" s="203"/>
      <c r="B85" s="204" t="s">
        <v>236</v>
      </c>
      <c r="C85" s="205" t="s">
        <v>185</v>
      </c>
      <c r="D85" s="206" t="s">
        <v>423</v>
      </c>
      <c r="E85" s="200">
        <v>2114870889</v>
      </c>
      <c r="F85" s="200">
        <v>0</v>
      </c>
      <c r="G85" s="292">
        <v>2114870889</v>
      </c>
      <c r="H85" s="200">
        <f t="shared" si="1"/>
        <v>0</v>
      </c>
      <c r="I85" s="201">
        <v>6.5</v>
      </c>
      <c r="J85" s="202" t="s">
        <v>239</v>
      </c>
    </row>
    <row r="86" spans="1:10" ht="14.25" customHeight="1">
      <c r="A86" s="203"/>
      <c r="B86" s="204" t="s">
        <v>236</v>
      </c>
      <c r="C86" s="263" t="s">
        <v>180</v>
      </c>
      <c r="D86" s="206" t="s">
        <v>423</v>
      </c>
      <c r="E86" s="200">
        <v>300000000</v>
      </c>
      <c r="F86" s="200">
        <v>0</v>
      </c>
      <c r="G86" s="292">
        <v>300000000</v>
      </c>
      <c r="H86" s="200">
        <f t="shared" si="1"/>
        <v>0</v>
      </c>
      <c r="I86" s="201">
        <v>6.8</v>
      </c>
      <c r="J86" s="202" t="s">
        <v>212</v>
      </c>
    </row>
    <row r="87" spans="1:10" ht="14.25" customHeight="1">
      <c r="A87" s="203"/>
      <c r="B87" s="204" t="s">
        <v>241</v>
      </c>
      <c r="C87" s="205" t="s">
        <v>189</v>
      </c>
      <c r="D87" s="206" t="s">
        <v>424</v>
      </c>
      <c r="E87" s="200">
        <v>700000000</v>
      </c>
      <c r="F87" s="200">
        <v>0</v>
      </c>
      <c r="G87" s="292">
        <v>700000000</v>
      </c>
      <c r="H87" s="200">
        <f t="shared" si="1"/>
        <v>0</v>
      </c>
      <c r="I87" s="201">
        <v>6.4</v>
      </c>
      <c r="J87" s="202" t="s">
        <v>219</v>
      </c>
    </row>
    <row r="88" spans="1:10" ht="14.25" customHeight="1">
      <c r="A88" s="215"/>
      <c r="B88" s="206">
        <v>47</v>
      </c>
      <c r="C88" s="205" t="s">
        <v>189</v>
      </c>
      <c r="D88" s="206" t="s">
        <v>425</v>
      </c>
      <c r="E88" s="200">
        <v>1361276000</v>
      </c>
      <c r="F88" s="200">
        <v>0</v>
      </c>
      <c r="G88" s="292">
        <v>1361276000</v>
      </c>
      <c r="H88" s="200">
        <f t="shared" si="1"/>
        <v>0</v>
      </c>
      <c r="I88" s="201">
        <v>6.4</v>
      </c>
      <c r="J88" s="202" t="s">
        <v>219</v>
      </c>
    </row>
    <row r="89" spans="1:10" ht="14.25" customHeight="1">
      <c r="A89" s="203"/>
      <c r="B89" s="204" t="s">
        <v>241</v>
      </c>
      <c r="C89" s="263" t="s">
        <v>180</v>
      </c>
      <c r="D89" s="206" t="s">
        <v>426</v>
      </c>
      <c r="E89" s="200">
        <v>130000000</v>
      </c>
      <c r="F89" s="200">
        <v>0</v>
      </c>
      <c r="G89" s="292">
        <v>130000000</v>
      </c>
      <c r="H89" s="200">
        <f t="shared" si="1"/>
        <v>0</v>
      </c>
      <c r="I89" s="201">
        <v>6.8</v>
      </c>
      <c r="J89" s="202" t="s">
        <v>212</v>
      </c>
    </row>
    <row r="90" spans="1:10" ht="14.25" customHeight="1">
      <c r="A90" s="203"/>
      <c r="B90" s="204" t="s">
        <v>241</v>
      </c>
      <c r="C90" s="263" t="s">
        <v>180</v>
      </c>
      <c r="D90" s="206" t="s">
        <v>427</v>
      </c>
      <c r="E90" s="200">
        <v>1280000000</v>
      </c>
      <c r="F90" s="200">
        <v>0</v>
      </c>
      <c r="G90" s="292">
        <v>1280000000</v>
      </c>
      <c r="H90" s="200">
        <f t="shared" si="1"/>
        <v>0</v>
      </c>
      <c r="I90" s="201">
        <v>7</v>
      </c>
      <c r="J90" s="202" t="s">
        <v>188</v>
      </c>
    </row>
    <row r="91" spans="1:10" ht="14.25" customHeight="1">
      <c r="A91" s="203"/>
      <c r="B91" s="204" t="s">
        <v>241</v>
      </c>
      <c r="C91" s="205" t="s">
        <v>185</v>
      </c>
      <c r="D91" s="206" t="s">
        <v>428</v>
      </c>
      <c r="E91" s="200">
        <v>3053639000</v>
      </c>
      <c r="F91" s="200">
        <v>0</v>
      </c>
      <c r="G91" s="292">
        <v>3053639000</v>
      </c>
      <c r="H91" s="200">
        <f t="shared" si="1"/>
        <v>0</v>
      </c>
      <c r="I91" s="201">
        <v>6.75</v>
      </c>
      <c r="J91" s="202" t="s">
        <v>242</v>
      </c>
    </row>
    <row r="92" spans="1:10" ht="14.25" customHeight="1">
      <c r="A92" s="203"/>
      <c r="B92" s="204" t="s">
        <v>243</v>
      </c>
      <c r="C92" s="205" t="s">
        <v>189</v>
      </c>
      <c r="D92" s="206" t="s">
        <v>429</v>
      </c>
      <c r="E92" s="200">
        <v>921935000</v>
      </c>
      <c r="F92" s="200">
        <v>0</v>
      </c>
      <c r="G92" s="292">
        <v>921935000</v>
      </c>
      <c r="H92" s="200">
        <f t="shared" si="1"/>
        <v>0</v>
      </c>
      <c r="I92" s="201">
        <v>7.7</v>
      </c>
      <c r="J92" s="202" t="s">
        <v>228</v>
      </c>
    </row>
    <row r="93" spans="1:10" ht="14.25" customHeight="1">
      <c r="A93" s="203"/>
      <c r="B93" s="204" t="s">
        <v>243</v>
      </c>
      <c r="C93" s="205" t="s">
        <v>189</v>
      </c>
      <c r="D93" s="206" t="s">
        <v>430</v>
      </c>
      <c r="E93" s="200">
        <v>565354000</v>
      </c>
      <c r="F93" s="200">
        <v>0</v>
      </c>
      <c r="G93" s="292">
        <v>565354000</v>
      </c>
      <c r="H93" s="200">
        <f t="shared" si="1"/>
        <v>0</v>
      </c>
      <c r="I93" s="201">
        <v>7.7</v>
      </c>
      <c r="J93" s="202" t="s">
        <v>228</v>
      </c>
    </row>
    <row r="94" spans="1:10" ht="14.25" customHeight="1">
      <c r="A94" s="203"/>
      <c r="B94" s="204" t="s">
        <v>243</v>
      </c>
      <c r="C94" s="205" t="s">
        <v>189</v>
      </c>
      <c r="D94" s="206" t="s">
        <v>431</v>
      </c>
      <c r="E94" s="200">
        <v>500000000</v>
      </c>
      <c r="F94" s="200">
        <v>0</v>
      </c>
      <c r="G94" s="292">
        <v>500000000</v>
      </c>
      <c r="H94" s="200">
        <f t="shared" si="1"/>
        <v>0</v>
      </c>
      <c r="I94" s="201">
        <v>7.7</v>
      </c>
      <c r="J94" s="202" t="s">
        <v>228</v>
      </c>
    </row>
    <row r="95" spans="1:10" ht="14.25" customHeight="1">
      <c r="A95" s="203"/>
      <c r="B95" s="204" t="s">
        <v>243</v>
      </c>
      <c r="C95" s="263" t="s">
        <v>180</v>
      </c>
      <c r="D95" s="206" t="s">
        <v>432</v>
      </c>
      <c r="E95" s="200">
        <v>1546000000</v>
      </c>
      <c r="F95" s="200">
        <v>0</v>
      </c>
      <c r="G95" s="292">
        <v>1546000000</v>
      </c>
      <c r="H95" s="200">
        <f t="shared" si="1"/>
        <v>0</v>
      </c>
      <c r="I95" s="201">
        <v>8.5</v>
      </c>
      <c r="J95" s="202" t="s">
        <v>194</v>
      </c>
    </row>
    <row r="96" spans="1:10" ht="14.25" customHeight="1">
      <c r="A96" s="203"/>
      <c r="B96" s="204" t="s">
        <v>243</v>
      </c>
      <c r="C96" s="205" t="s">
        <v>185</v>
      </c>
      <c r="D96" s="206" t="s">
        <v>433</v>
      </c>
      <c r="E96" s="200">
        <v>4283722000</v>
      </c>
      <c r="F96" s="200">
        <v>0</v>
      </c>
      <c r="G96" s="292">
        <v>4283722000</v>
      </c>
      <c r="H96" s="200">
        <f t="shared" si="1"/>
        <v>0</v>
      </c>
      <c r="I96" s="201">
        <v>8</v>
      </c>
      <c r="J96" s="202" t="s">
        <v>244</v>
      </c>
    </row>
    <row r="97" spans="1:10" ht="14.25" customHeight="1">
      <c r="A97" s="203"/>
      <c r="B97" s="204" t="s">
        <v>245</v>
      </c>
      <c r="C97" s="205" t="s">
        <v>189</v>
      </c>
      <c r="D97" s="206" t="s">
        <v>434</v>
      </c>
      <c r="E97" s="200">
        <v>1341938000</v>
      </c>
      <c r="F97" s="200">
        <v>0</v>
      </c>
      <c r="G97" s="292">
        <v>1341938000</v>
      </c>
      <c r="H97" s="200">
        <f t="shared" si="1"/>
        <v>0</v>
      </c>
      <c r="I97" s="201">
        <v>8.1999999999999993</v>
      </c>
      <c r="J97" s="202" t="s">
        <v>242</v>
      </c>
    </row>
    <row r="98" spans="1:10" ht="14.25" customHeight="1">
      <c r="A98" s="215"/>
      <c r="B98" s="204" t="s">
        <v>245</v>
      </c>
      <c r="C98" s="263" t="s">
        <v>180</v>
      </c>
      <c r="D98" s="206" t="s">
        <v>435</v>
      </c>
      <c r="E98" s="200">
        <v>1000000000</v>
      </c>
      <c r="F98" s="200">
        <v>0</v>
      </c>
      <c r="G98" s="292">
        <v>1000000000</v>
      </c>
      <c r="H98" s="200">
        <f t="shared" si="1"/>
        <v>0</v>
      </c>
      <c r="I98" s="201">
        <v>9.1</v>
      </c>
      <c r="J98" s="202" t="s">
        <v>198</v>
      </c>
    </row>
    <row r="99" spans="1:10" ht="14.25" customHeight="1">
      <c r="A99" s="203"/>
      <c r="B99" s="204" t="s">
        <v>245</v>
      </c>
      <c r="C99" s="205" t="s">
        <v>189</v>
      </c>
      <c r="D99" s="206" t="s">
        <v>436</v>
      </c>
      <c r="E99" s="200">
        <v>1030000000</v>
      </c>
      <c r="F99" s="200">
        <v>0</v>
      </c>
      <c r="G99" s="292">
        <v>1030000000</v>
      </c>
      <c r="H99" s="200">
        <f t="shared" si="1"/>
        <v>0</v>
      </c>
      <c r="I99" s="201">
        <v>8.1999999999999993</v>
      </c>
      <c r="J99" s="202" t="s">
        <v>242</v>
      </c>
    </row>
    <row r="100" spans="1:10" ht="14.25" customHeight="1">
      <c r="A100" s="215"/>
      <c r="B100" s="206" t="s">
        <v>437</v>
      </c>
      <c r="C100" s="263" t="s">
        <v>180</v>
      </c>
      <c r="D100" s="206" t="s">
        <v>142</v>
      </c>
      <c r="E100" s="200">
        <v>600000000</v>
      </c>
      <c r="F100" s="200">
        <v>0</v>
      </c>
      <c r="G100" s="292">
        <v>600000000</v>
      </c>
      <c r="H100" s="200">
        <f t="shared" si="1"/>
        <v>0</v>
      </c>
      <c r="I100" s="201">
        <v>9.1</v>
      </c>
      <c r="J100" s="202" t="s">
        <v>198</v>
      </c>
    </row>
    <row r="101" spans="1:10" ht="14.25" customHeight="1">
      <c r="A101" s="215"/>
      <c r="B101" s="204">
        <v>49</v>
      </c>
      <c r="C101" s="205" t="s">
        <v>189</v>
      </c>
      <c r="D101" s="206" t="s">
        <v>439</v>
      </c>
      <c r="E101" s="200">
        <v>416040000</v>
      </c>
      <c r="F101" s="200">
        <v>0</v>
      </c>
      <c r="G101" s="292">
        <v>416040000</v>
      </c>
      <c r="H101" s="200">
        <f t="shared" si="1"/>
        <v>0</v>
      </c>
      <c r="I101" s="201">
        <v>8.1999999999999993</v>
      </c>
      <c r="J101" s="202" t="s">
        <v>242</v>
      </c>
    </row>
    <row r="102" spans="1:10" ht="14.25" customHeight="1">
      <c r="A102" s="203"/>
      <c r="B102" s="204" t="s">
        <v>245</v>
      </c>
      <c r="C102" s="263" t="s">
        <v>180</v>
      </c>
      <c r="D102" s="206" t="s">
        <v>440</v>
      </c>
      <c r="E102" s="200">
        <v>310000000</v>
      </c>
      <c r="F102" s="200">
        <v>0</v>
      </c>
      <c r="G102" s="292">
        <v>310000000</v>
      </c>
      <c r="H102" s="200">
        <f t="shared" si="1"/>
        <v>0</v>
      </c>
      <c r="I102" s="201">
        <v>9.1</v>
      </c>
      <c r="J102" s="202" t="s">
        <v>201</v>
      </c>
    </row>
    <row r="103" spans="1:10" ht="14.25" customHeight="1">
      <c r="A103" s="203"/>
      <c r="B103" s="204" t="s">
        <v>245</v>
      </c>
      <c r="C103" s="263" t="s">
        <v>180</v>
      </c>
      <c r="D103" s="206" t="s">
        <v>441</v>
      </c>
      <c r="E103" s="200">
        <v>2000000000</v>
      </c>
      <c r="F103" s="200">
        <v>0</v>
      </c>
      <c r="G103" s="292">
        <v>2000000000</v>
      </c>
      <c r="H103" s="200">
        <f t="shared" si="1"/>
        <v>0</v>
      </c>
      <c r="I103" s="201">
        <v>8.6</v>
      </c>
      <c r="J103" s="202" t="s">
        <v>201</v>
      </c>
    </row>
    <row r="104" spans="1:10" ht="14.25" customHeight="1">
      <c r="A104" s="203"/>
      <c r="B104" s="204" t="s">
        <v>245</v>
      </c>
      <c r="C104" s="263" t="s">
        <v>180</v>
      </c>
      <c r="D104" s="206" t="s">
        <v>442</v>
      </c>
      <c r="E104" s="200">
        <v>1000000000</v>
      </c>
      <c r="F104" s="200">
        <v>0</v>
      </c>
      <c r="G104" s="292">
        <v>1000000000</v>
      </c>
      <c r="H104" s="200">
        <f t="shared" si="1"/>
        <v>0</v>
      </c>
      <c r="I104" s="201">
        <v>8.6</v>
      </c>
      <c r="J104" s="202" t="s">
        <v>201</v>
      </c>
    </row>
    <row r="105" spans="1:10" ht="14.25" customHeight="1">
      <c r="A105" s="203"/>
      <c r="B105" s="204">
        <v>50</v>
      </c>
      <c r="C105" s="205" t="s">
        <v>189</v>
      </c>
      <c r="D105" s="206" t="s">
        <v>443</v>
      </c>
      <c r="E105" s="200">
        <v>1422752000</v>
      </c>
      <c r="F105" s="200">
        <v>0</v>
      </c>
      <c r="G105" s="292">
        <v>1422752000</v>
      </c>
      <c r="H105" s="200">
        <f t="shared" si="1"/>
        <v>0</v>
      </c>
      <c r="I105" s="201">
        <v>7.7</v>
      </c>
      <c r="J105" s="216" t="s">
        <v>246</v>
      </c>
    </row>
    <row r="106" spans="1:10" ht="14.25" customHeight="1">
      <c r="A106" s="218"/>
      <c r="B106" s="204">
        <v>49</v>
      </c>
      <c r="C106" s="205" t="s">
        <v>185</v>
      </c>
      <c r="D106" s="206" t="s">
        <v>712</v>
      </c>
      <c r="E106" s="200">
        <v>13759150000</v>
      </c>
      <c r="F106" s="200">
        <v>0</v>
      </c>
      <c r="G106" s="200">
        <v>13759150000</v>
      </c>
      <c r="H106" s="200">
        <f t="shared" si="1"/>
        <v>0</v>
      </c>
      <c r="I106" s="201">
        <v>7.5</v>
      </c>
      <c r="J106" s="295" t="s">
        <v>247</v>
      </c>
    </row>
    <row r="107" spans="1:10" ht="14.25" customHeight="1">
      <c r="A107" s="218"/>
      <c r="B107" s="204">
        <v>50</v>
      </c>
      <c r="C107" s="205" t="s">
        <v>189</v>
      </c>
      <c r="D107" s="206" t="s">
        <v>324</v>
      </c>
      <c r="E107" s="200">
        <v>1878457000</v>
      </c>
      <c r="F107" s="200">
        <v>0</v>
      </c>
      <c r="G107" s="200">
        <v>1878457000</v>
      </c>
      <c r="H107" s="200">
        <f t="shared" si="1"/>
        <v>0</v>
      </c>
      <c r="I107" s="201">
        <v>7.7</v>
      </c>
      <c r="J107" s="295" t="s">
        <v>246</v>
      </c>
    </row>
    <row r="108" spans="1:10" ht="14.25" customHeight="1">
      <c r="A108" s="218"/>
      <c r="B108" s="204" t="s">
        <v>248</v>
      </c>
      <c r="C108" s="205" t="s">
        <v>189</v>
      </c>
      <c r="D108" s="206" t="s">
        <v>325</v>
      </c>
      <c r="E108" s="200">
        <v>2740000000</v>
      </c>
      <c r="F108" s="200">
        <v>0</v>
      </c>
      <c r="G108" s="200">
        <v>2740000000</v>
      </c>
      <c r="H108" s="200">
        <f t="shared" si="1"/>
        <v>0</v>
      </c>
      <c r="I108" s="201">
        <v>7.7</v>
      </c>
      <c r="J108" s="295" t="s">
        <v>246</v>
      </c>
    </row>
    <row r="109" spans="1:10" ht="14.25" customHeight="1">
      <c r="A109" s="218"/>
      <c r="B109" s="204" t="s">
        <v>248</v>
      </c>
      <c r="C109" s="205" t="s">
        <v>185</v>
      </c>
      <c r="D109" s="206" t="s">
        <v>326</v>
      </c>
      <c r="E109" s="200">
        <v>7512771000</v>
      </c>
      <c r="F109" s="200">
        <v>0</v>
      </c>
      <c r="G109" s="200">
        <v>7512771000</v>
      </c>
      <c r="H109" s="200">
        <f t="shared" si="1"/>
        <v>0</v>
      </c>
      <c r="I109" s="201">
        <v>7.5</v>
      </c>
      <c r="J109" s="295" t="s">
        <v>249</v>
      </c>
    </row>
    <row r="110" spans="1:10" ht="14.25" customHeight="1">
      <c r="A110" s="218"/>
      <c r="B110" s="204" t="s">
        <v>250</v>
      </c>
      <c r="C110" s="205" t="s">
        <v>189</v>
      </c>
      <c r="D110" s="206" t="s">
        <v>327</v>
      </c>
      <c r="E110" s="200">
        <v>2103702000</v>
      </c>
      <c r="F110" s="200">
        <v>0</v>
      </c>
      <c r="G110" s="200">
        <v>2103702000</v>
      </c>
      <c r="H110" s="200">
        <f t="shared" si="1"/>
        <v>0</v>
      </c>
      <c r="I110" s="201">
        <v>7.7</v>
      </c>
      <c r="J110" s="295" t="s">
        <v>244</v>
      </c>
    </row>
    <row r="111" spans="1:10" ht="14.25" customHeight="1" thickBot="1">
      <c r="A111" s="284"/>
      <c r="B111" s="285" t="s">
        <v>250</v>
      </c>
      <c r="C111" s="286" t="s">
        <v>189</v>
      </c>
      <c r="D111" s="287" t="s">
        <v>328</v>
      </c>
      <c r="E111" s="268">
        <v>1485841000</v>
      </c>
      <c r="F111" s="268">
        <v>0</v>
      </c>
      <c r="G111" s="268">
        <v>1485841000</v>
      </c>
      <c r="H111" s="200">
        <f t="shared" si="1"/>
        <v>0</v>
      </c>
      <c r="I111" s="288">
        <v>7.7</v>
      </c>
      <c r="J111" s="296" t="s">
        <v>244</v>
      </c>
    </row>
    <row r="112" spans="1:10" ht="9.75" customHeight="1" thickBot="1">
      <c r="A112" s="297"/>
      <c r="B112" s="272"/>
      <c r="C112" s="257"/>
      <c r="D112" s="258"/>
      <c r="E112" s="259"/>
      <c r="F112" s="259"/>
      <c r="G112" s="259"/>
      <c r="H112" s="259"/>
      <c r="I112" s="260"/>
      <c r="J112" s="270"/>
    </row>
    <row r="113" spans="1:10">
      <c r="A113" s="479" t="s">
        <v>85</v>
      </c>
      <c r="B113" s="481" t="s">
        <v>311</v>
      </c>
      <c r="C113" s="483" t="s">
        <v>86</v>
      </c>
      <c r="D113" s="481" t="s">
        <v>312</v>
      </c>
      <c r="E113" s="485" t="s">
        <v>87</v>
      </c>
      <c r="F113" s="487" t="s">
        <v>88</v>
      </c>
      <c r="G113" s="493"/>
      <c r="H113" s="489" t="s">
        <v>174</v>
      </c>
      <c r="I113" s="491" t="s">
        <v>89</v>
      </c>
      <c r="J113" s="477" t="s">
        <v>313</v>
      </c>
    </row>
    <row r="114" spans="1:10">
      <c r="A114" s="480"/>
      <c r="B114" s="482"/>
      <c r="C114" s="484"/>
      <c r="D114" s="482"/>
      <c r="E114" s="486"/>
      <c r="F114" s="207" t="s">
        <v>176</v>
      </c>
      <c r="G114" s="207" t="s">
        <v>305</v>
      </c>
      <c r="H114" s="490"/>
      <c r="I114" s="492"/>
      <c r="J114" s="478"/>
    </row>
    <row r="115" spans="1:10">
      <c r="A115" s="209"/>
      <c r="B115" s="210"/>
      <c r="C115" s="210"/>
      <c r="D115" s="211" t="s">
        <v>177</v>
      </c>
      <c r="E115" s="212" t="s">
        <v>178</v>
      </c>
      <c r="F115" s="212" t="s">
        <v>172</v>
      </c>
      <c r="G115" s="212" t="s">
        <v>178</v>
      </c>
      <c r="H115" s="212" t="s">
        <v>178</v>
      </c>
      <c r="I115" s="213" t="s">
        <v>90</v>
      </c>
      <c r="J115" s="214" t="s">
        <v>175</v>
      </c>
    </row>
    <row r="116" spans="1:10" ht="14.25" customHeight="1">
      <c r="A116" s="215" t="s">
        <v>240</v>
      </c>
      <c r="B116" s="204" t="s">
        <v>329</v>
      </c>
      <c r="C116" s="205" t="s">
        <v>189</v>
      </c>
      <c r="D116" s="206" t="s">
        <v>691</v>
      </c>
      <c r="E116" s="200">
        <v>4952879000</v>
      </c>
      <c r="F116" s="200">
        <v>0</v>
      </c>
      <c r="G116" s="200">
        <v>4952879000</v>
      </c>
      <c r="H116" s="200">
        <f t="shared" ref="H116:H169" si="2">E116-G116</f>
        <v>0</v>
      </c>
      <c r="I116" s="201">
        <v>7.7</v>
      </c>
      <c r="J116" s="202" t="s">
        <v>244</v>
      </c>
    </row>
    <row r="117" spans="1:10" ht="14.25" customHeight="1">
      <c r="A117" s="203" t="s">
        <v>182</v>
      </c>
      <c r="B117" s="204" t="s">
        <v>250</v>
      </c>
      <c r="C117" s="205" t="s">
        <v>189</v>
      </c>
      <c r="D117" s="206" t="s">
        <v>444</v>
      </c>
      <c r="E117" s="200">
        <v>700000000</v>
      </c>
      <c r="F117" s="200">
        <v>0</v>
      </c>
      <c r="G117" s="200">
        <v>700000000</v>
      </c>
      <c r="H117" s="200">
        <f t="shared" si="2"/>
        <v>0</v>
      </c>
      <c r="I117" s="201">
        <v>6.95</v>
      </c>
      <c r="J117" s="202" t="s">
        <v>244</v>
      </c>
    </row>
    <row r="118" spans="1:10" ht="14.25" customHeight="1">
      <c r="A118" s="203"/>
      <c r="B118" s="204" t="s">
        <v>250</v>
      </c>
      <c r="C118" s="205" t="s">
        <v>189</v>
      </c>
      <c r="D118" s="206" t="s">
        <v>445</v>
      </c>
      <c r="E118" s="200">
        <v>700000000</v>
      </c>
      <c r="F118" s="200">
        <v>0</v>
      </c>
      <c r="G118" s="200">
        <v>700000000</v>
      </c>
      <c r="H118" s="200">
        <f t="shared" si="2"/>
        <v>0</v>
      </c>
      <c r="I118" s="201">
        <v>6.95</v>
      </c>
      <c r="J118" s="202" t="s">
        <v>244</v>
      </c>
    </row>
    <row r="119" spans="1:10" ht="14.25" customHeight="1">
      <c r="A119" s="203"/>
      <c r="B119" s="204" t="s">
        <v>250</v>
      </c>
      <c r="C119" s="205" t="s">
        <v>189</v>
      </c>
      <c r="D119" s="206" t="s">
        <v>446</v>
      </c>
      <c r="E119" s="200">
        <v>2000000000</v>
      </c>
      <c r="F119" s="200">
        <v>0</v>
      </c>
      <c r="G119" s="200">
        <v>2000000000</v>
      </c>
      <c r="H119" s="200">
        <f t="shared" si="2"/>
        <v>0</v>
      </c>
      <c r="I119" s="201">
        <v>6.95</v>
      </c>
      <c r="J119" s="202" t="s">
        <v>244</v>
      </c>
    </row>
    <row r="120" spans="1:10" ht="14.25" customHeight="1">
      <c r="A120" s="203"/>
      <c r="B120" s="204" t="s">
        <v>250</v>
      </c>
      <c r="C120" s="205" t="s">
        <v>189</v>
      </c>
      <c r="D120" s="206" t="s">
        <v>447</v>
      </c>
      <c r="E120" s="200">
        <v>410000000</v>
      </c>
      <c r="F120" s="200">
        <v>0</v>
      </c>
      <c r="G120" s="200">
        <v>410000000</v>
      </c>
      <c r="H120" s="200">
        <f t="shared" si="2"/>
        <v>0</v>
      </c>
      <c r="I120" s="201">
        <v>6.95</v>
      </c>
      <c r="J120" s="202" t="s">
        <v>247</v>
      </c>
    </row>
    <row r="121" spans="1:10" ht="14.25" customHeight="1">
      <c r="A121" s="203"/>
      <c r="B121" s="204">
        <v>52</v>
      </c>
      <c r="C121" s="205" t="s">
        <v>189</v>
      </c>
      <c r="D121" s="206" t="s">
        <v>448</v>
      </c>
      <c r="E121" s="200">
        <v>906331000</v>
      </c>
      <c r="F121" s="200">
        <v>0</v>
      </c>
      <c r="G121" s="200">
        <v>906331000</v>
      </c>
      <c r="H121" s="200">
        <f t="shared" si="2"/>
        <v>0</v>
      </c>
      <c r="I121" s="201">
        <v>6.7</v>
      </c>
      <c r="J121" s="216" t="s">
        <v>247</v>
      </c>
    </row>
    <row r="122" spans="1:10" ht="14.25" customHeight="1">
      <c r="A122" s="203"/>
      <c r="B122" s="204" t="s">
        <v>250</v>
      </c>
      <c r="C122" s="205" t="s">
        <v>185</v>
      </c>
      <c r="D122" s="206" t="s">
        <v>449</v>
      </c>
      <c r="E122" s="200">
        <v>3969362000</v>
      </c>
      <c r="F122" s="200">
        <v>0</v>
      </c>
      <c r="G122" s="200">
        <v>3969362000</v>
      </c>
      <c r="H122" s="200">
        <f t="shared" si="2"/>
        <v>0</v>
      </c>
      <c r="I122" s="201">
        <v>6.5</v>
      </c>
      <c r="J122" s="202" t="s">
        <v>251</v>
      </c>
    </row>
    <row r="123" spans="1:10" ht="14.25" customHeight="1">
      <c r="A123" s="203"/>
      <c r="B123" s="204" t="s">
        <v>252</v>
      </c>
      <c r="C123" s="205" t="s">
        <v>189</v>
      </c>
      <c r="D123" s="206" t="s">
        <v>450</v>
      </c>
      <c r="E123" s="200">
        <v>1480274000</v>
      </c>
      <c r="F123" s="200">
        <v>0</v>
      </c>
      <c r="G123" s="200">
        <v>1480274000</v>
      </c>
      <c r="H123" s="200">
        <f t="shared" si="2"/>
        <v>0</v>
      </c>
      <c r="I123" s="201">
        <v>6.7</v>
      </c>
      <c r="J123" s="202" t="s">
        <v>247</v>
      </c>
    </row>
    <row r="124" spans="1:10" ht="14.25" customHeight="1">
      <c r="A124" s="203"/>
      <c r="B124" s="204" t="s">
        <v>252</v>
      </c>
      <c r="C124" s="205" t="s">
        <v>189</v>
      </c>
      <c r="D124" s="206" t="s">
        <v>451</v>
      </c>
      <c r="E124" s="200">
        <v>700000000</v>
      </c>
      <c r="F124" s="200">
        <v>0</v>
      </c>
      <c r="G124" s="200">
        <v>700000000</v>
      </c>
      <c r="H124" s="200">
        <f t="shared" si="2"/>
        <v>0</v>
      </c>
      <c r="I124" s="201">
        <v>6.25</v>
      </c>
      <c r="J124" s="202" t="s">
        <v>247</v>
      </c>
    </row>
    <row r="125" spans="1:10" ht="14.25" customHeight="1">
      <c r="A125" s="203"/>
      <c r="B125" s="204" t="s">
        <v>252</v>
      </c>
      <c r="C125" s="205" t="s">
        <v>189</v>
      </c>
      <c r="D125" s="206" t="s">
        <v>452</v>
      </c>
      <c r="E125" s="200">
        <v>2000000000</v>
      </c>
      <c r="F125" s="200">
        <v>0</v>
      </c>
      <c r="G125" s="200">
        <v>2000000000</v>
      </c>
      <c r="H125" s="200">
        <f t="shared" si="2"/>
        <v>0</v>
      </c>
      <c r="I125" s="201">
        <v>6.25</v>
      </c>
      <c r="J125" s="202" t="s">
        <v>247</v>
      </c>
    </row>
    <row r="126" spans="1:10" ht="14.25" customHeight="1">
      <c r="A126" s="203"/>
      <c r="B126" s="204" t="s">
        <v>252</v>
      </c>
      <c r="C126" s="205" t="s">
        <v>189</v>
      </c>
      <c r="D126" s="206" t="s">
        <v>453</v>
      </c>
      <c r="E126" s="200">
        <v>800000000</v>
      </c>
      <c r="F126" s="200">
        <v>0</v>
      </c>
      <c r="G126" s="200">
        <v>800000000</v>
      </c>
      <c r="H126" s="200">
        <f t="shared" si="2"/>
        <v>0</v>
      </c>
      <c r="I126" s="201">
        <v>6.25</v>
      </c>
      <c r="J126" s="202" t="s">
        <v>247</v>
      </c>
    </row>
    <row r="127" spans="1:10" ht="14.25" customHeight="1">
      <c r="A127" s="203"/>
      <c r="B127" s="204" t="s">
        <v>252</v>
      </c>
      <c r="C127" s="205" t="s">
        <v>189</v>
      </c>
      <c r="D127" s="206" t="s">
        <v>454</v>
      </c>
      <c r="E127" s="200">
        <v>2100000000</v>
      </c>
      <c r="F127" s="200">
        <v>0</v>
      </c>
      <c r="G127" s="200">
        <v>2100000000</v>
      </c>
      <c r="H127" s="200">
        <f t="shared" si="2"/>
        <v>0</v>
      </c>
      <c r="I127" s="201">
        <v>6.25</v>
      </c>
      <c r="J127" s="202" t="s">
        <v>249</v>
      </c>
    </row>
    <row r="128" spans="1:10" ht="14.25" customHeight="1">
      <c r="A128" s="203"/>
      <c r="B128" s="204" t="s">
        <v>252</v>
      </c>
      <c r="C128" s="205" t="s">
        <v>189</v>
      </c>
      <c r="D128" s="206" t="s">
        <v>455</v>
      </c>
      <c r="E128" s="200">
        <v>800000000</v>
      </c>
      <c r="F128" s="200">
        <v>0</v>
      </c>
      <c r="G128" s="200">
        <v>800000000</v>
      </c>
      <c r="H128" s="200">
        <f t="shared" si="2"/>
        <v>0</v>
      </c>
      <c r="I128" s="201">
        <v>6.25</v>
      </c>
      <c r="J128" s="202" t="s">
        <v>249</v>
      </c>
    </row>
    <row r="129" spans="1:10" ht="14.25" customHeight="1">
      <c r="A129" s="203"/>
      <c r="B129" s="204" t="s">
        <v>252</v>
      </c>
      <c r="C129" s="205" t="s">
        <v>185</v>
      </c>
      <c r="D129" s="206" t="s">
        <v>456</v>
      </c>
      <c r="E129" s="200">
        <v>1257999000</v>
      </c>
      <c r="F129" s="200">
        <v>0</v>
      </c>
      <c r="G129" s="200">
        <v>1257999000</v>
      </c>
      <c r="H129" s="200">
        <f t="shared" si="2"/>
        <v>0</v>
      </c>
      <c r="I129" s="201">
        <v>6.05</v>
      </c>
      <c r="J129" s="202" t="s">
        <v>253</v>
      </c>
    </row>
    <row r="130" spans="1:10" ht="14.25" customHeight="1">
      <c r="A130" s="203"/>
      <c r="B130" s="204" t="s">
        <v>252</v>
      </c>
      <c r="C130" s="205" t="s">
        <v>189</v>
      </c>
      <c r="D130" s="206" t="s">
        <v>456</v>
      </c>
      <c r="E130" s="200">
        <v>1525000000</v>
      </c>
      <c r="F130" s="200">
        <v>0</v>
      </c>
      <c r="G130" s="200">
        <v>1525000000</v>
      </c>
      <c r="H130" s="200">
        <f t="shared" si="2"/>
        <v>0</v>
      </c>
      <c r="I130" s="201">
        <v>6.25</v>
      </c>
      <c r="J130" s="202" t="s">
        <v>249</v>
      </c>
    </row>
    <row r="131" spans="1:10" ht="14.25" customHeight="1">
      <c r="A131" s="203"/>
      <c r="B131" s="204" t="s">
        <v>254</v>
      </c>
      <c r="C131" s="205" t="s">
        <v>189</v>
      </c>
      <c r="D131" s="206" t="s">
        <v>457</v>
      </c>
      <c r="E131" s="200">
        <v>1000000000</v>
      </c>
      <c r="F131" s="200">
        <v>0</v>
      </c>
      <c r="G131" s="200">
        <v>1000000000</v>
      </c>
      <c r="H131" s="200">
        <f t="shared" si="2"/>
        <v>0</v>
      </c>
      <c r="I131" s="201">
        <v>6.25</v>
      </c>
      <c r="J131" s="202" t="s">
        <v>249</v>
      </c>
    </row>
    <row r="132" spans="1:10" ht="14.25" customHeight="1">
      <c r="A132" s="215"/>
      <c r="B132" s="206" t="s">
        <v>255</v>
      </c>
      <c r="C132" s="205" t="s">
        <v>189</v>
      </c>
      <c r="D132" s="206" t="s">
        <v>458</v>
      </c>
      <c r="E132" s="200">
        <v>1000000000</v>
      </c>
      <c r="F132" s="200">
        <v>0</v>
      </c>
      <c r="G132" s="200">
        <v>1000000000</v>
      </c>
      <c r="H132" s="200">
        <f t="shared" si="2"/>
        <v>0</v>
      </c>
      <c r="I132" s="201">
        <v>6.25</v>
      </c>
      <c r="J132" s="202" t="s">
        <v>249</v>
      </c>
    </row>
    <row r="133" spans="1:10" ht="14.25" customHeight="1">
      <c r="A133" s="203"/>
      <c r="B133" s="204" t="s">
        <v>254</v>
      </c>
      <c r="C133" s="205" t="s">
        <v>189</v>
      </c>
      <c r="D133" s="206" t="s">
        <v>459</v>
      </c>
      <c r="E133" s="200">
        <v>1000000000</v>
      </c>
      <c r="F133" s="200">
        <v>0</v>
      </c>
      <c r="G133" s="200">
        <v>1000000000</v>
      </c>
      <c r="H133" s="200">
        <f t="shared" si="2"/>
        <v>0</v>
      </c>
      <c r="I133" s="201">
        <v>6.15</v>
      </c>
      <c r="J133" s="202" t="s">
        <v>249</v>
      </c>
    </row>
    <row r="134" spans="1:10" ht="14.25" customHeight="1">
      <c r="A134" s="203"/>
      <c r="B134" s="204" t="s">
        <v>254</v>
      </c>
      <c r="C134" s="205" t="s">
        <v>189</v>
      </c>
      <c r="D134" s="206" t="s">
        <v>460</v>
      </c>
      <c r="E134" s="200">
        <v>1000000000</v>
      </c>
      <c r="F134" s="200">
        <v>0</v>
      </c>
      <c r="G134" s="200">
        <v>1000000000</v>
      </c>
      <c r="H134" s="200">
        <f t="shared" si="2"/>
        <v>0</v>
      </c>
      <c r="I134" s="201">
        <v>6.75</v>
      </c>
      <c r="J134" s="202" t="s">
        <v>249</v>
      </c>
    </row>
    <row r="135" spans="1:10" ht="14.25" customHeight="1">
      <c r="A135" s="203"/>
      <c r="B135" s="204" t="s">
        <v>254</v>
      </c>
      <c r="C135" s="205" t="s">
        <v>189</v>
      </c>
      <c r="D135" s="206" t="s">
        <v>461</v>
      </c>
      <c r="E135" s="200">
        <v>3722000000</v>
      </c>
      <c r="F135" s="200">
        <v>0</v>
      </c>
      <c r="G135" s="200">
        <v>3722000000</v>
      </c>
      <c r="H135" s="200">
        <f t="shared" si="2"/>
        <v>0</v>
      </c>
      <c r="I135" s="201">
        <v>7.25</v>
      </c>
      <c r="J135" s="202" t="s">
        <v>251</v>
      </c>
    </row>
    <row r="136" spans="1:10" ht="14.25" customHeight="1">
      <c r="A136" s="203"/>
      <c r="B136" s="204" t="s">
        <v>254</v>
      </c>
      <c r="C136" s="205" t="s">
        <v>185</v>
      </c>
      <c r="D136" s="206" t="s">
        <v>462</v>
      </c>
      <c r="E136" s="200">
        <v>2078000000</v>
      </c>
      <c r="F136" s="200">
        <v>0</v>
      </c>
      <c r="G136" s="200">
        <v>2078000000</v>
      </c>
      <c r="H136" s="200">
        <f t="shared" si="2"/>
        <v>0</v>
      </c>
      <c r="I136" s="201">
        <v>7.15</v>
      </c>
      <c r="J136" s="202" t="s">
        <v>256</v>
      </c>
    </row>
    <row r="137" spans="1:10" ht="14.25" customHeight="1">
      <c r="A137" s="203"/>
      <c r="B137" s="204" t="s">
        <v>257</v>
      </c>
      <c r="C137" s="205" t="s">
        <v>189</v>
      </c>
      <c r="D137" s="206" t="s">
        <v>463</v>
      </c>
      <c r="E137" s="200">
        <v>3300000000</v>
      </c>
      <c r="F137" s="200">
        <v>0</v>
      </c>
      <c r="G137" s="200">
        <v>3300000000</v>
      </c>
      <c r="H137" s="200">
        <f t="shared" si="2"/>
        <v>0</v>
      </c>
      <c r="I137" s="201">
        <v>7.25</v>
      </c>
      <c r="J137" s="202" t="s">
        <v>251</v>
      </c>
    </row>
    <row r="138" spans="1:10" ht="14.25" customHeight="1">
      <c r="A138" s="203"/>
      <c r="B138" s="204" t="s">
        <v>257</v>
      </c>
      <c r="C138" s="205" t="s">
        <v>189</v>
      </c>
      <c r="D138" s="206" t="s">
        <v>464</v>
      </c>
      <c r="E138" s="200">
        <v>1000000000</v>
      </c>
      <c r="F138" s="200">
        <v>0</v>
      </c>
      <c r="G138" s="200">
        <v>1000000000</v>
      </c>
      <c r="H138" s="200">
        <f t="shared" si="2"/>
        <v>0</v>
      </c>
      <c r="I138" s="201">
        <v>8.6</v>
      </c>
      <c r="J138" s="202" t="s">
        <v>465</v>
      </c>
    </row>
    <row r="139" spans="1:10" ht="14.25" customHeight="1">
      <c r="A139" s="203"/>
      <c r="B139" s="204" t="s">
        <v>257</v>
      </c>
      <c r="C139" s="205" t="s">
        <v>189</v>
      </c>
      <c r="D139" s="206" t="s">
        <v>466</v>
      </c>
      <c r="E139" s="200">
        <v>2500000000</v>
      </c>
      <c r="F139" s="200">
        <v>0</v>
      </c>
      <c r="G139" s="200">
        <v>2500000000</v>
      </c>
      <c r="H139" s="200">
        <f t="shared" si="2"/>
        <v>0</v>
      </c>
      <c r="I139" s="201">
        <v>8.6</v>
      </c>
      <c r="J139" s="202" t="s">
        <v>143</v>
      </c>
    </row>
    <row r="140" spans="1:10" ht="14.25" customHeight="1">
      <c r="A140" s="203"/>
      <c r="B140" s="204" t="s">
        <v>257</v>
      </c>
      <c r="C140" s="205" t="s">
        <v>185</v>
      </c>
      <c r="D140" s="206" t="s">
        <v>468</v>
      </c>
      <c r="E140" s="200">
        <v>1550704816</v>
      </c>
      <c r="F140" s="200">
        <v>0</v>
      </c>
      <c r="G140" s="200">
        <v>1550704816</v>
      </c>
      <c r="H140" s="200">
        <f t="shared" si="2"/>
        <v>0</v>
      </c>
      <c r="I140" s="201">
        <v>8</v>
      </c>
      <c r="J140" s="202" t="s">
        <v>469</v>
      </c>
    </row>
    <row r="141" spans="1:10" ht="14.25" customHeight="1">
      <c r="A141" s="203"/>
      <c r="B141" s="204" t="s">
        <v>257</v>
      </c>
      <c r="C141" s="205" t="s">
        <v>189</v>
      </c>
      <c r="D141" s="206" t="s">
        <v>470</v>
      </c>
      <c r="E141" s="200">
        <v>2579000000</v>
      </c>
      <c r="F141" s="200">
        <v>0</v>
      </c>
      <c r="G141" s="200">
        <v>2579000000</v>
      </c>
      <c r="H141" s="200">
        <f t="shared" si="2"/>
        <v>0</v>
      </c>
      <c r="I141" s="201">
        <v>8.1</v>
      </c>
      <c r="J141" s="202" t="s">
        <v>253</v>
      </c>
    </row>
    <row r="142" spans="1:10" ht="14.25" customHeight="1">
      <c r="A142" s="203"/>
      <c r="B142" s="204" t="s">
        <v>258</v>
      </c>
      <c r="C142" s="205" t="s">
        <v>189</v>
      </c>
      <c r="D142" s="206" t="s">
        <v>471</v>
      </c>
      <c r="E142" s="200">
        <v>3500000000</v>
      </c>
      <c r="F142" s="200">
        <v>0</v>
      </c>
      <c r="G142" s="200">
        <v>3500000000</v>
      </c>
      <c r="H142" s="200">
        <f t="shared" si="2"/>
        <v>0</v>
      </c>
      <c r="I142" s="201">
        <v>8.1</v>
      </c>
      <c r="J142" s="202" t="s">
        <v>465</v>
      </c>
    </row>
    <row r="143" spans="1:10" ht="14.25" customHeight="1">
      <c r="A143" s="203"/>
      <c r="B143" s="204" t="s">
        <v>258</v>
      </c>
      <c r="C143" s="205" t="s">
        <v>189</v>
      </c>
      <c r="D143" s="206" t="s">
        <v>472</v>
      </c>
      <c r="E143" s="200">
        <v>1000000000</v>
      </c>
      <c r="F143" s="200">
        <v>0</v>
      </c>
      <c r="G143" s="200">
        <v>1000000000</v>
      </c>
      <c r="H143" s="200">
        <f t="shared" si="2"/>
        <v>0</v>
      </c>
      <c r="I143" s="201">
        <v>7.6</v>
      </c>
      <c r="J143" s="202" t="s">
        <v>253</v>
      </c>
    </row>
    <row r="144" spans="1:10" ht="14.25" customHeight="1">
      <c r="A144" s="203"/>
      <c r="B144" s="204" t="s">
        <v>258</v>
      </c>
      <c r="C144" s="205" t="s">
        <v>189</v>
      </c>
      <c r="D144" s="206" t="s">
        <v>473</v>
      </c>
      <c r="E144" s="200">
        <v>882000000</v>
      </c>
      <c r="F144" s="200">
        <v>0</v>
      </c>
      <c r="G144" s="200">
        <v>882000000</v>
      </c>
      <c r="H144" s="200">
        <f t="shared" si="2"/>
        <v>0</v>
      </c>
      <c r="I144" s="201">
        <v>7.6</v>
      </c>
      <c r="J144" s="202" t="s">
        <v>256</v>
      </c>
    </row>
    <row r="145" spans="1:10" ht="14.25" customHeight="1">
      <c r="A145" s="203"/>
      <c r="B145" s="204" t="s">
        <v>258</v>
      </c>
      <c r="C145" s="205" t="s">
        <v>185</v>
      </c>
      <c r="D145" s="206" t="s">
        <v>474</v>
      </c>
      <c r="E145" s="200">
        <v>2385295998</v>
      </c>
      <c r="F145" s="200">
        <v>0</v>
      </c>
      <c r="G145" s="200">
        <v>2385295998</v>
      </c>
      <c r="H145" s="200">
        <f t="shared" si="2"/>
        <v>0</v>
      </c>
      <c r="I145" s="201">
        <v>7.5</v>
      </c>
      <c r="J145" s="202" t="s">
        <v>469</v>
      </c>
    </row>
    <row r="146" spans="1:10" ht="14.25" customHeight="1">
      <c r="A146" s="203"/>
      <c r="B146" s="204" t="s">
        <v>259</v>
      </c>
      <c r="C146" s="205" t="s">
        <v>189</v>
      </c>
      <c r="D146" s="206" t="s">
        <v>475</v>
      </c>
      <c r="E146" s="200">
        <v>3800000000</v>
      </c>
      <c r="F146" s="200">
        <v>0</v>
      </c>
      <c r="G146" s="200">
        <v>3800000000</v>
      </c>
      <c r="H146" s="200">
        <f t="shared" si="2"/>
        <v>0</v>
      </c>
      <c r="I146" s="201">
        <v>7.4</v>
      </c>
      <c r="J146" s="202" t="s">
        <v>144</v>
      </c>
    </row>
    <row r="147" spans="1:10" ht="14.25" customHeight="1">
      <c r="A147" s="215"/>
      <c r="B147" s="206" t="s">
        <v>145</v>
      </c>
      <c r="C147" s="205" t="s">
        <v>189</v>
      </c>
      <c r="D147" s="206" t="s">
        <v>146</v>
      </c>
      <c r="E147" s="200">
        <v>527000000</v>
      </c>
      <c r="F147" s="200">
        <v>0</v>
      </c>
      <c r="G147" s="200">
        <v>527000000</v>
      </c>
      <c r="H147" s="200">
        <f t="shared" si="2"/>
        <v>0</v>
      </c>
      <c r="I147" s="201">
        <v>7.4</v>
      </c>
      <c r="J147" s="202" t="s">
        <v>92</v>
      </c>
    </row>
    <row r="148" spans="1:10" ht="14.25" customHeight="1">
      <c r="A148" s="203"/>
      <c r="B148" s="204" t="s">
        <v>259</v>
      </c>
      <c r="C148" s="205" t="s">
        <v>185</v>
      </c>
      <c r="D148" s="206" t="s">
        <v>480</v>
      </c>
      <c r="E148" s="200">
        <v>2101596178</v>
      </c>
      <c r="F148" s="200">
        <v>0</v>
      </c>
      <c r="G148" s="200">
        <v>2101596178</v>
      </c>
      <c r="H148" s="200">
        <f t="shared" si="2"/>
        <v>0</v>
      </c>
      <c r="I148" s="201">
        <v>7.3</v>
      </c>
      <c r="J148" s="202" t="s">
        <v>469</v>
      </c>
    </row>
    <row r="149" spans="1:10" ht="14.25" customHeight="1">
      <c r="A149" s="203"/>
      <c r="B149" s="301">
        <v>54</v>
      </c>
      <c r="C149" s="205" t="s">
        <v>163</v>
      </c>
      <c r="D149" s="206" t="s">
        <v>321</v>
      </c>
      <c r="E149" s="200">
        <v>1020295184</v>
      </c>
      <c r="F149" s="200">
        <v>0</v>
      </c>
      <c r="G149" s="200">
        <v>1020295184</v>
      </c>
      <c r="H149" s="200">
        <f t="shared" si="2"/>
        <v>0</v>
      </c>
      <c r="I149" s="201">
        <v>8</v>
      </c>
      <c r="J149" s="202" t="s">
        <v>638</v>
      </c>
    </row>
    <row r="150" spans="1:10" ht="14.25" customHeight="1">
      <c r="A150" s="203"/>
      <c r="B150" s="301">
        <v>55</v>
      </c>
      <c r="C150" s="205" t="s">
        <v>163</v>
      </c>
      <c r="D150" s="206" t="s">
        <v>639</v>
      </c>
      <c r="E150" s="200">
        <v>1862704002</v>
      </c>
      <c r="F150" s="200">
        <v>0</v>
      </c>
      <c r="G150" s="200">
        <v>1862704002</v>
      </c>
      <c r="H150" s="200">
        <f t="shared" si="2"/>
        <v>0</v>
      </c>
      <c r="I150" s="201">
        <v>7.5</v>
      </c>
      <c r="J150" s="202" t="s">
        <v>638</v>
      </c>
    </row>
    <row r="151" spans="1:10" ht="14.25" customHeight="1">
      <c r="A151" s="215"/>
      <c r="B151" s="204">
        <v>56</v>
      </c>
      <c r="C151" s="205" t="s">
        <v>163</v>
      </c>
      <c r="D151" s="204" t="s">
        <v>639</v>
      </c>
      <c r="E151" s="200">
        <v>1944403822</v>
      </c>
      <c r="F151" s="200">
        <v>0</v>
      </c>
      <c r="G151" s="200">
        <v>1944403822</v>
      </c>
      <c r="H151" s="200">
        <f t="shared" si="2"/>
        <v>0</v>
      </c>
      <c r="I151" s="201">
        <v>7.3</v>
      </c>
      <c r="J151" s="202" t="s">
        <v>638</v>
      </c>
    </row>
    <row r="152" spans="1:10" ht="14.25" customHeight="1">
      <c r="A152" s="203"/>
      <c r="B152" s="302" t="s">
        <v>147</v>
      </c>
      <c r="C152" s="205" t="s">
        <v>189</v>
      </c>
      <c r="D152" s="204" t="s">
        <v>640</v>
      </c>
      <c r="E152" s="200">
        <v>215000000</v>
      </c>
      <c r="F152" s="200">
        <v>0</v>
      </c>
      <c r="G152" s="200">
        <v>215000000</v>
      </c>
      <c r="H152" s="200">
        <f t="shared" si="2"/>
        <v>0</v>
      </c>
      <c r="I152" s="201">
        <v>2.0499999999999998</v>
      </c>
      <c r="J152" s="202" t="s">
        <v>492</v>
      </c>
    </row>
    <row r="153" spans="1:10" ht="14.25" customHeight="1">
      <c r="A153" s="203"/>
      <c r="B153" s="206">
        <v>17</v>
      </c>
      <c r="C153" s="205" t="s">
        <v>189</v>
      </c>
      <c r="D153" s="204" t="s">
        <v>640</v>
      </c>
      <c r="E153" s="200">
        <v>634000000</v>
      </c>
      <c r="F153" s="200">
        <v>0</v>
      </c>
      <c r="G153" s="200">
        <v>634000000</v>
      </c>
      <c r="H153" s="200">
        <f t="shared" si="2"/>
        <v>0</v>
      </c>
      <c r="I153" s="201">
        <v>2.0499999999999998</v>
      </c>
      <c r="J153" s="202" t="s">
        <v>492</v>
      </c>
    </row>
    <row r="154" spans="1:10" ht="14.25" customHeight="1">
      <c r="A154" s="203"/>
      <c r="B154" s="206">
        <v>17</v>
      </c>
      <c r="C154" s="205" t="s">
        <v>189</v>
      </c>
      <c r="D154" s="204" t="s">
        <v>640</v>
      </c>
      <c r="E154" s="200">
        <v>596000000</v>
      </c>
      <c r="F154" s="200">
        <v>0</v>
      </c>
      <c r="G154" s="200">
        <v>596000000</v>
      </c>
      <c r="H154" s="200">
        <f t="shared" si="2"/>
        <v>0</v>
      </c>
      <c r="I154" s="201">
        <v>2.0499999999999998</v>
      </c>
      <c r="J154" s="202" t="s">
        <v>492</v>
      </c>
    </row>
    <row r="155" spans="1:10" ht="14.25" customHeight="1">
      <c r="A155" s="203"/>
      <c r="B155" s="206">
        <v>17</v>
      </c>
      <c r="C155" s="205" t="s">
        <v>189</v>
      </c>
      <c r="D155" s="204" t="s">
        <v>640</v>
      </c>
      <c r="E155" s="200">
        <v>981000000</v>
      </c>
      <c r="F155" s="200">
        <v>0</v>
      </c>
      <c r="G155" s="200">
        <v>981000000</v>
      </c>
      <c r="H155" s="200">
        <f t="shared" si="2"/>
        <v>0</v>
      </c>
      <c r="I155" s="201">
        <v>2.0499999999999998</v>
      </c>
      <c r="J155" s="202" t="s">
        <v>92</v>
      </c>
    </row>
    <row r="156" spans="1:10" ht="14.25" customHeight="1">
      <c r="A156" s="203"/>
      <c r="B156" s="206">
        <v>18</v>
      </c>
      <c r="C156" s="205" t="s">
        <v>189</v>
      </c>
      <c r="D156" s="204" t="s">
        <v>641</v>
      </c>
      <c r="E156" s="200">
        <v>26300000</v>
      </c>
      <c r="F156" s="200">
        <v>0</v>
      </c>
      <c r="G156" s="200">
        <v>26300000</v>
      </c>
      <c r="H156" s="200">
        <f t="shared" si="2"/>
        <v>0</v>
      </c>
      <c r="I156" s="201">
        <v>2.5499999999999998</v>
      </c>
      <c r="J156" s="202" t="s">
        <v>642</v>
      </c>
    </row>
    <row r="157" spans="1:10" ht="14.25" customHeight="1">
      <c r="A157" s="203"/>
      <c r="B157" s="206">
        <v>18</v>
      </c>
      <c r="C157" s="205" t="s">
        <v>189</v>
      </c>
      <c r="D157" s="204" t="s">
        <v>641</v>
      </c>
      <c r="E157" s="200">
        <v>201100000</v>
      </c>
      <c r="F157" s="200">
        <v>0</v>
      </c>
      <c r="G157" s="200">
        <v>201100000</v>
      </c>
      <c r="H157" s="200">
        <f t="shared" si="2"/>
        <v>0</v>
      </c>
      <c r="I157" s="201">
        <v>2.5499999999999998</v>
      </c>
      <c r="J157" s="202" t="s">
        <v>642</v>
      </c>
    </row>
    <row r="158" spans="1:10" ht="14.25" customHeight="1">
      <c r="A158" s="203"/>
      <c r="B158" s="206">
        <v>18</v>
      </c>
      <c r="C158" s="205" t="s">
        <v>189</v>
      </c>
      <c r="D158" s="204" t="s">
        <v>351</v>
      </c>
      <c r="E158" s="200">
        <v>209100000</v>
      </c>
      <c r="F158" s="200">
        <v>0</v>
      </c>
      <c r="G158" s="200">
        <v>209100000</v>
      </c>
      <c r="H158" s="200">
        <f t="shared" si="2"/>
        <v>0</v>
      </c>
      <c r="I158" s="201">
        <v>2.5499999999999998</v>
      </c>
      <c r="J158" s="202" t="s">
        <v>256</v>
      </c>
    </row>
    <row r="159" spans="1:10" ht="14.25" customHeight="1">
      <c r="A159" s="203"/>
      <c r="B159" s="206">
        <v>19</v>
      </c>
      <c r="C159" s="205" t="s">
        <v>495</v>
      </c>
      <c r="D159" s="204" t="s">
        <v>496</v>
      </c>
      <c r="E159" s="200">
        <v>544100000</v>
      </c>
      <c r="F159" s="200">
        <v>0</v>
      </c>
      <c r="G159" s="200">
        <v>544100000</v>
      </c>
      <c r="H159" s="200">
        <f t="shared" si="2"/>
        <v>0</v>
      </c>
      <c r="I159" s="201">
        <v>2.4</v>
      </c>
      <c r="J159" s="202" t="s">
        <v>144</v>
      </c>
    </row>
    <row r="160" spans="1:10" ht="14.25" customHeight="1">
      <c r="A160" s="203"/>
      <c r="B160" s="206">
        <v>19</v>
      </c>
      <c r="C160" s="205" t="s">
        <v>495</v>
      </c>
      <c r="D160" s="204" t="s">
        <v>496</v>
      </c>
      <c r="E160" s="200">
        <v>92100000</v>
      </c>
      <c r="F160" s="200">
        <v>0</v>
      </c>
      <c r="G160" s="200">
        <v>92100000</v>
      </c>
      <c r="H160" s="200">
        <f t="shared" si="2"/>
        <v>0</v>
      </c>
      <c r="I160" s="201">
        <v>2.4</v>
      </c>
      <c r="J160" s="202" t="s">
        <v>567</v>
      </c>
    </row>
    <row r="161" spans="1:10" ht="17.25" customHeight="1">
      <c r="A161" s="219" t="s">
        <v>376</v>
      </c>
      <c r="B161" s="220"/>
      <c r="C161" s="221"/>
      <c r="D161" s="222"/>
      <c r="E161" s="245">
        <f>SUM(E79:E111,E116:E160)</f>
        <v>124568706889</v>
      </c>
      <c r="F161" s="245">
        <f>SUM(F79:F111,F116:F160)</f>
        <v>0</v>
      </c>
      <c r="G161" s="245">
        <f>SUM(G79:G111,G116:G160)</f>
        <v>124568706889</v>
      </c>
      <c r="H161" s="245">
        <f>SUM(H79:H111,H116:H160)</f>
        <v>0</v>
      </c>
      <c r="I161" s="223"/>
      <c r="J161" s="224"/>
    </row>
    <row r="162" spans="1:10" ht="14.25" customHeight="1">
      <c r="A162" s="215" t="s">
        <v>481</v>
      </c>
      <c r="B162" s="206" t="s">
        <v>643</v>
      </c>
      <c r="C162" s="263" t="s">
        <v>184</v>
      </c>
      <c r="D162" s="206" t="s">
        <v>644</v>
      </c>
      <c r="E162" s="200">
        <v>60000000</v>
      </c>
      <c r="F162" s="200">
        <v>0</v>
      </c>
      <c r="G162" s="200">
        <v>60000000</v>
      </c>
      <c r="H162" s="200">
        <f t="shared" si="2"/>
        <v>0</v>
      </c>
      <c r="I162" s="201">
        <v>7.1</v>
      </c>
      <c r="J162" s="202" t="s">
        <v>209</v>
      </c>
    </row>
    <row r="163" spans="1:10" ht="14.25" customHeight="1">
      <c r="A163" s="203" t="s">
        <v>482</v>
      </c>
      <c r="B163" s="204">
        <v>45</v>
      </c>
      <c r="C163" s="205" t="s">
        <v>185</v>
      </c>
      <c r="D163" s="206" t="s">
        <v>645</v>
      </c>
      <c r="E163" s="200">
        <v>340000000</v>
      </c>
      <c r="F163" s="200">
        <v>0</v>
      </c>
      <c r="G163" s="200">
        <v>340000000</v>
      </c>
      <c r="H163" s="200">
        <f t="shared" si="2"/>
        <v>0</v>
      </c>
      <c r="I163" s="201">
        <v>6.5</v>
      </c>
      <c r="J163" s="202" t="s">
        <v>235</v>
      </c>
    </row>
    <row r="164" spans="1:10" ht="14.25" customHeight="1">
      <c r="A164" s="203"/>
      <c r="B164" s="204">
        <v>46</v>
      </c>
      <c r="C164" s="205" t="s">
        <v>189</v>
      </c>
      <c r="D164" s="206" t="s">
        <v>416</v>
      </c>
      <c r="E164" s="200">
        <v>100000000</v>
      </c>
      <c r="F164" s="200">
        <v>0</v>
      </c>
      <c r="G164" s="200">
        <v>100000000</v>
      </c>
      <c r="H164" s="200">
        <f t="shared" si="2"/>
        <v>0</v>
      </c>
      <c r="I164" s="201">
        <v>6.7</v>
      </c>
      <c r="J164" s="202" t="s">
        <v>237</v>
      </c>
    </row>
    <row r="165" spans="1:10" ht="14.25" customHeight="1">
      <c r="A165" s="203"/>
      <c r="B165" s="204">
        <v>46</v>
      </c>
      <c r="C165" s="205" t="s">
        <v>189</v>
      </c>
      <c r="D165" s="206" t="s">
        <v>732</v>
      </c>
      <c r="E165" s="200">
        <v>107000000</v>
      </c>
      <c r="F165" s="200">
        <v>0</v>
      </c>
      <c r="G165" s="200">
        <v>107000000</v>
      </c>
      <c r="H165" s="200">
        <f t="shared" si="2"/>
        <v>0</v>
      </c>
      <c r="I165" s="201">
        <v>6.7</v>
      </c>
      <c r="J165" s="202" t="s">
        <v>237</v>
      </c>
    </row>
    <row r="166" spans="1:10" ht="14.25" customHeight="1">
      <c r="A166" s="203"/>
      <c r="B166" s="204">
        <v>46</v>
      </c>
      <c r="C166" s="205" t="s">
        <v>185</v>
      </c>
      <c r="D166" s="206" t="s">
        <v>331</v>
      </c>
      <c r="E166" s="200">
        <v>238000000</v>
      </c>
      <c r="F166" s="200">
        <v>0</v>
      </c>
      <c r="G166" s="200">
        <v>238000000</v>
      </c>
      <c r="H166" s="200">
        <f t="shared" si="2"/>
        <v>0</v>
      </c>
      <c r="I166" s="201">
        <v>6.5</v>
      </c>
      <c r="J166" s="202" t="s">
        <v>239</v>
      </c>
    </row>
    <row r="167" spans="1:10" ht="14.25" customHeight="1">
      <c r="A167" s="203"/>
      <c r="B167" s="204">
        <v>46</v>
      </c>
      <c r="C167" s="205" t="s">
        <v>180</v>
      </c>
      <c r="D167" s="206" t="s">
        <v>331</v>
      </c>
      <c r="E167" s="200">
        <v>250000000</v>
      </c>
      <c r="F167" s="200">
        <v>0</v>
      </c>
      <c r="G167" s="200">
        <v>250000000</v>
      </c>
      <c r="H167" s="200">
        <f t="shared" si="2"/>
        <v>0</v>
      </c>
      <c r="I167" s="201">
        <v>6.8</v>
      </c>
      <c r="J167" s="202" t="s">
        <v>212</v>
      </c>
    </row>
    <row r="168" spans="1:10" ht="14.25" customHeight="1">
      <c r="A168" s="203"/>
      <c r="B168" s="204">
        <v>47</v>
      </c>
      <c r="C168" s="205" t="s">
        <v>189</v>
      </c>
      <c r="D168" s="206" t="s">
        <v>332</v>
      </c>
      <c r="E168" s="200">
        <v>280000000</v>
      </c>
      <c r="F168" s="200">
        <v>0</v>
      </c>
      <c r="G168" s="200">
        <v>280000000</v>
      </c>
      <c r="H168" s="200">
        <f t="shared" si="2"/>
        <v>0</v>
      </c>
      <c r="I168" s="201">
        <v>6.4</v>
      </c>
      <c r="J168" s="202" t="s">
        <v>219</v>
      </c>
    </row>
    <row r="169" spans="1:10" ht="14.25" customHeight="1" thickBot="1">
      <c r="A169" s="269"/>
      <c r="B169" s="285">
        <v>47</v>
      </c>
      <c r="C169" s="286" t="s">
        <v>180</v>
      </c>
      <c r="D169" s="287" t="s">
        <v>333</v>
      </c>
      <c r="E169" s="268">
        <v>340000000</v>
      </c>
      <c r="F169" s="268">
        <v>0</v>
      </c>
      <c r="G169" s="268">
        <v>340000000</v>
      </c>
      <c r="H169" s="200">
        <f t="shared" si="2"/>
        <v>0</v>
      </c>
      <c r="I169" s="288">
        <v>7</v>
      </c>
      <c r="J169" s="298" t="s">
        <v>188</v>
      </c>
    </row>
    <row r="170" spans="1:10" ht="9.75" customHeight="1" thickBot="1">
      <c r="A170" s="257"/>
      <c r="B170" s="272"/>
      <c r="C170" s="257"/>
      <c r="D170" s="258"/>
      <c r="E170" s="259"/>
      <c r="F170" s="259"/>
      <c r="G170" s="259"/>
      <c r="H170" s="259"/>
      <c r="I170" s="260"/>
      <c r="J170" s="270"/>
    </row>
    <row r="171" spans="1:10">
      <c r="A171" s="479" t="s">
        <v>85</v>
      </c>
      <c r="B171" s="481" t="s">
        <v>311</v>
      </c>
      <c r="C171" s="483" t="s">
        <v>86</v>
      </c>
      <c r="D171" s="481" t="s">
        <v>312</v>
      </c>
      <c r="E171" s="485" t="s">
        <v>87</v>
      </c>
      <c r="F171" s="487" t="s">
        <v>88</v>
      </c>
      <c r="G171" s="493"/>
      <c r="H171" s="489" t="s">
        <v>174</v>
      </c>
      <c r="I171" s="491" t="s">
        <v>89</v>
      </c>
      <c r="J171" s="477" t="s">
        <v>313</v>
      </c>
    </row>
    <row r="172" spans="1:10">
      <c r="A172" s="480"/>
      <c r="B172" s="482"/>
      <c r="C172" s="484"/>
      <c r="D172" s="482"/>
      <c r="E172" s="486"/>
      <c r="F172" s="207" t="s">
        <v>176</v>
      </c>
      <c r="G172" s="207" t="s">
        <v>305</v>
      </c>
      <c r="H172" s="490"/>
      <c r="I172" s="492"/>
      <c r="J172" s="478"/>
    </row>
    <row r="173" spans="1:10">
      <c r="A173" s="209"/>
      <c r="B173" s="210"/>
      <c r="C173" s="210"/>
      <c r="D173" s="211" t="s">
        <v>177</v>
      </c>
      <c r="E173" s="212" t="s">
        <v>178</v>
      </c>
      <c r="F173" s="212" t="s">
        <v>172</v>
      </c>
      <c r="G173" s="212" t="s">
        <v>178</v>
      </c>
      <c r="H173" s="212" t="s">
        <v>178</v>
      </c>
      <c r="I173" s="213" t="s">
        <v>90</v>
      </c>
      <c r="J173" s="214" t="s">
        <v>175</v>
      </c>
    </row>
    <row r="174" spans="1:10" ht="14.25" customHeight="1">
      <c r="A174" s="215" t="s">
        <v>481</v>
      </c>
      <c r="B174" s="204" t="s">
        <v>340</v>
      </c>
      <c r="C174" s="205" t="s">
        <v>185</v>
      </c>
      <c r="D174" s="206" t="s">
        <v>692</v>
      </c>
      <c r="E174" s="200">
        <v>500000000</v>
      </c>
      <c r="F174" s="200">
        <v>0</v>
      </c>
      <c r="G174" s="200">
        <v>500000000</v>
      </c>
      <c r="H174" s="200">
        <f t="shared" ref="H174:H226" si="3">E174-G174</f>
        <v>0</v>
      </c>
      <c r="I174" s="201">
        <v>6.75</v>
      </c>
      <c r="J174" s="202" t="s">
        <v>242</v>
      </c>
    </row>
    <row r="175" spans="1:10" ht="14.25" customHeight="1">
      <c r="A175" s="203" t="s">
        <v>482</v>
      </c>
      <c r="B175" s="204">
        <v>48</v>
      </c>
      <c r="C175" s="205" t="s">
        <v>189</v>
      </c>
      <c r="D175" s="206" t="s">
        <v>483</v>
      </c>
      <c r="E175" s="200">
        <v>300000000</v>
      </c>
      <c r="F175" s="200">
        <v>0</v>
      </c>
      <c r="G175" s="200">
        <v>300000000</v>
      </c>
      <c r="H175" s="200">
        <f t="shared" si="3"/>
        <v>0</v>
      </c>
      <c r="I175" s="201">
        <v>7.7</v>
      </c>
      <c r="J175" s="202" t="s">
        <v>228</v>
      </c>
    </row>
    <row r="176" spans="1:10" ht="14.25" customHeight="1">
      <c r="A176" s="203"/>
      <c r="B176" s="204">
        <v>48</v>
      </c>
      <c r="C176" s="205" t="s">
        <v>189</v>
      </c>
      <c r="D176" s="206" t="s">
        <v>430</v>
      </c>
      <c r="E176" s="200">
        <v>140000000</v>
      </c>
      <c r="F176" s="200">
        <v>0</v>
      </c>
      <c r="G176" s="200">
        <v>140000000</v>
      </c>
      <c r="H176" s="200">
        <f t="shared" si="3"/>
        <v>0</v>
      </c>
      <c r="I176" s="201">
        <v>7.7</v>
      </c>
      <c r="J176" s="202" t="s">
        <v>228</v>
      </c>
    </row>
    <row r="177" spans="1:10" ht="14.25" customHeight="1">
      <c r="A177" s="203"/>
      <c r="B177" s="204">
        <v>48</v>
      </c>
      <c r="C177" s="263" t="s">
        <v>180</v>
      </c>
      <c r="D177" s="206" t="s">
        <v>484</v>
      </c>
      <c r="E177" s="200">
        <v>379000000</v>
      </c>
      <c r="F177" s="200">
        <v>0</v>
      </c>
      <c r="G177" s="200">
        <v>379000000</v>
      </c>
      <c r="H177" s="200">
        <f t="shared" si="3"/>
        <v>0</v>
      </c>
      <c r="I177" s="201">
        <v>8.5</v>
      </c>
      <c r="J177" s="202" t="s">
        <v>194</v>
      </c>
    </row>
    <row r="178" spans="1:10" ht="14.25" customHeight="1">
      <c r="A178" s="203"/>
      <c r="B178" s="204">
        <v>48</v>
      </c>
      <c r="C178" s="205" t="s">
        <v>185</v>
      </c>
      <c r="D178" s="206" t="s">
        <v>433</v>
      </c>
      <c r="E178" s="200">
        <v>981000000</v>
      </c>
      <c r="F178" s="200">
        <v>0</v>
      </c>
      <c r="G178" s="200">
        <v>981000000</v>
      </c>
      <c r="H178" s="200">
        <f t="shared" si="3"/>
        <v>0</v>
      </c>
      <c r="I178" s="201">
        <v>8</v>
      </c>
      <c r="J178" s="202" t="s">
        <v>244</v>
      </c>
    </row>
    <row r="179" spans="1:10" ht="14.25" customHeight="1">
      <c r="A179" s="203"/>
      <c r="B179" s="204">
        <v>49</v>
      </c>
      <c r="C179" s="205" t="s">
        <v>189</v>
      </c>
      <c r="D179" s="206" t="s">
        <v>436</v>
      </c>
      <c r="E179" s="200">
        <v>150000000</v>
      </c>
      <c r="F179" s="200">
        <v>0</v>
      </c>
      <c r="G179" s="200">
        <v>150000000</v>
      </c>
      <c r="H179" s="200">
        <f t="shared" si="3"/>
        <v>0</v>
      </c>
      <c r="I179" s="201">
        <v>8.1999999999999993</v>
      </c>
      <c r="J179" s="202" t="s">
        <v>242</v>
      </c>
    </row>
    <row r="180" spans="1:10" ht="14.25" customHeight="1">
      <c r="A180" s="203"/>
      <c r="B180" s="204">
        <v>49</v>
      </c>
      <c r="C180" s="263" t="s">
        <v>180</v>
      </c>
      <c r="D180" s="206" t="s">
        <v>485</v>
      </c>
      <c r="E180" s="200">
        <v>150000000</v>
      </c>
      <c r="F180" s="200">
        <v>0</v>
      </c>
      <c r="G180" s="200">
        <v>150000000</v>
      </c>
      <c r="H180" s="200">
        <f t="shared" si="3"/>
        <v>0</v>
      </c>
      <c r="I180" s="201">
        <v>9.1</v>
      </c>
      <c r="J180" s="202" t="s">
        <v>198</v>
      </c>
    </row>
    <row r="181" spans="1:10" ht="14.25" customHeight="1">
      <c r="A181" s="203"/>
      <c r="B181" s="204">
        <v>49</v>
      </c>
      <c r="C181" s="205" t="s">
        <v>185</v>
      </c>
      <c r="D181" s="206" t="s">
        <v>486</v>
      </c>
      <c r="E181" s="200">
        <v>700000000</v>
      </c>
      <c r="F181" s="200">
        <v>0</v>
      </c>
      <c r="G181" s="200">
        <v>700000000</v>
      </c>
      <c r="H181" s="200">
        <f t="shared" si="3"/>
        <v>0</v>
      </c>
      <c r="I181" s="201">
        <v>8</v>
      </c>
      <c r="J181" s="202" t="s">
        <v>244</v>
      </c>
    </row>
    <row r="182" spans="1:10" ht="14.25" customHeight="1">
      <c r="A182" s="203"/>
      <c r="B182" s="204">
        <v>50</v>
      </c>
      <c r="C182" s="205" t="s">
        <v>189</v>
      </c>
      <c r="D182" s="206" t="s">
        <v>487</v>
      </c>
      <c r="E182" s="200">
        <v>300000000</v>
      </c>
      <c r="F182" s="200">
        <v>0</v>
      </c>
      <c r="G182" s="200">
        <v>300000000</v>
      </c>
      <c r="H182" s="200">
        <f t="shared" si="3"/>
        <v>0</v>
      </c>
      <c r="I182" s="201">
        <v>7.7</v>
      </c>
      <c r="J182" s="202" t="s">
        <v>246</v>
      </c>
    </row>
    <row r="183" spans="1:10" ht="14.25" customHeight="1">
      <c r="A183" s="203"/>
      <c r="B183" s="204">
        <v>50</v>
      </c>
      <c r="C183" s="205" t="s">
        <v>185</v>
      </c>
      <c r="D183" s="206" t="s">
        <v>488</v>
      </c>
      <c r="E183" s="200">
        <v>700000000</v>
      </c>
      <c r="F183" s="200">
        <v>0</v>
      </c>
      <c r="G183" s="200">
        <v>700000000</v>
      </c>
      <c r="H183" s="200">
        <f t="shared" si="3"/>
        <v>0</v>
      </c>
      <c r="I183" s="201">
        <v>7.5</v>
      </c>
      <c r="J183" s="202" t="s">
        <v>249</v>
      </c>
    </row>
    <row r="184" spans="1:10" ht="14.25" customHeight="1">
      <c r="A184" s="203"/>
      <c r="B184" s="204">
        <v>51</v>
      </c>
      <c r="C184" s="205" t="s">
        <v>189</v>
      </c>
      <c r="D184" s="206" t="s">
        <v>446</v>
      </c>
      <c r="E184" s="200">
        <v>400000000</v>
      </c>
      <c r="F184" s="200">
        <v>0</v>
      </c>
      <c r="G184" s="200">
        <v>400000000</v>
      </c>
      <c r="H184" s="200">
        <f t="shared" si="3"/>
        <v>0</v>
      </c>
      <c r="I184" s="201">
        <v>6.95</v>
      </c>
      <c r="J184" s="202" t="s">
        <v>244</v>
      </c>
    </row>
    <row r="185" spans="1:10" ht="14.25" customHeight="1">
      <c r="A185" s="203"/>
      <c r="B185" s="204">
        <v>51</v>
      </c>
      <c r="C185" s="205" t="s">
        <v>189</v>
      </c>
      <c r="D185" s="206" t="s">
        <v>489</v>
      </c>
      <c r="E185" s="200">
        <v>440000000</v>
      </c>
      <c r="F185" s="200">
        <v>0</v>
      </c>
      <c r="G185" s="200">
        <v>440000000</v>
      </c>
      <c r="H185" s="200">
        <f t="shared" si="3"/>
        <v>0</v>
      </c>
      <c r="I185" s="201">
        <v>6.7</v>
      </c>
      <c r="J185" s="202" t="s">
        <v>247</v>
      </c>
    </row>
    <row r="186" spans="1:10" ht="14.25" customHeight="1">
      <c r="A186" s="203"/>
      <c r="B186" s="204">
        <v>52</v>
      </c>
      <c r="C186" s="205" t="s">
        <v>189</v>
      </c>
      <c r="D186" s="206" t="s">
        <v>458</v>
      </c>
      <c r="E186" s="200">
        <v>400000000</v>
      </c>
      <c r="F186" s="200">
        <v>0</v>
      </c>
      <c r="G186" s="200">
        <v>400000000</v>
      </c>
      <c r="H186" s="200">
        <f t="shared" si="3"/>
        <v>0</v>
      </c>
      <c r="I186" s="201">
        <v>6.25</v>
      </c>
      <c r="J186" s="202" t="s">
        <v>249</v>
      </c>
    </row>
    <row r="187" spans="1:10" ht="14.25" customHeight="1">
      <c r="A187" s="203"/>
      <c r="B187" s="204">
        <v>53</v>
      </c>
      <c r="C187" s="205" t="s">
        <v>189</v>
      </c>
      <c r="D187" s="206" t="s">
        <v>490</v>
      </c>
      <c r="E187" s="200">
        <v>209000000</v>
      </c>
      <c r="F187" s="200">
        <v>0</v>
      </c>
      <c r="G187" s="200">
        <v>209000000</v>
      </c>
      <c r="H187" s="200">
        <f t="shared" si="3"/>
        <v>0</v>
      </c>
      <c r="I187" s="201">
        <v>7.25</v>
      </c>
      <c r="J187" s="202" t="s">
        <v>251</v>
      </c>
    </row>
    <row r="188" spans="1:10" ht="14.25" customHeight="1">
      <c r="A188" s="203"/>
      <c r="B188" s="204">
        <v>54</v>
      </c>
      <c r="C188" s="205" t="s">
        <v>189</v>
      </c>
      <c r="D188" s="206" t="s">
        <v>463</v>
      </c>
      <c r="E188" s="200">
        <v>44000000</v>
      </c>
      <c r="F188" s="200">
        <v>0</v>
      </c>
      <c r="G188" s="200">
        <v>44000000</v>
      </c>
      <c r="H188" s="200">
        <f t="shared" si="3"/>
        <v>0</v>
      </c>
      <c r="I188" s="201">
        <v>7.25</v>
      </c>
      <c r="J188" s="202" t="s">
        <v>251</v>
      </c>
    </row>
    <row r="189" spans="1:10" ht="14.25" customHeight="1">
      <c r="A189" s="203"/>
      <c r="B189" s="204">
        <v>54</v>
      </c>
      <c r="C189" s="205" t="s">
        <v>189</v>
      </c>
      <c r="D189" s="206" t="s">
        <v>464</v>
      </c>
      <c r="E189" s="200">
        <v>40000000</v>
      </c>
      <c r="F189" s="200">
        <v>0</v>
      </c>
      <c r="G189" s="200">
        <v>40000000</v>
      </c>
      <c r="H189" s="200">
        <f t="shared" si="3"/>
        <v>0</v>
      </c>
      <c r="I189" s="201">
        <v>8.6</v>
      </c>
      <c r="J189" s="202" t="s">
        <v>465</v>
      </c>
    </row>
    <row r="190" spans="1:10" ht="14.25" customHeight="1">
      <c r="A190" s="203"/>
      <c r="B190" s="204">
        <v>55</v>
      </c>
      <c r="C190" s="205" t="s">
        <v>189</v>
      </c>
      <c r="D190" s="206" t="s">
        <v>491</v>
      </c>
      <c r="E190" s="200">
        <v>30000000</v>
      </c>
      <c r="F190" s="200">
        <v>0</v>
      </c>
      <c r="G190" s="200">
        <v>30000000</v>
      </c>
      <c r="H190" s="200">
        <f t="shared" si="3"/>
        <v>0</v>
      </c>
      <c r="I190" s="201">
        <v>8.1</v>
      </c>
      <c r="J190" s="202" t="s">
        <v>465</v>
      </c>
    </row>
    <row r="191" spans="1:10" ht="14.25" customHeight="1">
      <c r="A191" s="203"/>
      <c r="B191" s="204">
        <v>55</v>
      </c>
      <c r="C191" s="205" t="s">
        <v>189</v>
      </c>
      <c r="D191" s="206" t="s">
        <v>475</v>
      </c>
      <c r="E191" s="200">
        <v>20000000</v>
      </c>
      <c r="F191" s="200">
        <v>0</v>
      </c>
      <c r="G191" s="200">
        <v>20000000</v>
      </c>
      <c r="H191" s="200">
        <f t="shared" si="3"/>
        <v>0</v>
      </c>
      <c r="I191" s="201">
        <v>7.4</v>
      </c>
      <c r="J191" s="202" t="s">
        <v>492</v>
      </c>
    </row>
    <row r="192" spans="1:10" ht="14.25" customHeight="1">
      <c r="A192" s="203"/>
      <c r="B192" s="206" t="s">
        <v>147</v>
      </c>
      <c r="C192" s="205" t="s">
        <v>189</v>
      </c>
      <c r="D192" s="206" t="s">
        <v>148</v>
      </c>
      <c r="E192" s="200">
        <v>8000000</v>
      </c>
      <c r="F192" s="200">
        <v>0</v>
      </c>
      <c r="G192" s="200">
        <v>8000000</v>
      </c>
      <c r="H192" s="200">
        <f t="shared" si="3"/>
        <v>0</v>
      </c>
      <c r="I192" s="201">
        <v>2.0499999999999998</v>
      </c>
      <c r="J192" s="202" t="s">
        <v>492</v>
      </c>
    </row>
    <row r="193" spans="1:10" ht="14.25" customHeight="1">
      <c r="A193" s="203"/>
      <c r="B193" s="206">
        <v>17</v>
      </c>
      <c r="C193" s="205" t="s">
        <v>189</v>
      </c>
      <c r="D193" s="206" t="s">
        <v>349</v>
      </c>
      <c r="E193" s="200">
        <v>8000000</v>
      </c>
      <c r="F193" s="200">
        <v>0</v>
      </c>
      <c r="G193" s="200">
        <v>8000000</v>
      </c>
      <c r="H193" s="200">
        <f t="shared" si="3"/>
        <v>0</v>
      </c>
      <c r="I193" s="201">
        <v>2.0499999999999998</v>
      </c>
      <c r="J193" s="202" t="s">
        <v>260</v>
      </c>
    </row>
    <row r="194" spans="1:10" ht="14.25" customHeight="1">
      <c r="A194" s="203"/>
      <c r="B194" s="206">
        <v>19</v>
      </c>
      <c r="C194" s="205" t="s">
        <v>495</v>
      </c>
      <c r="D194" s="204" t="s">
        <v>496</v>
      </c>
      <c r="E194" s="200">
        <v>2900000</v>
      </c>
      <c r="F194" s="200">
        <v>0</v>
      </c>
      <c r="G194" s="200">
        <v>2900000</v>
      </c>
      <c r="H194" s="200">
        <f t="shared" si="3"/>
        <v>0</v>
      </c>
      <c r="I194" s="201">
        <v>2.4</v>
      </c>
      <c r="J194" s="202" t="s">
        <v>144</v>
      </c>
    </row>
    <row r="195" spans="1:10" ht="17.25" customHeight="1">
      <c r="A195" s="219" t="s">
        <v>376</v>
      </c>
      <c r="B195" s="220" t="s">
        <v>173</v>
      </c>
      <c r="C195" s="221" t="s">
        <v>173</v>
      </c>
      <c r="D195" s="222" t="s">
        <v>173</v>
      </c>
      <c r="E195" s="245">
        <f>SUM(E162:E169,E174:E194)</f>
        <v>7616900000</v>
      </c>
      <c r="F195" s="245">
        <f>SUM(F162:F169,F174:F194)</f>
        <v>0</v>
      </c>
      <c r="G195" s="245">
        <f>SUM(G162:G169,G174:G194)</f>
        <v>7616900000</v>
      </c>
      <c r="H195" s="245">
        <f>SUM(H162:H169,H174:H194)</f>
        <v>0</v>
      </c>
      <c r="I195" s="223"/>
      <c r="J195" s="224" t="s">
        <v>173</v>
      </c>
    </row>
    <row r="196" spans="1:10" ht="14.25" customHeight="1">
      <c r="A196" s="215" t="s">
        <v>497</v>
      </c>
      <c r="B196" s="206" t="s">
        <v>149</v>
      </c>
      <c r="C196" s="205" t="s">
        <v>189</v>
      </c>
      <c r="D196" s="206" t="s">
        <v>150</v>
      </c>
      <c r="E196" s="200">
        <v>1473000000</v>
      </c>
      <c r="F196" s="250">
        <v>0</v>
      </c>
      <c r="G196" s="200">
        <v>1473000000</v>
      </c>
      <c r="H196" s="200">
        <f t="shared" si="3"/>
        <v>0</v>
      </c>
      <c r="I196" s="201">
        <v>7.4</v>
      </c>
      <c r="J196" s="216" t="s">
        <v>260</v>
      </c>
    </row>
    <row r="197" spans="1:10" ht="14.25" customHeight="1">
      <c r="A197" s="203" t="s">
        <v>182</v>
      </c>
      <c r="B197" s="204">
        <v>57</v>
      </c>
      <c r="C197" s="205" t="s">
        <v>189</v>
      </c>
      <c r="D197" s="206" t="s">
        <v>500</v>
      </c>
      <c r="E197" s="200">
        <v>1848000000</v>
      </c>
      <c r="F197" s="200">
        <v>0</v>
      </c>
      <c r="G197" s="200">
        <v>1848000000</v>
      </c>
      <c r="H197" s="200">
        <f t="shared" si="3"/>
        <v>0</v>
      </c>
      <c r="I197" s="201">
        <v>7.4</v>
      </c>
      <c r="J197" s="216" t="s">
        <v>260</v>
      </c>
    </row>
    <row r="198" spans="1:10" ht="14.25" customHeight="1">
      <c r="A198" s="299"/>
      <c r="B198" s="204">
        <v>57</v>
      </c>
      <c r="C198" s="205" t="s">
        <v>185</v>
      </c>
      <c r="D198" s="206" t="s">
        <v>501</v>
      </c>
      <c r="E198" s="200">
        <v>2386413639</v>
      </c>
      <c r="F198" s="200">
        <v>0</v>
      </c>
      <c r="G198" s="200">
        <v>2386413639</v>
      </c>
      <c r="H198" s="200">
        <f t="shared" si="3"/>
        <v>0</v>
      </c>
      <c r="I198" s="201">
        <v>7.3</v>
      </c>
      <c r="J198" s="202" t="s">
        <v>469</v>
      </c>
    </row>
    <row r="199" spans="1:10" ht="14.25" customHeight="1">
      <c r="A199" s="203"/>
      <c r="B199" s="204">
        <v>58</v>
      </c>
      <c r="C199" s="205" t="s">
        <v>189</v>
      </c>
      <c r="D199" s="206" t="s">
        <v>502</v>
      </c>
      <c r="E199" s="200">
        <v>1485000000</v>
      </c>
      <c r="F199" s="200">
        <v>0</v>
      </c>
      <c r="G199" s="200">
        <v>1485000000</v>
      </c>
      <c r="H199" s="200">
        <f t="shared" si="3"/>
        <v>0</v>
      </c>
      <c r="I199" s="201">
        <v>7.2</v>
      </c>
      <c r="J199" s="202" t="s">
        <v>263</v>
      </c>
    </row>
    <row r="200" spans="1:10" ht="14.25" customHeight="1">
      <c r="A200" s="203"/>
      <c r="B200" s="204">
        <v>58</v>
      </c>
      <c r="C200" s="205" t="s">
        <v>189</v>
      </c>
      <c r="D200" s="206" t="s">
        <v>503</v>
      </c>
      <c r="E200" s="200">
        <v>1370000000</v>
      </c>
      <c r="F200" s="200">
        <v>0</v>
      </c>
      <c r="G200" s="200">
        <v>1370000000</v>
      </c>
      <c r="H200" s="200">
        <f t="shared" si="3"/>
        <v>0</v>
      </c>
      <c r="I200" s="201">
        <v>7.2</v>
      </c>
      <c r="J200" s="202" t="s">
        <v>504</v>
      </c>
    </row>
    <row r="201" spans="1:10" ht="14.25" customHeight="1">
      <c r="A201" s="203"/>
      <c r="B201" s="204">
        <v>58</v>
      </c>
      <c r="C201" s="205" t="s">
        <v>189</v>
      </c>
      <c r="D201" s="206" t="s">
        <v>505</v>
      </c>
      <c r="E201" s="200">
        <v>763000000</v>
      </c>
      <c r="F201" s="200">
        <v>0</v>
      </c>
      <c r="G201" s="200">
        <v>763000000</v>
      </c>
      <c r="H201" s="200">
        <f t="shared" si="3"/>
        <v>0</v>
      </c>
      <c r="I201" s="201">
        <v>7.2</v>
      </c>
      <c r="J201" s="202" t="s">
        <v>264</v>
      </c>
    </row>
    <row r="202" spans="1:10" ht="14.25" customHeight="1">
      <c r="A202" s="203"/>
      <c r="B202" s="204">
        <v>58</v>
      </c>
      <c r="C202" s="205" t="s">
        <v>185</v>
      </c>
      <c r="D202" s="206" t="s">
        <v>506</v>
      </c>
      <c r="E202" s="200">
        <v>301471</v>
      </c>
      <c r="F202" s="200">
        <v>0</v>
      </c>
      <c r="G202" s="200">
        <v>301471</v>
      </c>
      <c r="H202" s="200">
        <f t="shared" si="3"/>
        <v>0</v>
      </c>
      <c r="I202" s="201">
        <v>7.1</v>
      </c>
      <c r="J202" s="202" t="s">
        <v>210</v>
      </c>
    </row>
    <row r="203" spans="1:10" ht="14.25" customHeight="1">
      <c r="A203" s="203"/>
      <c r="B203" s="204">
        <v>59</v>
      </c>
      <c r="C203" s="205" t="s">
        <v>189</v>
      </c>
      <c r="D203" s="206" t="s">
        <v>507</v>
      </c>
      <c r="E203" s="200">
        <v>200000000</v>
      </c>
      <c r="F203" s="200">
        <v>0</v>
      </c>
      <c r="G203" s="200">
        <v>200000000</v>
      </c>
      <c r="H203" s="200">
        <f t="shared" si="3"/>
        <v>0</v>
      </c>
      <c r="I203" s="201">
        <v>7.2</v>
      </c>
      <c r="J203" s="202" t="s">
        <v>264</v>
      </c>
    </row>
    <row r="204" spans="1:10" ht="14.25" customHeight="1">
      <c r="A204" s="203"/>
      <c r="B204" s="204">
        <v>59</v>
      </c>
      <c r="C204" s="205" t="s">
        <v>266</v>
      </c>
      <c r="D204" s="206" t="s">
        <v>508</v>
      </c>
      <c r="E204" s="200">
        <v>1000000000</v>
      </c>
      <c r="F204" s="200">
        <v>0</v>
      </c>
      <c r="G204" s="200">
        <v>1000000000</v>
      </c>
      <c r="H204" s="200">
        <f t="shared" si="3"/>
        <v>0</v>
      </c>
      <c r="I204" s="201">
        <v>6.9</v>
      </c>
      <c r="J204" s="202" t="s">
        <v>237</v>
      </c>
    </row>
    <row r="205" spans="1:10" ht="14.25" customHeight="1">
      <c r="A205" s="203"/>
      <c r="B205" s="204">
        <v>59</v>
      </c>
      <c r="C205" s="205" t="s">
        <v>189</v>
      </c>
      <c r="D205" s="206" t="s">
        <v>509</v>
      </c>
      <c r="E205" s="200">
        <v>923000000</v>
      </c>
      <c r="F205" s="200">
        <v>0</v>
      </c>
      <c r="G205" s="200">
        <v>923000000</v>
      </c>
      <c r="H205" s="200">
        <f t="shared" si="3"/>
        <v>0</v>
      </c>
      <c r="I205" s="201">
        <v>7.2</v>
      </c>
      <c r="J205" s="202" t="s">
        <v>264</v>
      </c>
    </row>
    <row r="206" spans="1:10" ht="14.25" customHeight="1">
      <c r="A206" s="203"/>
      <c r="B206" s="204">
        <v>59</v>
      </c>
      <c r="C206" s="205" t="s">
        <v>189</v>
      </c>
      <c r="D206" s="206" t="s">
        <v>510</v>
      </c>
      <c r="E206" s="200">
        <v>389000000</v>
      </c>
      <c r="F206" s="200">
        <v>0</v>
      </c>
      <c r="G206" s="200">
        <v>389000000</v>
      </c>
      <c r="H206" s="200">
        <f t="shared" si="3"/>
        <v>0</v>
      </c>
      <c r="I206" s="201">
        <v>6.9</v>
      </c>
      <c r="J206" s="202" t="s">
        <v>267</v>
      </c>
    </row>
    <row r="207" spans="1:10" ht="14.25" customHeight="1">
      <c r="A207" s="215"/>
      <c r="B207" s="204">
        <v>59</v>
      </c>
      <c r="C207" s="205" t="s">
        <v>185</v>
      </c>
      <c r="D207" s="206" t="s">
        <v>511</v>
      </c>
      <c r="E207" s="200">
        <v>1147273396</v>
      </c>
      <c r="F207" s="200">
        <v>0</v>
      </c>
      <c r="G207" s="200">
        <v>1147273396</v>
      </c>
      <c r="H207" s="200">
        <f t="shared" si="3"/>
        <v>0</v>
      </c>
      <c r="I207" s="201">
        <v>6.3</v>
      </c>
      <c r="J207" s="202" t="s">
        <v>469</v>
      </c>
    </row>
    <row r="208" spans="1:10" ht="14.25" customHeight="1">
      <c r="A208" s="203"/>
      <c r="B208" s="204">
        <v>60</v>
      </c>
      <c r="C208" s="205" t="s">
        <v>266</v>
      </c>
      <c r="D208" s="206" t="s">
        <v>511</v>
      </c>
      <c r="E208" s="200">
        <v>1000000000</v>
      </c>
      <c r="F208" s="200">
        <v>0</v>
      </c>
      <c r="G208" s="200">
        <v>1000000000</v>
      </c>
      <c r="H208" s="200">
        <f t="shared" si="3"/>
        <v>0</v>
      </c>
      <c r="I208" s="201">
        <v>5.8</v>
      </c>
      <c r="J208" s="202" t="s">
        <v>219</v>
      </c>
    </row>
    <row r="209" spans="1:10" ht="14.25" customHeight="1">
      <c r="A209" s="203"/>
      <c r="B209" s="204">
        <v>60</v>
      </c>
      <c r="C209" s="205" t="s">
        <v>189</v>
      </c>
      <c r="D209" s="206" t="s">
        <v>512</v>
      </c>
      <c r="E209" s="200">
        <v>805000000</v>
      </c>
      <c r="F209" s="200">
        <v>0</v>
      </c>
      <c r="G209" s="200">
        <v>805000000</v>
      </c>
      <c r="H209" s="200">
        <f t="shared" si="3"/>
        <v>0</v>
      </c>
      <c r="I209" s="201">
        <v>6.4</v>
      </c>
      <c r="J209" s="202" t="s">
        <v>267</v>
      </c>
    </row>
    <row r="210" spans="1:10" ht="14.25" customHeight="1">
      <c r="A210" s="203"/>
      <c r="B210" s="204">
        <v>60</v>
      </c>
      <c r="C210" s="205" t="s">
        <v>185</v>
      </c>
      <c r="D210" s="206" t="s">
        <v>513</v>
      </c>
      <c r="E210" s="200">
        <v>527791158</v>
      </c>
      <c r="F210" s="200">
        <v>0</v>
      </c>
      <c r="G210" s="200">
        <v>527791158</v>
      </c>
      <c r="H210" s="200">
        <f t="shared" si="3"/>
        <v>0</v>
      </c>
      <c r="I210" s="201">
        <v>5.2</v>
      </c>
      <c r="J210" s="202" t="s">
        <v>469</v>
      </c>
    </row>
    <row r="211" spans="1:10" ht="14.25" customHeight="1">
      <c r="A211" s="215"/>
      <c r="B211" s="206">
        <v>60</v>
      </c>
      <c r="C211" s="205" t="s">
        <v>189</v>
      </c>
      <c r="D211" s="206" t="s">
        <v>514</v>
      </c>
      <c r="E211" s="200">
        <v>355000000</v>
      </c>
      <c r="F211" s="200">
        <v>20095211</v>
      </c>
      <c r="G211" s="200">
        <f>291354805+F211</f>
        <v>311450016</v>
      </c>
      <c r="H211" s="200">
        <f t="shared" si="3"/>
        <v>43549984</v>
      </c>
      <c r="I211" s="201">
        <v>5.4</v>
      </c>
      <c r="J211" s="202" t="s">
        <v>269</v>
      </c>
    </row>
    <row r="212" spans="1:10" ht="14.25" customHeight="1">
      <c r="A212" s="203"/>
      <c r="B212" s="204">
        <v>61</v>
      </c>
      <c r="C212" s="205" t="s">
        <v>189</v>
      </c>
      <c r="D212" s="206" t="s">
        <v>513</v>
      </c>
      <c r="E212" s="200">
        <v>390000000</v>
      </c>
      <c r="F212" s="200">
        <v>23224324</v>
      </c>
      <c r="G212" s="200">
        <f>316444333+F212</f>
        <v>339668657</v>
      </c>
      <c r="H212" s="200">
        <f t="shared" si="3"/>
        <v>50331343</v>
      </c>
      <c r="I212" s="201">
        <v>5.4</v>
      </c>
      <c r="J212" s="202" t="s">
        <v>269</v>
      </c>
    </row>
    <row r="213" spans="1:10" ht="14.25" customHeight="1">
      <c r="A213" s="203"/>
      <c r="B213" s="204">
        <v>61</v>
      </c>
      <c r="C213" s="205" t="s">
        <v>266</v>
      </c>
      <c r="D213" s="206" t="s">
        <v>513</v>
      </c>
      <c r="E213" s="200">
        <v>2000000000</v>
      </c>
      <c r="F213" s="200">
        <v>0</v>
      </c>
      <c r="G213" s="200">
        <v>2000000000</v>
      </c>
      <c r="H213" s="200">
        <f t="shared" si="3"/>
        <v>0</v>
      </c>
      <c r="I213" s="201">
        <v>5.0999999999999996</v>
      </c>
      <c r="J213" s="202" t="s">
        <v>221</v>
      </c>
    </row>
    <row r="214" spans="1:10" ht="14.25" customHeight="1">
      <c r="A214" s="203"/>
      <c r="B214" s="204">
        <v>61</v>
      </c>
      <c r="C214" s="205" t="s">
        <v>189</v>
      </c>
      <c r="D214" s="206" t="s">
        <v>515</v>
      </c>
      <c r="E214" s="200">
        <v>464000000</v>
      </c>
      <c r="F214" s="200">
        <v>26367988</v>
      </c>
      <c r="G214" s="200">
        <f>381074841+F214</f>
        <v>407442829</v>
      </c>
      <c r="H214" s="200">
        <f t="shared" si="3"/>
        <v>56557171</v>
      </c>
      <c r="I214" s="201">
        <v>4.7</v>
      </c>
      <c r="J214" s="202" t="s">
        <v>269</v>
      </c>
    </row>
    <row r="215" spans="1:10" ht="14.25" customHeight="1">
      <c r="A215" s="215"/>
      <c r="B215" s="206">
        <v>58</v>
      </c>
      <c r="C215" s="205" t="s">
        <v>185</v>
      </c>
      <c r="D215" s="206" t="s">
        <v>516</v>
      </c>
      <c r="E215" s="200">
        <v>2435157074</v>
      </c>
      <c r="F215" s="200">
        <v>0</v>
      </c>
      <c r="G215" s="200">
        <v>2435157074</v>
      </c>
      <c r="H215" s="200">
        <f t="shared" si="3"/>
        <v>0</v>
      </c>
      <c r="I215" s="201">
        <v>7.1</v>
      </c>
      <c r="J215" s="202" t="s">
        <v>469</v>
      </c>
    </row>
    <row r="216" spans="1:10" ht="14.25" customHeight="1">
      <c r="A216" s="203"/>
      <c r="B216" s="204">
        <v>61</v>
      </c>
      <c r="C216" s="205" t="s">
        <v>189</v>
      </c>
      <c r="D216" s="206" t="s">
        <v>517</v>
      </c>
      <c r="E216" s="200">
        <v>80000000</v>
      </c>
      <c r="F216" s="200">
        <v>4610648</v>
      </c>
      <c r="G216" s="200">
        <f>62750193+F216</f>
        <v>67360841</v>
      </c>
      <c r="H216" s="200">
        <f t="shared" si="3"/>
        <v>12639159</v>
      </c>
      <c r="I216" s="201">
        <v>5.3</v>
      </c>
      <c r="J216" s="202" t="s">
        <v>271</v>
      </c>
    </row>
    <row r="217" spans="1:10" ht="14.25" customHeight="1">
      <c r="A217" s="203"/>
      <c r="B217" s="204">
        <v>62</v>
      </c>
      <c r="C217" s="205" t="s">
        <v>273</v>
      </c>
      <c r="D217" s="206" t="s">
        <v>518</v>
      </c>
      <c r="E217" s="200">
        <v>229513000</v>
      </c>
      <c r="F217" s="200">
        <v>0</v>
      </c>
      <c r="G217" s="200">
        <v>229513000</v>
      </c>
      <c r="H217" s="200">
        <f t="shared" si="3"/>
        <v>0</v>
      </c>
      <c r="I217" s="201" t="s">
        <v>274</v>
      </c>
      <c r="J217" s="283" t="s">
        <v>225</v>
      </c>
    </row>
    <row r="218" spans="1:10" ht="14.25" customHeight="1">
      <c r="A218" s="203"/>
      <c r="B218" s="206">
        <v>61</v>
      </c>
      <c r="C218" s="205" t="s">
        <v>185</v>
      </c>
      <c r="D218" s="206" t="s">
        <v>519</v>
      </c>
      <c r="E218" s="200">
        <v>340191842</v>
      </c>
      <c r="F218" s="200">
        <v>0</v>
      </c>
      <c r="G218" s="200">
        <v>340191842</v>
      </c>
      <c r="H218" s="200">
        <f t="shared" si="3"/>
        <v>0</v>
      </c>
      <c r="I218" s="201">
        <v>5</v>
      </c>
      <c r="J218" s="202" t="s">
        <v>469</v>
      </c>
    </row>
    <row r="219" spans="1:10" ht="14.25" customHeight="1">
      <c r="A219" s="203"/>
      <c r="B219" s="206">
        <v>62</v>
      </c>
      <c r="C219" s="205" t="s">
        <v>266</v>
      </c>
      <c r="D219" s="206" t="s">
        <v>519</v>
      </c>
      <c r="E219" s="200">
        <v>1000000000</v>
      </c>
      <c r="F219" s="200">
        <v>0</v>
      </c>
      <c r="G219" s="200">
        <v>1000000000</v>
      </c>
      <c r="H219" s="200">
        <f t="shared" si="3"/>
        <v>0</v>
      </c>
      <c r="I219" s="201">
        <v>4.8</v>
      </c>
      <c r="J219" s="216" t="s">
        <v>225</v>
      </c>
    </row>
    <row r="220" spans="1:10" ht="14.25" customHeight="1">
      <c r="A220" s="203"/>
      <c r="B220" s="206">
        <v>63</v>
      </c>
      <c r="C220" s="205" t="s">
        <v>273</v>
      </c>
      <c r="D220" s="206" t="s">
        <v>735</v>
      </c>
      <c r="E220" s="200">
        <v>88343000</v>
      </c>
      <c r="F220" s="200">
        <v>0</v>
      </c>
      <c r="G220" s="200">
        <v>88343000</v>
      </c>
      <c r="H220" s="200">
        <f t="shared" si="3"/>
        <v>0</v>
      </c>
      <c r="I220" s="201" t="s">
        <v>274</v>
      </c>
      <c r="J220" s="216" t="s">
        <v>228</v>
      </c>
    </row>
    <row r="221" spans="1:10" ht="14.25" customHeight="1">
      <c r="A221" s="203"/>
      <c r="B221" s="206">
        <v>63</v>
      </c>
      <c r="C221" s="205" t="s">
        <v>273</v>
      </c>
      <c r="D221" s="206" t="s">
        <v>334</v>
      </c>
      <c r="E221" s="200">
        <v>138400000</v>
      </c>
      <c r="F221" s="200">
        <v>0</v>
      </c>
      <c r="G221" s="200">
        <v>138400000</v>
      </c>
      <c r="H221" s="200">
        <f t="shared" si="3"/>
        <v>0</v>
      </c>
      <c r="I221" s="201" t="s">
        <v>274</v>
      </c>
      <c r="J221" s="216" t="s">
        <v>228</v>
      </c>
    </row>
    <row r="222" spans="1:10" ht="14.25" customHeight="1">
      <c r="A222" s="203"/>
      <c r="B222" s="206">
        <v>62</v>
      </c>
      <c r="C222" s="205" t="s">
        <v>189</v>
      </c>
      <c r="D222" s="206" t="s">
        <v>335</v>
      </c>
      <c r="E222" s="200">
        <v>837000000</v>
      </c>
      <c r="F222" s="200">
        <v>43878999</v>
      </c>
      <c r="G222" s="200">
        <f>594486310+F222</f>
        <v>638365309</v>
      </c>
      <c r="H222" s="200">
        <f t="shared" si="3"/>
        <v>198634691</v>
      </c>
      <c r="I222" s="201">
        <v>4.95</v>
      </c>
      <c r="J222" s="216" t="s">
        <v>276</v>
      </c>
    </row>
    <row r="223" spans="1:10" ht="14.25" customHeight="1">
      <c r="A223" s="203"/>
      <c r="B223" s="206">
        <v>62</v>
      </c>
      <c r="C223" s="205" t="s">
        <v>185</v>
      </c>
      <c r="D223" s="206" t="s">
        <v>336</v>
      </c>
      <c r="E223" s="200">
        <v>308504686</v>
      </c>
      <c r="F223" s="200">
        <v>0</v>
      </c>
      <c r="G223" s="200">
        <v>308504686</v>
      </c>
      <c r="H223" s="200">
        <f t="shared" si="3"/>
        <v>0</v>
      </c>
      <c r="I223" s="201">
        <v>4.8499999999999996</v>
      </c>
      <c r="J223" s="202" t="s">
        <v>689</v>
      </c>
    </row>
    <row r="224" spans="1:10" ht="14.25" customHeight="1">
      <c r="A224" s="203"/>
      <c r="B224" s="206">
        <v>63</v>
      </c>
      <c r="C224" s="205" t="s">
        <v>273</v>
      </c>
      <c r="D224" s="206" t="s">
        <v>336</v>
      </c>
      <c r="E224" s="200">
        <v>617596000</v>
      </c>
      <c r="F224" s="200">
        <v>0</v>
      </c>
      <c r="G224" s="200">
        <v>617596000</v>
      </c>
      <c r="H224" s="200">
        <f t="shared" si="3"/>
        <v>0</v>
      </c>
      <c r="I224" s="201" t="s">
        <v>274</v>
      </c>
      <c r="J224" s="216" t="s">
        <v>228</v>
      </c>
    </row>
    <row r="225" spans="1:10" ht="14.25" customHeight="1">
      <c r="A225" s="203"/>
      <c r="B225" s="206">
        <v>63</v>
      </c>
      <c r="C225" s="205" t="s">
        <v>180</v>
      </c>
      <c r="D225" s="206" t="s">
        <v>337</v>
      </c>
      <c r="E225" s="200">
        <v>2000000000</v>
      </c>
      <c r="F225" s="200">
        <v>0</v>
      </c>
      <c r="G225" s="200">
        <v>2000000000</v>
      </c>
      <c r="H225" s="200">
        <f t="shared" si="3"/>
        <v>0</v>
      </c>
      <c r="I225" s="201">
        <v>4.8</v>
      </c>
      <c r="J225" s="216" t="s">
        <v>219</v>
      </c>
    </row>
    <row r="226" spans="1:10" ht="14.25" customHeight="1" thickBot="1">
      <c r="A226" s="269"/>
      <c r="B226" s="287" t="s">
        <v>338</v>
      </c>
      <c r="C226" s="286" t="s">
        <v>273</v>
      </c>
      <c r="D226" s="287" t="s">
        <v>339</v>
      </c>
      <c r="E226" s="268">
        <v>59345000</v>
      </c>
      <c r="F226" s="268">
        <v>0</v>
      </c>
      <c r="G226" s="268">
        <v>59345000</v>
      </c>
      <c r="H226" s="200">
        <f t="shared" si="3"/>
        <v>0</v>
      </c>
      <c r="I226" s="288" t="s">
        <v>274</v>
      </c>
      <c r="J226" s="300" t="s">
        <v>232</v>
      </c>
    </row>
    <row r="227" spans="1:10" ht="9.75" customHeight="1" thickBot="1">
      <c r="A227" s="257"/>
      <c r="B227" s="258"/>
      <c r="C227" s="257"/>
      <c r="D227" s="258"/>
      <c r="E227" s="259"/>
      <c r="F227" s="259"/>
      <c r="G227" s="259"/>
      <c r="H227" s="259"/>
      <c r="I227" s="260"/>
      <c r="J227" s="261"/>
    </row>
    <row r="228" spans="1:10">
      <c r="A228" s="479" t="s">
        <v>85</v>
      </c>
      <c r="B228" s="481" t="s">
        <v>311</v>
      </c>
      <c r="C228" s="483" t="s">
        <v>86</v>
      </c>
      <c r="D228" s="481" t="s">
        <v>312</v>
      </c>
      <c r="E228" s="485" t="s">
        <v>87</v>
      </c>
      <c r="F228" s="487" t="s">
        <v>88</v>
      </c>
      <c r="G228" s="493"/>
      <c r="H228" s="489" t="s">
        <v>174</v>
      </c>
      <c r="I228" s="491" t="s">
        <v>89</v>
      </c>
      <c r="J228" s="477" t="s">
        <v>313</v>
      </c>
    </row>
    <row r="229" spans="1:10">
      <c r="A229" s="480"/>
      <c r="B229" s="482"/>
      <c r="C229" s="484"/>
      <c r="D229" s="482"/>
      <c r="E229" s="486"/>
      <c r="F229" s="207" t="s">
        <v>176</v>
      </c>
      <c r="G229" s="207" t="s">
        <v>305</v>
      </c>
      <c r="H229" s="490"/>
      <c r="I229" s="492"/>
      <c r="J229" s="478"/>
    </row>
    <row r="230" spans="1:10">
      <c r="A230" s="209"/>
      <c r="B230" s="210"/>
      <c r="C230" s="210"/>
      <c r="D230" s="211" t="s">
        <v>177</v>
      </c>
      <c r="E230" s="212" t="s">
        <v>178</v>
      </c>
      <c r="F230" s="212" t="s">
        <v>172</v>
      </c>
      <c r="G230" s="212" t="s">
        <v>178</v>
      </c>
      <c r="H230" s="212" t="s">
        <v>178</v>
      </c>
      <c r="I230" s="213" t="s">
        <v>90</v>
      </c>
      <c r="J230" s="214" t="s">
        <v>175</v>
      </c>
    </row>
    <row r="231" spans="1:10" ht="14.25" customHeight="1">
      <c r="A231" s="215" t="s">
        <v>497</v>
      </c>
      <c r="B231" s="206" t="s">
        <v>520</v>
      </c>
      <c r="C231" s="205" t="s">
        <v>189</v>
      </c>
      <c r="D231" s="204" t="s">
        <v>693</v>
      </c>
      <c r="E231" s="200">
        <v>496000000</v>
      </c>
      <c r="F231" s="200">
        <v>27141017</v>
      </c>
      <c r="G231" s="200">
        <f>327908466+F231</f>
        <v>355049483</v>
      </c>
      <c r="H231" s="200">
        <f t="shared" ref="H231:H286" si="4">E231-G231</f>
        <v>140950517</v>
      </c>
      <c r="I231" s="201">
        <v>5.2</v>
      </c>
      <c r="J231" s="202" t="s">
        <v>277</v>
      </c>
    </row>
    <row r="232" spans="1:10" ht="14.25" customHeight="1">
      <c r="A232" s="203" t="s">
        <v>182</v>
      </c>
      <c r="B232" s="206" t="s">
        <v>521</v>
      </c>
      <c r="C232" s="205" t="s">
        <v>273</v>
      </c>
      <c r="D232" s="206" t="s">
        <v>522</v>
      </c>
      <c r="E232" s="200">
        <v>107596000</v>
      </c>
      <c r="F232" s="200">
        <v>0</v>
      </c>
      <c r="G232" s="200">
        <v>107596000</v>
      </c>
      <c r="H232" s="200">
        <f t="shared" si="4"/>
        <v>0</v>
      </c>
      <c r="I232" s="201" t="s">
        <v>274</v>
      </c>
      <c r="J232" s="202" t="s">
        <v>232</v>
      </c>
    </row>
    <row r="233" spans="1:10" ht="14.25" customHeight="1">
      <c r="A233" s="203"/>
      <c r="B233" s="206" t="s">
        <v>520</v>
      </c>
      <c r="C233" s="205" t="s">
        <v>185</v>
      </c>
      <c r="D233" s="206" t="s">
        <v>523</v>
      </c>
      <c r="E233" s="200">
        <v>198703790</v>
      </c>
      <c r="F233" s="200">
        <v>0</v>
      </c>
      <c r="G233" s="200">
        <v>198703790</v>
      </c>
      <c r="H233" s="200">
        <f t="shared" si="4"/>
        <v>0</v>
      </c>
      <c r="I233" s="201">
        <v>5.4</v>
      </c>
      <c r="J233" s="202" t="s">
        <v>1044</v>
      </c>
    </row>
    <row r="234" spans="1:10" ht="14.25" customHeight="1">
      <c r="A234" s="203"/>
      <c r="B234" s="204">
        <v>63</v>
      </c>
      <c r="C234" s="205" t="s">
        <v>273</v>
      </c>
      <c r="D234" s="206" t="s">
        <v>524</v>
      </c>
      <c r="E234" s="200">
        <v>19261000</v>
      </c>
      <c r="F234" s="200">
        <v>0</v>
      </c>
      <c r="G234" s="200">
        <v>19261000</v>
      </c>
      <c r="H234" s="200">
        <f t="shared" si="4"/>
        <v>0</v>
      </c>
      <c r="I234" s="201" t="s">
        <v>274</v>
      </c>
      <c r="J234" s="202" t="s">
        <v>228</v>
      </c>
    </row>
    <row r="235" spans="1:10" ht="14.25" customHeight="1">
      <c r="A235" s="203"/>
      <c r="B235" s="206" t="s">
        <v>521</v>
      </c>
      <c r="C235" s="205" t="s">
        <v>266</v>
      </c>
      <c r="D235" s="206" t="s">
        <v>525</v>
      </c>
      <c r="E235" s="200">
        <v>1000000000</v>
      </c>
      <c r="F235" s="200">
        <v>0</v>
      </c>
      <c r="G235" s="200">
        <v>1000000000</v>
      </c>
      <c r="H235" s="200">
        <f t="shared" si="4"/>
        <v>0</v>
      </c>
      <c r="I235" s="201">
        <v>6.6</v>
      </c>
      <c r="J235" s="202" t="s">
        <v>232</v>
      </c>
    </row>
    <row r="236" spans="1:10" ht="14.25" customHeight="1">
      <c r="A236" s="203"/>
      <c r="B236" s="204" t="s">
        <v>278</v>
      </c>
      <c r="C236" s="205" t="s">
        <v>273</v>
      </c>
      <c r="D236" s="206" t="s">
        <v>525</v>
      </c>
      <c r="E236" s="200">
        <v>282931000</v>
      </c>
      <c r="F236" s="200">
        <v>0</v>
      </c>
      <c r="G236" s="200">
        <v>282931000</v>
      </c>
      <c r="H236" s="200">
        <f t="shared" si="4"/>
        <v>0</v>
      </c>
      <c r="I236" s="201" t="s">
        <v>274</v>
      </c>
      <c r="J236" s="202" t="s">
        <v>232</v>
      </c>
    </row>
    <row r="237" spans="1:10" ht="14.25" customHeight="1">
      <c r="A237" s="203"/>
      <c r="B237" s="204" t="s">
        <v>278</v>
      </c>
      <c r="C237" s="205" t="s">
        <v>189</v>
      </c>
      <c r="D237" s="206" t="s">
        <v>526</v>
      </c>
      <c r="E237" s="200">
        <v>350000000</v>
      </c>
      <c r="F237" s="200">
        <v>0</v>
      </c>
      <c r="G237" s="200">
        <v>350000000</v>
      </c>
      <c r="H237" s="200">
        <f t="shared" si="4"/>
        <v>0</v>
      </c>
      <c r="I237" s="201">
        <v>6.3</v>
      </c>
      <c r="J237" s="202" t="s">
        <v>277</v>
      </c>
    </row>
    <row r="238" spans="1:10" ht="14.25" customHeight="1">
      <c r="A238" s="203"/>
      <c r="B238" s="204" t="s">
        <v>278</v>
      </c>
      <c r="C238" s="205" t="s">
        <v>273</v>
      </c>
      <c r="D238" s="206" t="s">
        <v>527</v>
      </c>
      <c r="E238" s="200">
        <v>276396000</v>
      </c>
      <c r="F238" s="200">
        <v>0</v>
      </c>
      <c r="G238" s="200">
        <v>276396000</v>
      </c>
      <c r="H238" s="200">
        <f t="shared" si="4"/>
        <v>0</v>
      </c>
      <c r="I238" s="201" t="s">
        <v>274</v>
      </c>
      <c r="J238" s="202" t="s">
        <v>232</v>
      </c>
    </row>
    <row r="239" spans="1:10" ht="14.25" customHeight="1">
      <c r="A239" s="203"/>
      <c r="B239" s="206">
        <v>2</v>
      </c>
      <c r="C239" s="205" t="s">
        <v>273</v>
      </c>
      <c r="D239" s="206" t="s">
        <v>528</v>
      </c>
      <c r="E239" s="200">
        <v>10779000</v>
      </c>
      <c r="F239" s="200">
        <v>0</v>
      </c>
      <c r="G239" s="200">
        <v>10779000</v>
      </c>
      <c r="H239" s="200">
        <f t="shared" si="4"/>
        <v>0</v>
      </c>
      <c r="I239" s="201" t="s">
        <v>274</v>
      </c>
      <c r="J239" s="202" t="s">
        <v>235</v>
      </c>
    </row>
    <row r="240" spans="1:10" ht="14.25" customHeight="1">
      <c r="A240" s="203"/>
      <c r="B240" s="204" t="s">
        <v>278</v>
      </c>
      <c r="C240" s="205" t="s">
        <v>185</v>
      </c>
      <c r="D240" s="206" t="s">
        <v>529</v>
      </c>
      <c r="E240" s="200">
        <v>341106218</v>
      </c>
      <c r="F240" s="200">
        <v>0</v>
      </c>
      <c r="G240" s="200">
        <v>341106218</v>
      </c>
      <c r="H240" s="200">
        <f t="shared" si="4"/>
        <v>0</v>
      </c>
      <c r="I240" s="201">
        <v>6.6</v>
      </c>
      <c r="J240" s="216" t="s">
        <v>469</v>
      </c>
    </row>
    <row r="241" spans="1:10" ht="14.25" customHeight="1">
      <c r="A241" s="203"/>
      <c r="B241" s="206">
        <v>2</v>
      </c>
      <c r="C241" s="205" t="s">
        <v>266</v>
      </c>
      <c r="D241" s="206" t="s">
        <v>529</v>
      </c>
      <c r="E241" s="200">
        <v>400000000</v>
      </c>
      <c r="F241" s="200">
        <v>0</v>
      </c>
      <c r="G241" s="200">
        <v>400000000</v>
      </c>
      <c r="H241" s="200">
        <f t="shared" si="4"/>
        <v>0</v>
      </c>
      <c r="I241" s="201">
        <v>6.4</v>
      </c>
      <c r="J241" s="202" t="s">
        <v>235</v>
      </c>
    </row>
    <row r="242" spans="1:10" ht="14.25" customHeight="1">
      <c r="A242" s="203"/>
      <c r="B242" s="204" t="s">
        <v>278</v>
      </c>
      <c r="C242" s="205" t="s">
        <v>273</v>
      </c>
      <c r="D242" s="206" t="s">
        <v>530</v>
      </c>
      <c r="E242" s="200">
        <v>46394000</v>
      </c>
      <c r="F242" s="200">
        <v>0</v>
      </c>
      <c r="G242" s="200">
        <v>46394000</v>
      </c>
      <c r="H242" s="200">
        <f t="shared" si="4"/>
        <v>0</v>
      </c>
      <c r="I242" s="201" t="s">
        <v>274</v>
      </c>
      <c r="J242" s="202" t="s">
        <v>232</v>
      </c>
    </row>
    <row r="243" spans="1:10" ht="14.25" customHeight="1">
      <c r="A243" s="203"/>
      <c r="B243" s="204" t="s">
        <v>278</v>
      </c>
      <c r="C243" s="205" t="s">
        <v>189</v>
      </c>
      <c r="D243" s="206" t="s">
        <v>531</v>
      </c>
      <c r="E243" s="200">
        <v>574000000</v>
      </c>
      <c r="F243" s="200">
        <v>0</v>
      </c>
      <c r="G243" s="200">
        <v>574000000</v>
      </c>
      <c r="H243" s="200">
        <f t="shared" si="4"/>
        <v>0</v>
      </c>
      <c r="I243" s="201">
        <v>6.7</v>
      </c>
      <c r="J243" s="202" t="s">
        <v>280</v>
      </c>
    </row>
    <row r="244" spans="1:10" ht="14.25" customHeight="1">
      <c r="A244" s="203"/>
      <c r="B244" s="206">
        <v>2</v>
      </c>
      <c r="C244" s="205" t="s">
        <v>189</v>
      </c>
      <c r="D244" s="206" t="s">
        <v>531</v>
      </c>
      <c r="E244" s="200">
        <v>1200000000</v>
      </c>
      <c r="F244" s="200">
        <v>0</v>
      </c>
      <c r="G244" s="200">
        <v>1200000000</v>
      </c>
      <c r="H244" s="200">
        <f t="shared" si="4"/>
        <v>0</v>
      </c>
      <c r="I244" s="201">
        <v>6.65</v>
      </c>
      <c r="J244" s="202" t="s">
        <v>280</v>
      </c>
    </row>
    <row r="245" spans="1:10" ht="14.25" customHeight="1">
      <c r="A245" s="203"/>
      <c r="B245" s="206">
        <v>2</v>
      </c>
      <c r="C245" s="205" t="s">
        <v>273</v>
      </c>
      <c r="D245" s="206" t="s">
        <v>532</v>
      </c>
      <c r="E245" s="200">
        <v>58974000</v>
      </c>
      <c r="F245" s="200">
        <v>0</v>
      </c>
      <c r="G245" s="200">
        <v>58974000</v>
      </c>
      <c r="H245" s="200">
        <f t="shared" si="4"/>
        <v>0</v>
      </c>
      <c r="I245" s="201" t="s">
        <v>274</v>
      </c>
      <c r="J245" s="202" t="s">
        <v>235</v>
      </c>
    </row>
    <row r="246" spans="1:10" ht="14.25" customHeight="1">
      <c r="A246" s="203"/>
      <c r="B246" s="206">
        <v>3</v>
      </c>
      <c r="C246" s="205" t="s">
        <v>273</v>
      </c>
      <c r="D246" s="206" t="s">
        <v>533</v>
      </c>
      <c r="E246" s="200">
        <v>84612000</v>
      </c>
      <c r="F246" s="200">
        <v>0</v>
      </c>
      <c r="G246" s="200">
        <v>84612000</v>
      </c>
      <c r="H246" s="200">
        <f t="shared" si="4"/>
        <v>0</v>
      </c>
      <c r="I246" s="201" t="s">
        <v>274</v>
      </c>
      <c r="J246" s="202" t="s">
        <v>239</v>
      </c>
    </row>
    <row r="247" spans="1:10" ht="14.25" customHeight="1">
      <c r="A247" s="203"/>
      <c r="B247" s="206">
        <v>2</v>
      </c>
      <c r="C247" s="205" t="s">
        <v>185</v>
      </c>
      <c r="D247" s="206" t="s">
        <v>534</v>
      </c>
      <c r="E247" s="200">
        <v>923000000</v>
      </c>
      <c r="F247" s="200">
        <v>40290969</v>
      </c>
      <c r="G247" s="200">
        <f>402398998+F247</f>
        <v>442689967</v>
      </c>
      <c r="H247" s="200">
        <f t="shared" si="4"/>
        <v>480310033</v>
      </c>
      <c r="I247" s="201">
        <v>5.5</v>
      </c>
      <c r="J247" s="202" t="s">
        <v>282</v>
      </c>
    </row>
    <row r="248" spans="1:10" ht="14.25" customHeight="1">
      <c r="A248" s="203"/>
      <c r="B248" s="206">
        <v>3</v>
      </c>
      <c r="C248" s="205" t="s">
        <v>266</v>
      </c>
      <c r="D248" s="206" t="s">
        <v>534</v>
      </c>
      <c r="E248" s="200">
        <v>400000000</v>
      </c>
      <c r="F248" s="200">
        <v>0</v>
      </c>
      <c r="G248" s="200">
        <v>400000000</v>
      </c>
      <c r="H248" s="200">
        <f t="shared" si="4"/>
        <v>0</v>
      </c>
      <c r="I248" s="201">
        <v>5.7</v>
      </c>
      <c r="J248" s="202" t="s">
        <v>239</v>
      </c>
    </row>
    <row r="249" spans="1:10" ht="14.25" customHeight="1">
      <c r="A249" s="203"/>
      <c r="B249" s="206">
        <v>2</v>
      </c>
      <c r="C249" s="205" t="s">
        <v>189</v>
      </c>
      <c r="D249" s="206" t="s">
        <v>535</v>
      </c>
      <c r="E249" s="200">
        <v>1451000000</v>
      </c>
      <c r="F249" s="200">
        <v>73641479</v>
      </c>
      <c r="G249" s="200">
        <f>730496526+F249</f>
        <v>804138005</v>
      </c>
      <c r="H249" s="200">
        <f t="shared" si="4"/>
        <v>646861995</v>
      </c>
      <c r="I249" s="201">
        <v>5.6</v>
      </c>
      <c r="J249" s="202" t="s">
        <v>283</v>
      </c>
    </row>
    <row r="250" spans="1:10" ht="14.25" customHeight="1">
      <c r="A250" s="203"/>
      <c r="B250" s="206">
        <v>3</v>
      </c>
      <c r="C250" s="205" t="s">
        <v>189</v>
      </c>
      <c r="D250" s="206" t="s">
        <v>535</v>
      </c>
      <c r="E250" s="200">
        <v>2000000000</v>
      </c>
      <c r="F250" s="200">
        <v>101504450</v>
      </c>
      <c r="G250" s="200">
        <f>1006887012+F250</f>
        <v>1108391462</v>
      </c>
      <c r="H250" s="200">
        <f t="shared" si="4"/>
        <v>891608538</v>
      </c>
      <c r="I250" s="201">
        <v>5.6</v>
      </c>
      <c r="J250" s="202" t="s">
        <v>283</v>
      </c>
    </row>
    <row r="251" spans="1:10" ht="14.25" customHeight="1">
      <c r="A251" s="203"/>
      <c r="B251" s="206">
        <v>2</v>
      </c>
      <c r="C251" s="205" t="s">
        <v>273</v>
      </c>
      <c r="D251" s="206" t="s">
        <v>536</v>
      </c>
      <c r="E251" s="200">
        <v>11224000</v>
      </c>
      <c r="F251" s="200">
        <v>0</v>
      </c>
      <c r="G251" s="200">
        <v>11224000</v>
      </c>
      <c r="H251" s="200">
        <f t="shared" si="4"/>
        <v>0</v>
      </c>
      <c r="I251" s="201" t="s">
        <v>274</v>
      </c>
      <c r="J251" s="202" t="s">
        <v>235</v>
      </c>
    </row>
    <row r="252" spans="1:10" ht="14.25" customHeight="1">
      <c r="A252" s="203"/>
      <c r="B252" s="206">
        <v>3</v>
      </c>
      <c r="C252" s="205" t="s">
        <v>273</v>
      </c>
      <c r="D252" s="206" t="s">
        <v>536</v>
      </c>
      <c r="E252" s="200">
        <v>224672000</v>
      </c>
      <c r="F252" s="200">
        <v>0</v>
      </c>
      <c r="G252" s="200">
        <v>224672000</v>
      </c>
      <c r="H252" s="200">
        <f t="shared" si="4"/>
        <v>0</v>
      </c>
      <c r="I252" s="201" t="s">
        <v>274</v>
      </c>
      <c r="J252" s="202" t="s">
        <v>239</v>
      </c>
    </row>
    <row r="253" spans="1:10" ht="14.25" customHeight="1">
      <c r="A253" s="203"/>
      <c r="B253" s="206">
        <v>4</v>
      </c>
      <c r="C253" s="205" t="s">
        <v>266</v>
      </c>
      <c r="D253" s="206" t="s">
        <v>537</v>
      </c>
      <c r="E253" s="200">
        <v>567000000</v>
      </c>
      <c r="F253" s="200">
        <v>0</v>
      </c>
      <c r="G253" s="200">
        <v>567000000</v>
      </c>
      <c r="H253" s="200">
        <f t="shared" si="4"/>
        <v>0</v>
      </c>
      <c r="I253" s="201">
        <v>4.3</v>
      </c>
      <c r="J253" s="202" t="s">
        <v>242</v>
      </c>
    </row>
    <row r="254" spans="1:10" ht="14.25" customHeight="1">
      <c r="A254" s="203"/>
      <c r="B254" s="206">
        <v>3</v>
      </c>
      <c r="C254" s="205" t="s">
        <v>185</v>
      </c>
      <c r="D254" s="206" t="s">
        <v>538</v>
      </c>
      <c r="E254" s="200">
        <v>1920000000</v>
      </c>
      <c r="F254" s="200">
        <v>79796356</v>
      </c>
      <c r="G254" s="200">
        <f>818485752+F254</f>
        <v>898282108</v>
      </c>
      <c r="H254" s="200">
        <f t="shared" si="4"/>
        <v>1021717892</v>
      </c>
      <c r="I254" s="201">
        <v>4.4000000000000004</v>
      </c>
      <c r="J254" s="202" t="s">
        <v>284</v>
      </c>
    </row>
    <row r="255" spans="1:10" ht="14.25" customHeight="1">
      <c r="A255" s="203"/>
      <c r="B255" s="206">
        <v>3</v>
      </c>
      <c r="C255" s="205" t="s">
        <v>189</v>
      </c>
      <c r="D255" s="206" t="s">
        <v>539</v>
      </c>
      <c r="E255" s="200">
        <v>560000000</v>
      </c>
      <c r="F255" s="200">
        <v>26634897</v>
      </c>
      <c r="G255" s="200">
        <f>272292636+F255</f>
        <v>298927533</v>
      </c>
      <c r="H255" s="200">
        <f t="shared" si="4"/>
        <v>261072467</v>
      </c>
      <c r="I255" s="201">
        <v>4.45</v>
      </c>
      <c r="J255" s="202" t="s">
        <v>285</v>
      </c>
    </row>
    <row r="256" spans="1:10" ht="14.25" customHeight="1">
      <c r="A256" s="203"/>
      <c r="B256" s="206">
        <v>4</v>
      </c>
      <c r="C256" s="205" t="s">
        <v>189</v>
      </c>
      <c r="D256" s="206" t="s">
        <v>539</v>
      </c>
      <c r="E256" s="200">
        <v>1000000</v>
      </c>
      <c r="F256" s="200">
        <v>47588</v>
      </c>
      <c r="G256" s="200">
        <f>484882+F256</f>
        <v>532470</v>
      </c>
      <c r="H256" s="200">
        <f t="shared" si="4"/>
        <v>467530</v>
      </c>
      <c r="I256" s="201">
        <v>4.5</v>
      </c>
      <c r="J256" s="202" t="s">
        <v>285</v>
      </c>
    </row>
    <row r="257" spans="1:10" ht="14.25" customHeight="1">
      <c r="A257" s="215"/>
      <c r="B257" s="206">
        <v>4</v>
      </c>
      <c r="C257" s="205" t="s">
        <v>189</v>
      </c>
      <c r="D257" s="206" t="s">
        <v>539</v>
      </c>
      <c r="E257" s="200">
        <v>4498000000</v>
      </c>
      <c r="F257" s="200">
        <v>213935298</v>
      </c>
      <c r="G257" s="200">
        <f>2187093339+F257</f>
        <v>2401028637</v>
      </c>
      <c r="H257" s="200">
        <f t="shared" si="4"/>
        <v>2096971363</v>
      </c>
      <c r="I257" s="201">
        <v>4.45</v>
      </c>
      <c r="J257" s="202" t="s">
        <v>285</v>
      </c>
    </row>
    <row r="258" spans="1:10" ht="14.25" customHeight="1">
      <c r="A258" s="203"/>
      <c r="B258" s="206">
        <v>4</v>
      </c>
      <c r="C258" s="205" t="s">
        <v>185</v>
      </c>
      <c r="D258" s="206" t="s">
        <v>540</v>
      </c>
      <c r="E258" s="200">
        <v>8780000000</v>
      </c>
      <c r="F258" s="200">
        <v>352038044</v>
      </c>
      <c r="G258" s="200">
        <f>3585429321+F258</f>
        <v>3937467365</v>
      </c>
      <c r="H258" s="200">
        <f t="shared" si="4"/>
        <v>4842532635</v>
      </c>
      <c r="I258" s="201">
        <v>3.65</v>
      </c>
      <c r="J258" s="202" t="s">
        <v>286</v>
      </c>
    </row>
    <row r="259" spans="1:10" ht="14.25" customHeight="1">
      <c r="A259" s="203"/>
      <c r="B259" s="206">
        <v>4</v>
      </c>
      <c r="C259" s="205" t="s">
        <v>189</v>
      </c>
      <c r="D259" s="206" t="s">
        <v>540</v>
      </c>
      <c r="E259" s="200">
        <v>1354000000</v>
      </c>
      <c r="F259" s="200">
        <v>61513184</v>
      </c>
      <c r="G259" s="200">
        <f>624504369+F259</f>
        <v>686017553</v>
      </c>
      <c r="H259" s="200">
        <f t="shared" si="4"/>
        <v>667982447</v>
      </c>
      <c r="I259" s="201">
        <v>3.7</v>
      </c>
      <c r="J259" s="202" t="s">
        <v>282</v>
      </c>
    </row>
    <row r="260" spans="1:10" ht="14.25" customHeight="1">
      <c r="A260" s="215"/>
      <c r="B260" s="206">
        <v>5</v>
      </c>
      <c r="C260" s="205" t="s">
        <v>189</v>
      </c>
      <c r="D260" s="206" t="s">
        <v>540</v>
      </c>
      <c r="E260" s="200">
        <v>3928000000</v>
      </c>
      <c r="F260" s="200">
        <v>178451839</v>
      </c>
      <c r="G260" s="200">
        <f>1811708390+F260</f>
        <v>1990160229</v>
      </c>
      <c r="H260" s="200">
        <f t="shared" si="4"/>
        <v>1937839771</v>
      </c>
      <c r="I260" s="201">
        <v>3.7</v>
      </c>
      <c r="J260" s="202" t="s">
        <v>282</v>
      </c>
    </row>
    <row r="261" spans="1:10" ht="14.25" customHeight="1">
      <c r="A261" s="203"/>
      <c r="B261" s="206">
        <v>5</v>
      </c>
      <c r="C261" s="205" t="s">
        <v>266</v>
      </c>
      <c r="D261" s="206" t="s">
        <v>541</v>
      </c>
      <c r="E261" s="200">
        <v>744000000</v>
      </c>
      <c r="F261" s="200">
        <v>0</v>
      </c>
      <c r="G261" s="200">
        <v>744000000</v>
      </c>
      <c r="H261" s="200">
        <f t="shared" si="4"/>
        <v>0</v>
      </c>
      <c r="I261" s="201">
        <v>4.4000000000000004</v>
      </c>
      <c r="J261" s="202" t="s">
        <v>246</v>
      </c>
    </row>
    <row r="262" spans="1:10" ht="14.25" customHeight="1">
      <c r="A262" s="203"/>
      <c r="B262" s="206" t="s">
        <v>542</v>
      </c>
      <c r="C262" s="205" t="s">
        <v>266</v>
      </c>
      <c r="D262" s="206" t="s">
        <v>543</v>
      </c>
      <c r="E262" s="200">
        <v>580000000</v>
      </c>
      <c r="F262" s="200">
        <v>0</v>
      </c>
      <c r="G262" s="200">
        <v>580000000</v>
      </c>
      <c r="H262" s="200">
        <f t="shared" si="4"/>
        <v>0</v>
      </c>
      <c r="I262" s="201">
        <v>4.5</v>
      </c>
      <c r="J262" s="202" t="s">
        <v>244</v>
      </c>
    </row>
    <row r="263" spans="1:10" ht="14.25" customHeight="1">
      <c r="A263" s="262"/>
      <c r="B263" s="206" t="s">
        <v>544</v>
      </c>
      <c r="C263" s="205" t="s">
        <v>185</v>
      </c>
      <c r="D263" s="206" t="s">
        <v>545</v>
      </c>
      <c r="E263" s="200">
        <v>6664000000</v>
      </c>
      <c r="F263" s="200">
        <v>252460261</v>
      </c>
      <c r="G263" s="200">
        <f>2275440097+F263</f>
        <v>2527900358</v>
      </c>
      <c r="H263" s="200">
        <f t="shared" si="4"/>
        <v>4136099642</v>
      </c>
      <c r="I263" s="201">
        <v>4.6500000000000004</v>
      </c>
      <c r="J263" s="202" t="s">
        <v>287</v>
      </c>
    </row>
    <row r="264" spans="1:10" ht="14.25" customHeight="1">
      <c r="A264" s="203"/>
      <c r="B264" s="206">
        <v>5</v>
      </c>
      <c r="C264" s="205" t="s">
        <v>189</v>
      </c>
      <c r="D264" s="206" t="s">
        <v>105</v>
      </c>
      <c r="E264" s="200">
        <v>2736000000</v>
      </c>
      <c r="F264" s="200">
        <v>118887638</v>
      </c>
      <c r="G264" s="200">
        <f>1068430091+F264</f>
        <v>1187317729</v>
      </c>
      <c r="H264" s="200">
        <f t="shared" si="4"/>
        <v>1548682271</v>
      </c>
      <c r="I264" s="201">
        <v>4.7</v>
      </c>
      <c r="J264" s="202" t="s">
        <v>284</v>
      </c>
    </row>
    <row r="265" spans="1:10" ht="14.25" customHeight="1">
      <c r="A265" s="215"/>
      <c r="B265" s="206" t="s">
        <v>546</v>
      </c>
      <c r="C265" s="205" t="s">
        <v>266</v>
      </c>
      <c r="D265" s="206" t="s">
        <v>547</v>
      </c>
      <c r="E265" s="200">
        <v>580000000</v>
      </c>
      <c r="F265" s="200">
        <v>0</v>
      </c>
      <c r="G265" s="200">
        <v>580000000</v>
      </c>
      <c r="H265" s="200">
        <f t="shared" si="4"/>
        <v>0</v>
      </c>
      <c r="I265" s="201">
        <v>3</v>
      </c>
      <c r="J265" s="202" t="s">
        <v>247</v>
      </c>
    </row>
    <row r="266" spans="1:10" ht="14.25" customHeight="1">
      <c r="A266" s="203"/>
      <c r="B266" s="204">
        <v>63</v>
      </c>
      <c r="C266" s="263" t="s">
        <v>180</v>
      </c>
      <c r="D266" s="206" t="s">
        <v>548</v>
      </c>
      <c r="E266" s="200">
        <v>1400000000</v>
      </c>
      <c r="F266" s="200">
        <v>0</v>
      </c>
      <c r="G266" s="200">
        <v>1400000000</v>
      </c>
      <c r="H266" s="200">
        <f t="shared" si="4"/>
        <v>0</v>
      </c>
      <c r="I266" s="201">
        <v>3.3</v>
      </c>
      <c r="J266" s="202" t="s">
        <v>247</v>
      </c>
    </row>
    <row r="267" spans="1:10" ht="14.25" customHeight="1">
      <c r="A267" s="203"/>
      <c r="B267" s="204">
        <v>61</v>
      </c>
      <c r="C267" s="264" t="s">
        <v>266</v>
      </c>
      <c r="D267" s="206" t="s">
        <v>549</v>
      </c>
      <c r="E267" s="200">
        <v>1151000000</v>
      </c>
      <c r="F267" s="200">
        <v>0</v>
      </c>
      <c r="G267" s="200">
        <v>1151000000</v>
      </c>
      <c r="H267" s="200">
        <f t="shared" si="4"/>
        <v>0</v>
      </c>
      <c r="I267" s="201">
        <v>3.4</v>
      </c>
      <c r="J267" s="216" t="s">
        <v>249</v>
      </c>
    </row>
    <row r="268" spans="1:10" ht="14.25" customHeight="1">
      <c r="A268" s="203"/>
      <c r="B268" s="204">
        <v>62</v>
      </c>
      <c r="C268" s="264" t="s">
        <v>266</v>
      </c>
      <c r="D268" s="206" t="s">
        <v>550</v>
      </c>
      <c r="E268" s="200">
        <v>580000000</v>
      </c>
      <c r="F268" s="200">
        <v>0</v>
      </c>
      <c r="G268" s="200">
        <v>580000000</v>
      </c>
      <c r="H268" s="200">
        <f t="shared" si="4"/>
        <v>0</v>
      </c>
      <c r="I268" s="201">
        <v>2.5</v>
      </c>
      <c r="J268" s="216" t="s">
        <v>251</v>
      </c>
    </row>
    <row r="269" spans="1:10" ht="14.25" customHeight="1">
      <c r="A269" s="203"/>
      <c r="B269" s="206" t="s">
        <v>314</v>
      </c>
      <c r="C269" s="264" t="s">
        <v>266</v>
      </c>
      <c r="D269" s="206" t="s">
        <v>646</v>
      </c>
      <c r="E269" s="200">
        <v>579000000</v>
      </c>
      <c r="F269" s="200">
        <v>0</v>
      </c>
      <c r="G269" s="200">
        <v>579000000</v>
      </c>
      <c r="H269" s="200">
        <f t="shared" si="4"/>
        <v>0</v>
      </c>
      <c r="I269" s="201">
        <v>1.8</v>
      </c>
      <c r="J269" s="216" t="s">
        <v>492</v>
      </c>
    </row>
    <row r="270" spans="1:10" ht="14.25" customHeight="1">
      <c r="A270" s="203"/>
      <c r="B270" s="206">
        <v>4</v>
      </c>
      <c r="C270" s="264" t="s">
        <v>266</v>
      </c>
      <c r="D270" s="206" t="s">
        <v>647</v>
      </c>
      <c r="E270" s="200">
        <v>328000000</v>
      </c>
      <c r="F270" s="200">
        <v>328000000</v>
      </c>
      <c r="G270" s="200">
        <f>F270</f>
        <v>328000000</v>
      </c>
      <c r="H270" s="200">
        <f t="shared" si="4"/>
        <v>0</v>
      </c>
      <c r="I270" s="201">
        <v>1.3</v>
      </c>
      <c r="J270" s="216" t="s">
        <v>608</v>
      </c>
    </row>
    <row r="271" spans="1:10" ht="14.25" customHeight="1">
      <c r="A271" s="203"/>
      <c r="B271" s="206">
        <v>5</v>
      </c>
      <c r="C271" s="264" t="s">
        <v>266</v>
      </c>
      <c r="D271" s="206" t="s">
        <v>288</v>
      </c>
      <c r="E271" s="200">
        <v>431000000</v>
      </c>
      <c r="F271" s="200">
        <v>0</v>
      </c>
      <c r="G271" s="200">
        <v>0</v>
      </c>
      <c r="H271" s="200">
        <f t="shared" si="4"/>
        <v>431000000</v>
      </c>
      <c r="I271" s="201">
        <v>0.5</v>
      </c>
      <c r="J271" s="216" t="s">
        <v>267</v>
      </c>
    </row>
    <row r="272" spans="1:10" ht="14.25" customHeight="1">
      <c r="A272" s="203"/>
      <c r="B272" s="204" t="s">
        <v>315</v>
      </c>
      <c r="C272" s="264" t="s">
        <v>163</v>
      </c>
      <c r="D272" s="206" t="s">
        <v>138</v>
      </c>
      <c r="E272" s="200">
        <v>2392586361</v>
      </c>
      <c r="F272" s="200">
        <v>0</v>
      </c>
      <c r="G272" s="200">
        <v>2392586361</v>
      </c>
      <c r="H272" s="200">
        <f t="shared" si="4"/>
        <v>0</v>
      </c>
      <c r="I272" s="201">
        <v>7.3</v>
      </c>
      <c r="J272" s="216" t="s">
        <v>638</v>
      </c>
    </row>
    <row r="273" spans="1:10" ht="14.25" customHeight="1">
      <c r="A273" s="203"/>
      <c r="B273" s="206">
        <v>58</v>
      </c>
      <c r="C273" s="264" t="s">
        <v>163</v>
      </c>
      <c r="D273" s="206" t="s">
        <v>138</v>
      </c>
      <c r="E273" s="200">
        <v>3064541455</v>
      </c>
      <c r="F273" s="200">
        <v>0</v>
      </c>
      <c r="G273" s="200">
        <v>3064541455</v>
      </c>
      <c r="H273" s="200">
        <f t="shared" si="4"/>
        <v>0</v>
      </c>
      <c r="I273" s="201">
        <v>7.1</v>
      </c>
      <c r="J273" s="202" t="s">
        <v>563</v>
      </c>
    </row>
    <row r="274" spans="1:10" ht="14.25" customHeight="1">
      <c r="A274" s="203"/>
      <c r="B274" s="204">
        <v>59</v>
      </c>
      <c r="C274" s="264" t="s">
        <v>163</v>
      </c>
      <c r="D274" s="206" t="s">
        <v>138</v>
      </c>
      <c r="E274" s="200">
        <v>1613726604</v>
      </c>
      <c r="F274" s="200">
        <v>0</v>
      </c>
      <c r="G274" s="200">
        <v>1613726604</v>
      </c>
      <c r="H274" s="200">
        <f t="shared" si="4"/>
        <v>0</v>
      </c>
      <c r="I274" s="201">
        <v>6.3</v>
      </c>
      <c r="J274" s="202" t="s">
        <v>642</v>
      </c>
    </row>
    <row r="275" spans="1:10" ht="14.25" customHeight="1">
      <c r="A275" s="203"/>
      <c r="B275" s="206">
        <v>60</v>
      </c>
      <c r="C275" s="264" t="s">
        <v>163</v>
      </c>
      <c r="D275" s="206" t="s">
        <v>138</v>
      </c>
      <c r="E275" s="200">
        <v>633208842</v>
      </c>
      <c r="F275" s="200">
        <v>56106091</v>
      </c>
      <c r="G275" s="200">
        <f>321525694+F275</f>
        <v>377631785</v>
      </c>
      <c r="H275" s="200">
        <f t="shared" si="4"/>
        <v>255577057</v>
      </c>
      <c r="I275" s="201">
        <v>5.2</v>
      </c>
      <c r="J275" s="202" t="s">
        <v>276</v>
      </c>
    </row>
    <row r="276" spans="1:10" ht="14.25" customHeight="1">
      <c r="A276" s="203"/>
      <c r="B276" s="206">
        <v>61</v>
      </c>
      <c r="C276" s="264" t="s">
        <v>163</v>
      </c>
      <c r="D276" s="206" t="s">
        <v>138</v>
      </c>
      <c r="E276" s="200">
        <v>515808158</v>
      </c>
      <c r="F276" s="200">
        <v>40982989</v>
      </c>
      <c r="G276" s="200">
        <f>236606678+F276</f>
        <v>277589667</v>
      </c>
      <c r="H276" s="200">
        <f t="shared" si="4"/>
        <v>238218491</v>
      </c>
      <c r="I276" s="201">
        <v>5</v>
      </c>
      <c r="J276" s="202" t="s">
        <v>277</v>
      </c>
    </row>
    <row r="277" spans="1:10" ht="14.25" customHeight="1">
      <c r="A277" s="203"/>
      <c r="B277" s="204">
        <v>62</v>
      </c>
      <c r="C277" s="264" t="s">
        <v>163</v>
      </c>
      <c r="D277" s="206" t="s">
        <v>138</v>
      </c>
      <c r="E277" s="200">
        <v>528495314</v>
      </c>
      <c r="F277" s="200">
        <v>37952996</v>
      </c>
      <c r="G277" s="200">
        <f>220337841+F277</f>
        <v>258290837</v>
      </c>
      <c r="H277" s="200">
        <f t="shared" si="4"/>
        <v>270204477</v>
      </c>
      <c r="I277" s="201">
        <v>4.8499999999999996</v>
      </c>
      <c r="J277" s="202" t="s">
        <v>648</v>
      </c>
    </row>
    <row r="278" spans="1:10" ht="14.25" customHeight="1">
      <c r="A278" s="203"/>
      <c r="B278" s="206">
        <v>63</v>
      </c>
      <c r="C278" s="264" t="s">
        <v>163</v>
      </c>
      <c r="D278" s="206" t="s">
        <v>289</v>
      </c>
      <c r="E278" s="200">
        <v>459296210</v>
      </c>
      <c r="F278" s="200">
        <v>31319353</v>
      </c>
      <c r="G278" s="200">
        <f>178160094+F278</f>
        <v>209479447</v>
      </c>
      <c r="H278" s="200">
        <f t="shared" si="4"/>
        <v>249816763</v>
      </c>
      <c r="I278" s="201">
        <v>5.4</v>
      </c>
      <c r="J278" s="202" t="s">
        <v>283</v>
      </c>
    </row>
    <row r="279" spans="1:10" ht="14.25" customHeight="1">
      <c r="A279" s="203"/>
      <c r="B279" s="204" t="s">
        <v>316</v>
      </c>
      <c r="C279" s="264" t="s">
        <v>163</v>
      </c>
      <c r="D279" s="204" t="s">
        <v>289</v>
      </c>
      <c r="E279" s="200">
        <v>1007893782</v>
      </c>
      <c r="F279" s="200">
        <v>0</v>
      </c>
      <c r="G279" s="200">
        <v>1007893782</v>
      </c>
      <c r="H279" s="200">
        <f t="shared" si="4"/>
        <v>0</v>
      </c>
      <c r="I279" s="201">
        <v>6.6</v>
      </c>
      <c r="J279" s="202" t="s">
        <v>642</v>
      </c>
    </row>
    <row r="280" spans="1:10" ht="14.25" customHeight="1">
      <c r="A280" s="203"/>
      <c r="B280" s="204">
        <v>18</v>
      </c>
      <c r="C280" s="264" t="s">
        <v>189</v>
      </c>
      <c r="D280" s="204" t="s">
        <v>351</v>
      </c>
      <c r="E280" s="200">
        <v>447400000</v>
      </c>
      <c r="F280" s="200">
        <v>0</v>
      </c>
      <c r="G280" s="200">
        <v>447400000</v>
      </c>
      <c r="H280" s="200">
        <f t="shared" si="4"/>
        <v>0</v>
      </c>
      <c r="I280" s="201">
        <v>2.5499999999999998</v>
      </c>
      <c r="J280" s="202" t="s">
        <v>504</v>
      </c>
    </row>
    <row r="281" spans="1:10" ht="14.25" customHeight="1">
      <c r="A281" s="203"/>
      <c r="B281" s="204">
        <v>19</v>
      </c>
      <c r="C281" s="264" t="s">
        <v>495</v>
      </c>
      <c r="D281" s="204" t="s">
        <v>496</v>
      </c>
      <c r="E281" s="200">
        <v>99300000</v>
      </c>
      <c r="F281" s="200">
        <v>0</v>
      </c>
      <c r="G281" s="200">
        <v>99300000</v>
      </c>
      <c r="H281" s="200">
        <f t="shared" si="4"/>
        <v>0</v>
      </c>
      <c r="I281" s="201">
        <v>2.4</v>
      </c>
      <c r="J281" s="202" t="s">
        <v>567</v>
      </c>
    </row>
    <row r="282" spans="1:10" ht="14.25" customHeight="1">
      <c r="A282" s="203"/>
      <c r="B282" s="204">
        <v>19</v>
      </c>
      <c r="C282" s="264" t="s">
        <v>189</v>
      </c>
      <c r="D282" s="204" t="s">
        <v>350</v>
      </c>
      <c r="E282" s="200">
        <v>385700000</v>
      </c>
      <c r="F282" s="200">
        <v>0</v>
      </c>
      <c r="G282" s="200">
        <v>385700000</v>
      </c>
      <c r="H282" s="200">
        <f t="shared" si="4"/>
        <v>0</v>
      </c>
      <c r="I282" s="201">
        <v>2.4</v>
      </c>
      <c r="J282" s="202" t="s">
        <v>263</v>
      </c>
    </row>
    <row r="283" spans="1:10" ht="14.25" customHeight="1">
      <c r="A283" s="203"/>
      <c r="B283" s="204">
        <v>19</v>
      </c>
      <c r="C283" s="264" t="s">
        <v>495</v>
      </c>
      <c r="D283" s="204" t="s">
        <v>496</v>
      </c>
      <c r="E283" s="200">
        <v>355900000</v>
      </c>
      <c r="F283" s="200">
        <v>0</v>
      </c>
      <c r="G283" s="200">
        <v>355900000</v>
      </c>
      <c r="H283" s="200">
        <f t="shared" si="4"/>
        <v>0</v>
      </c>
      <c r="I283" s="201">
        <v>2.4</v>
      </c>
      <c r="J283" s="202" t="s">
        <v>504</v>
      </c>
    </row>
    <row r="284" spans="1:10" ht="14.25" customHeight="1">
      <c r="A284" s="203"/>
      <c r="B284" s="204">
        <v>19</v>
      </c>
      <c r="C284" s="264" t="s">
        <v>495</v>
      </c>
      <c r="D284" s="204" t="s">
        <v>496</v>
      </c>
      <c r="E284" s="200">
        <v>218100000</v>
      </c>
      <c r="F284" s="200">
        <v>25405587</v>
      </c>
      <c r="G284" s="200">
        <f>192694413+F284</f>
        <v>218100000</v>
      </c>
      <c r="H284" s="200">
        <f t="shared" si="4"/>
        <v>0</v>
      </c>
      <c r="I284" s="201">
        <v>2.4</v>
      </c>
      <c r="J284" s="202" t="s">
        <v>649</v>
      </c>
    </row>
    <row r="285" spans="1:10" ht="14.25" customHeight="1">
      <c r="A285" s="203"/>
      <c r="B285" s="204">
        <v>19</v>
      </c>
      <c r="C285" s="264" t="s">
        <v>495</v>
      </c>
      <c r="D285" s="204" t="s">
        <v>496</v>
      </c>
      <c r="E285" s="200">
        <v>61300000</v>
      </c>
      <c r="F285" s="200">
        <v>12851841</v>
      </c>
      <c r="G285" s="200">
        <f>48448159+F285</f>
        <v>61300000</v>
      </c>
      <c r="H285" s="200">
        <f t="shared" si="4"/>
        <v>0</v>
      </c>
      <c r="I285" s="201">
        <v>2.4</v>
      </c>
      <c r="J285" s="202" t="s">
        <v>649</v>
      </c>
    </row>
    <row r="286" spans="1:10" ht="14.25" customHeight="1">
      <c r="A286" s="203"/>
      <c r="B286" s="204">
        <v>19</v>
      </c>
      <c r="C286" s="264" t="s">
        <v>495</v>
      </c>
      <c r="D286" s="204" t="s">
        <v>496</v>
      </c>
      <c r="E286" s="200">
        <v>285700000</v>
      </c>
      <c r="F286" s="200">
        <v>59898387</v>
      </c>
      <c r="G286" s="200">
        <f>225801613+F286</f>
        <v>285700000</v>
      </c>
      <c r="H286" s="200">
        <f t="shared" si="4"/>
        <v>0</v>
      </c>
      <c r="I286" s="201">
        <v>2.4</v>
      </c>
      <c r="J286" s="202" t="s">
        <v>649</v>
      </c>
    </row>
    <row r="287" spans="1:10" ht="14.25" customHeight="1" thickBot="1">
      <c r="A287" s="239" t="s">
        <v>376</v>
      </c>
      <c r="B287" s="240" t="s">
        <v>173</v>
      </c>
      <c r="C287" s="241" t="s">
        <v>173</v>
      </c>
      <c r="D287" s="242" t="s">
        <v>173</v>
      </c>
      <c r="E287" s="246">
        <f>SUM(E196:E226,E231:E286)</f>
        <v>86567436000</v>
      </c>
      <c r="F287" s="246">
        <f>SUM(F196:F226,F231:F286)</f>
        <v>2237037434</v>
      </c>
      <c r="G287" s="246">
        <f>SUM(G196:G226,G231:G286)</f>
        <v>66087809763</v>
      </c>
      <c r="H287" s="246">
        <f>SUM(H196:H226,H231:H286)</f>
        <v>20479626237</v>
      </c>
      <c r="I287" s="243"/>
      <c r="J287" s="244" t="s">
        <v>173</v>
      </c>
    </row>
    <row r="288" spans="1:10" ht="9.75" customHeight="1" thickBot="1">
      <c r="A288" s="252"/>
      <c r="B288" s="265"/>
      <c r="C288" s="266"/>
      <c r="D288" s="265"/>
      <c r="E288" s="253"/>
      <c r="F288" s="253"/>
      <c r="G288" s="253"/>
      <c r="H288" s="253"/>
      <c r="I288" s="255"/>
      <c r="J288" s="251"/>
    </row>
    <row r="289" spans="1:11">
      <c r="A289" s="479" t="s">
        <v>85</v>
      </c>
      <c r="B289" s="481" t="s">
        <v>311</v>
      </c>
      <c r="C289" s="483" t="s">
        <v>86</v>
      </c>
      <c r="D289" s="481" t="s">
        <v>312</v>
      </c>
      <c r="E289" s="485" t="s">
        <v>87</v>
      </c>
      <c r="F289" s="487" t="s">
        <v>88</v>
      </c>
      <c r="G289" s="493"/>
      <c r="H289" s="489" t="s">
        <v>174</v>
      </c>
      <c r="I289" s="491" t="s">
        <v>89</v>
      </c>
      <c r="J289" s="477" t="s">
        <v>313</v>
      </c>
      <c r="K289" s="267"/>
    </row>
    <row r="290" spans="1:11">
      <c r="A290" s="480"/>
      <c r="B290" s="482"/>
      <c r="C290" s="484"/>
      <c r="D290" s="482"/>
      <c r="E290" s="486"/>
      <c r="F290" s="207" t="s">
        <v>176</v>
      </c>
      <c r="G290" s="207" t="s">
        <v>305</v>
      </c>
      <c r="H290" s="490"/>
      <c r="I290" s="492"/>
      <c r="J290" s="478"/>
    </row>
    <row r="291" spans="1:11">
      <c r="A291" s="209"/>
      <c r="B291" s="210"/>
      <c r="C291" s="210"/>
      <c r="D291" s="211" t="s">
        <v>177</v>
      </c>
      <c r="E291" s="212" t="s">
        <v>178</v>
      </c>
      <c r="F291" s="212" t="s">
        <v>172</v>
      </c>
      <c r="G291" s="212" t="s">
        <v>178</v>
      </c>
      <c r="H291" s="212" t="s">
        <v>178</v>
      </c>
      <c r="I291" s="213" t="s">
        <v>90</v>
      </c>
      <c r="J291" s="214" t="s">
        <v>175</v>
      </c>
    </row>
    <row r="292" spans="1:11">
      <c r="A292" s="215" t="s">
        <v>290</v>
      </c>
      <c r="B292" s="206" t="s">
        <v>551</v>
      </c>
      <c r="C292" s="263" t="s">
        <v>180</v>
      </c>
      <c r="D292" s="206" t="s">
        <v>552</v>
      </c>
      <c r="E292" s="200">
        <v>500000000</v>
      </c>
      <c r="F292" s="200">
        <v>0</v>
      </c>
      <c r="G292" s="200">
        <v>500000000</v>
      </c>
      <c r="H292" s="200">
        <f t="shared" ref="H292:H344" si="5">E292-G292</f>
        <v>0</v>
      </c>
      <c r="I292" s="201">
        <v>8.5</v>
      </c>
      <c r="J292" s="202" t="s">
        <v>194</v>
      </c>
    </row>
    <row r="293" spans="1:11">
      <c r="A293" s="203" t="s">
        <v>182</v>
      </c>
      <c r="B293" s="204" t="s">
        <v>245</v>
      </c>
      <c r="C293" s="263" t="s">
        <v>180</v>
      </c>
      <c r="D293" s="206" t="s">
        <v>553</v>
      </c>
      <c r="E293" s="200">
        <v>400000000</v>
      </c>
      <c r="F293" s="200">
        <v>0</v>
      </c>
      <c r="G293" s="200">
        <v>400000000</v>
      </c>
      <c r="H293" s="200">
        <f t="shared" si="5"/>
        <v>0</v>
      </c>
      <c r="I293" s="201">
        <v>9.1</v>
      </c>
      <c r="J293" s="202" t="s">
        <v>198</v>
      </c>
    </row>
    <row r="294" spans="1:11" ht="14.25" customHeight="1">
      <c r="A294" s="215"/>
      <c r="B294" s="204">
        <v>49</v>
      </c>
      <c r="C294" s="263" t="s">
        <v>180</v>
      </c>
      <c r="D294" s="206" t="s">
        <v>440</v>
      </c>
      <c r="E294" s="200">
        <v>800000000</v>
      </c>
      <c r="F294" s="200">
        <v>0</v>
      </c>
      <c r="G294" s="200">
        <v>800000000</v>
      </c>
      <c r="H294" s="200">
        <f t="shared" si="5"/>
        <v>0</v>
      </c>
      <c r="I294" s="201">
        <v>9.1</v>
      </c>
      <c r="J294" s="202" t="s">
        <v>201</v>
      </c>
    </row>
    <row r="295" spans="1:11" ht="14.25" customHeight="1">
      <c r="A295" s="203"/>
      <c r="B295" s="204" t="s">
        <v>245</v>
      </c>
      <c r="C295" s="263" t="s">
        <v>180</v>
      </c>
      <c r="D295" s="206" t="s">
        <v>442</v>
      </c>
      <c r="E295" s="200">
        <v>200000000</v>
      </c>
      <c r="F295" s="200">
        <v>0</v>
      </c>
      <c r="G295" s="200">
        <v>200000000</v>
      </c>
      <c r="H295" s="200">
        <f t="shared" si="5"/>
        <v>0</v>
      </c>
      <c r="I295" s="201">
        <v>8.6</v>
      </c>
      <c r="J295" s="202" t="s">
        <v>201</v>
      </c>
    </row>
    <row r="296" spans="1:11" ht="14.25" customHeight="1">
      <c r="A296" s="203"/>
      <c r="B296" s="204" t="s">
        <v>248</v>
      </c>
      <c r="C296" s="205" t="s">
        <v>189</v>
      </c>
      <c r="D296" s="206" t="s">
        <v>554</v>
      </c>
      <c r="E296" s="200">
        <v>300000000</v>
      </c>
      <c r="F296" s="200">
        <v>0</v>
      </c>
      <c r="G296" s="200">
        <v>300000000</v>
      </c>
      <c r="H296" s="200">
        <f t="shared" si="5"/>
        <v>0</v>
      </c>
      <c r="I296" s="201">
        <v>7.7</v>
      </c>
      <c r="J296" s="202" t="s">
        <v>246</v>
      </c>
    </row>
    <row r="297" spans="1:11" ht="14.25" customHeight="1">
      <c r="A297" s="203"/>
      <c r="B297" s="204" t="s">
        <v>248</v>
      </c>
      <c r="C297" s="263" t="s">
        <v>180</v>
      </c>
      <c r="D297" s="206" t="s">
        <v>555</v>
      </c>
      <c r="E297" s="200">
        <v>500000000</v>
      </c>
      <c r="F297" s="200">
        <v>0</v>
      </c>
      <c r="G297" s="200">
        <v>500000000</v>
      </c>
      <c r="H297" s="200">
        <f t="shared" si="5"/>
        <v>0</v>
      </c>
      <c r="I297" s="201">
        <v>8.6</v>
      </c>
      <c r="J297" s="202" t="s">
        <v>201</v>
      </c>
    </row>
    <row r="298" spans="1:11" ht="14.25" customHeight="1">
      <c r="A298" s="203"/>
      <c r="B298" s="204" t="s">
        <v>248</v>
      </c>
      <c r="C298" s="263" t="s">
        <v>180</v>
      </c>
      <c r="D298" s="206" t="s">
        <v>556</v>
      </c>
      <c r="E298" s="200">
        <v>1000000000</v>
      </c>
      <c r="F298" s="200">
        <v>0</v>
      </c>
      <c r="G298" s="200">
        <v>1000000000</v>
      </c>
      <c r="H298" s="200">
        <f t="shared" si="5"/>
        <v>0</v>
      </c>
      <c r="I298" s="201">
        <v>8.6</v>
      </c>
      <c r="J298" s="202" t="s">
        <v>204</v>
      </c>
    </row>
    <row r="299" spans="1:11" ht="14.25" customHeight="1">
      <c r="A299" s="215"/>
      <c r="B299" s="204" t="s">
        <v>250</v>
      </c>
      <c r="C299" s="205" t="s">
        <v>189</v>
      </c>
      <c r="D299" s="206" t="s">
        <v>557</v>
      </c>
      <c r="E299" s="200">
        <v>1000000000</v>
      </c>
      <c r="F299" s="200">
        <v>0</v>
      </c>
      <c r="G299" s="200">
        <v>1000000000</v>
      </c>
      <c r="H299" s="200">
        <f t="shared" si="5"/>
        <v>0</v>
      </c>
      <c r="I299" s="201">
        <v>7.7</v>
      </c>
      <c r="J299" s="202" t="s">
        <v>244</v>
      </c>
    </row>
    <row r="300" spans="1:11" ht="14.25" customHeight="1">
      <c r="A300" s="215"/>
      <c r="B300" s="206" t="s">
        <v>291</v>
      </c>
      <c r="C300" s="205" t="s">
        <v>189</v>
      </c>
      <c r="D300" s="206" t="s">
        <v>558</v>
      </c>
      <c r="E300" s="200">
        <v>1100000000</v>
      </c>
      <c r="F300" s="200">
        <v>0</v>
      </c>
      <c r="G300" s="200">
        <v>1100000000</v>
      </c>
      <c r="H300" s="200">
        <f t="shared" si="5"/>
        <v>0</v>
      </c>
      <c r="I300" s="201">
        <v>6.7</v>
      </c>
      <c r="J300" s="202" t="s">
        <v>247</v>
      </c>
    </row>
    <row r="301" spans="1:11" ht="14.25" customHeight="1">
      <c r="A301" s="215"/>
      <c r="B301" s="204">
        <v>52</v>
      </c>
      <c r="C301" s="205" t="s">
        <v>189</v>
      </c>
      <c r="D301" s="204" t="s">
        <v>559</v>
      </c>
      <c r="E301" s="200">
        <v>1000000000</v>
      </c>
      <c r="F301" s="200">
        <v>0</v>
      </c>
      <c r="G301" s="200">
        <v>1000000000</v>
      </c>
      <c r="H301" s="200">
        <f t="shared" si="5"/>
        <v>0</v>
      </c>
      <c r="I301" s="201">
        <v>6.25</v>
      </c>
      <c r="J301" s="202" t="s">
        <v>247</v>
      </c>
    </row>
    <row r="302" spans="1:11" ht="14.25" customHeight="1">
      <c r="A302" s="203"/>
      <c r="B302" s="204" t="s">
        <v>252</v>
      </c>
      <c r="C302" s="205" t="s">
        <v>189</v>
      </c>
      <c r="D302" s="206" t="s">
        <v>560</v>
      </c>
      <c r="E302" s="200">
        <v>1207000000</v>
      </c>
      <c r="F302" s="200">
        <v>0</v>
      </c>
      <c r="G302" s="200">
        <v>1207000000</v>
      </c>
      <c r="H302" s="200">
        <f t="shared" si="5"/>
        <v>0</v>
      </c>
      <c r="I302" s="201">
        <v>6.25</v>
      </c>
      <c r="J302" s="202" t="s">
        <v>249</v>
      </c>
    </row>
    <row r="303" spans="1:11" ht="14.25" customHeight="1">
      <c r="A303" s="203"/>
      <c r="B303" s="204" t="s">
        <v>254</v>
      </c>
      <c r="C303" s="205" t="s">
        <v>189</v>
      </c>
      <c r="D303" s="206" t="s">
        <v>458</v>
      </c>
      <c r="E303" s="200">
        <v>1000000000</v>
      </c>
      <c r="F303" s="200">
        <v>0</v>
      </c>
      <c r="G303" s="200">
        <v>1000000000</v>
      </c>
      <c r="H303" s="200">
        <f t="shared" si="5"/>
        <v>0</v>
      </c>
      <c r="I303" s="201">
        <v>6.25</v>
      </c>
      <c r="J303" s="202" t="s">
        <v>249</v>
      </c>
    </row>
    <row r="304" spans="1:11" ht="14.25" customHeight="1">
      <c r="A304" s="203"/>
      <c r="B304" s="204" t="s">
        <v>252</v>
      </c>
      <c r="C304" s="205" t="s">
        <v>180</v>
      </c>
      <c r="D304" s="206" t="s">
        <v>561</v>
      </c>
      <c r="E304" s="200">
        <v>553000000</v>
      </c>
      <c r="F304" s="200">
        <v>0</v>
      </c>
      <c r="G304" s="200">
        <v>553000000</v>
      </c>
      <c r="H304" s="200">
        <f t="shared" si="5"/>
        <v>0</v>
      </c>
      <c r="I304" s="201">
        <v>6.6</v>
      </c>
      <c r="J304" s="202" t="s">
        <v>214</v>
      </c>
    </row>
    <row r="305" spans="1:10" ht="14.25" customHeight="1">
      <c r="A305" s="203"/>
      <c r="B305" s="204" t="s">
        <v>254</v>
      </c>
      <c r="C305" s="205" t="s">
        <v>189</v>
      </c>
      <c r="D305" s="206" t="s">
        <v>562</v>
      </c>
      <c r="E305" s="200">
        <v>1000000000</v>
      </c>
      <c r="F305" s="200">
        <v>0</v>
      </c>
      <c r="G305" s="200">
        <v>1000000000</v>
      </c>
      <c r="H305" s="200">
        <f t="shared" si="5"/>
        <v>0</v>
      </c>
      <c r="I305" s="201">
        <v>7.25</v>
      </c>
      <c r="J305" s="202" t="s">
        <v>251</v>
      </c>
    </row>
    <row r="306" spans="1:10" ht="14.25" customHeight="1">
      <c r="A306" s="203"/>
      <c r="B306" s="204" t="s">
        <v>254</v>
      </c>
      <c r="C306" s="205" t="s">
        <v>189</v>
      </c>
      <c r="D306" s="206" t="s">
        <v>490</v>
      </c>
      <c r="E306" s="200">
        <v>977000000</v>
      </c>
      <c r="F306" s="200">
        <v>0</v>
      </c>
      <c r="G306" s="200">
        <v>977000000</v>
      </c>
      <c r="H306" s="200">
        <f t="shared" si="5"/>
        <v>0</v>
      </c>
      <c r="I306" s="201">
        <v>7.25</v>
      </c>
      <c r="J306" s="202" t="s">
        <v>251</v>
      </c>
    </row>
    <row r="307" spans="1:10" ht="14.25" customHeight="1">
      <c r="A307" s="203"/>
      <c r="B307" s="204" t="s">
        <v>257</v>
      </c>
      <c r="C307" s="205" t="s">
        <v>189</v>
      </c>
      <c r="D307" s="206" t="s">
        <v>463</v>
      </c>
      <c r="E307" s="200">
        <v>2600000000</v>
      </c>
      <c r="F307" s="200">
        <v>0</v>
      </c>
      <c r="G307" s="200">
        <v>2600000000</v>
      </c>
      <c r="H307" s="200">
        <f t="shared" si="5"/>
        <v>0</v>
      </c>
      <c r="I307" s="201">
        <v>7.25</v>
      </c>
      <c r="J307" s="202" t="s">
        <v>251</v>
      </c>
    </row>
    <row r="308" spans="1:10" ht="14.25" customHeight="1">
      <c r="A308" s="203"/>
      <c r="B308" s="204" t="s">
        <v>257</v>
      </c>
      <c r="C308" s="205" t="s">
        <v>189</v>
      </c>
      <c r="D308" s="206" t="s">
        <v>470</v>
      </c>
      <c r="E308" s="200">
        <v>1435000000</v>
      </c>
      <c r="F308" s="200">
        <v>0</v>
      </c>
      <c r="G308" s="200">
        <v>1435000000</v>
      </c>
      <c r="H308" s="200">
        <f t="shared" si="5"/>
        <v>0</v>
      </c>
      <c r="I308" s="201">
        <v>8.1</v>
      </c>
      <c r="J308" s="202" t="s">
        <v>465</v>
      </c>
    </row>
    <row r="309" spans="1:10" ht="14.25" customHeight="1">
      <c r="A309" s="203"/>
      <c r="B309" s="204" t="s">
        <v>258</v>
      </c>
      <c r="C309" s="205" t="s">
        <v>189</v>
      </c>
      <c r="D309" s="206" t="s">
        <v>491</v>
      </c>
      <c r="E309" s="200">
        <v>3380000000</v>
      </c>
      <c r="F309" s="200">
        <v>0</v>
      </c>
      <c r="G309" s="200">
        <v>3380000000</v>
      </c>
      <c r="H309" s="200">
        <f t="shared" si="5"/>
        <v>0</v>
      </c>
      <c r="I309" s="201">
        <v>8.1</v>
      </c>
      <c r="J309" s="202" t="s">
        <v>465</v>
      </c>
    </row>
    <row r="310" spans="1:10" ht="14.25" customHeight="1">
      <c r="A310" s="203"/>
      <c r="B310" s="204" t="s">
        <v>258</v>
      </c>
      <c r="C310" s="205" t="s">
        <v>189</v>
      </c>
      <c r="D310" s="206" t="s">
        <v>473</v>
      </c>
      <c r="E310" s="200">
        <v>1605000000</v>
      </c>
      <c r="F310" s="200">
        <v>0</v>
      </c>
      <c r="G310" s="200">
        <v>1605000000</v>
      </c>
      <c r="H310" s="200">
        <f t="shared" si="5"/>
        <v>0</v>
      </c>
      <c r="I310" s="201">
        <v>7.6</v>
      </c>
      <c r="J310" s="202" t="s">
        <v>563</v>
      </c>
    </row>
    <row r="311" spans="1:10" ht="14.25" customHeight="1">
      <c r="A311" s="203"/>
      <c r="B311" s="204" t="s">
        <v>259</v>
      </c>
      <c r="C311" s="205" t="s">
        <v>189</v>
      </c>
      <c r="D311" s="206" t="s">
        <v>475</v>
      </c>
      <c r="E311" s="200">
        <v>2800000000</v>
      </c>
      <c r="F311" s="200">
        <v>0</v>
      </c>
      <c r="G311" s="200">
        <v>2800000000</v>
      </c>
      <c r="H311" s="200">
        <f t="shared" si="5"/>
        <v>0</v>
      </c>
      <c r="I311" s="201">
        <v>7.4</v>
      </c>
      <c r="J311" s="202" t="s">
        <v>144</v>
      </c>
    </row>
    <row r="312" spans="1:10" ht="14.25" customHeight="1">
      <c r="A312" s="203"/>
      <c r="B312" s="204" t="s">
        <v>259</v>
      </c>
      <c r="C312" s="205" t="s">
        <v>189</v>
      </c>
      <c r="D312" s="206" t="s">
        <v>564</v>
      </c>
      <c r="E312" s="200">
        <v>1450000000</v>
      </c>
      <c r="F312" s="200">
        <v>0</v>
      </c>
      <c r="G312" s="200">
        <v>1450000000</v>
      </c>
      <c r="H312" s="200">
        <f t="shared" si="5"/>
        <v>0</v>
      </c>
      <c r="I312" s="201">
        <v>7.4</v>
      </c>
      <c r="J312" s="202" t="s">
        <v>144</v>
      </c>
    </row>
    <row r="313" spans="1:10" ht="14.25" customHeight="1">
      <c r="A313" s="203"/>
      <c r="B313" s="204" t="s">
        <v>261</v>
      </c>
      <c r="C313" s="205" t="s">
        <v>189</v>
      </c>
      <c r="D313" s="206" t="s">
        <v>565</v>
      </c>
      <c r="E313" s="200">
        <v>3480000000</v>
      </c>
      <c r="F313" s="200">
        <v>0</v>
      </c>
      <c r="G313" s="200">
        <v>3480000000</v>
      </c>
      <c r="H313" s="200">
        <f t="shared" si="5"/>
        <v>0</v>
      </c>
      <c r="I313" s="201">
        <v>7.4</v>
      </c>
      <c r="J313" s="202" t="s">
        <v>260</v>
      </c>
    </row>
    <row r="314" spans="1:10" ht="14.25" customHeight="1">
      <c r="A314" s="215"/>
      <c r="B314" s="204">
        <v>57</v>
      </c>
      <c r="C314" s="205" t="s">
        <v>189</v>
      </c>
      <c r="D314" s="206" t="s">
        <v>566</v>
      </c>
      <c r="E314" s="200">
        <v>996000000</v>
      </c>
      <c r="F314" s="200">
        <v>0</v>
      </c>
      <c r="G314" s="200">
        <v>996000000</v>
      </c>
      <c r="H314" s="200">
        <f t="shared" si="5"/>
        <v>0</v>
      </c>
      <c r="I314" s="201">
        <v>7.4</v>
      </c>
      <c r="J314" s="202" t="s">
        <v>567</v>
      </c>
    </row>
    <row r="315" spans="1:10" ht="14.25" customHeight="1">
      <c r="A315" s="203"/>
      <c r="B315" s="204" t="s">
        <v>262</v>
      </c>
      <c r="C315" s="205" t="s">
        <v>189</v>
      </c>
      <c r="D315" s="206" t="s">
        <v>503</v>
      </c>
      <c r="E315" s="200">
        <v>1800000000</v>
      </c>
      <c r="F315" s="200">
        <v>0</v>
      </c>
      <c r="G315" s="200">
        <v>1800000000</v>
      </c>
      <c r="H315" s="200">
        <f t="shared" si="5"/>
        <v>0</v>
      </c>
      <c r="I315" s="201">
        <v>7.2</v>
      </c>
      <c r="J315" s="202" t="s">
        <v>504</v>
      </c>
    </row>
    <row r="316" spans="1:10" ht="14.25" customHeight="1">
      <c r="A316" s="203"/>
      <c r="B316" s="204" t="s">
        <v>262</v>
      </c>
      <c r="C316" s="205" t="s">
        <v>189</v>
      </c>
      <c r="D316" s="206" t="s">
        <v>505</v>
      </c>
      <c r="E316" s="200">
        <v>1683000000</v>
      </c>
      <c r="F316" s="200">
        <v>0</v>
      </c>
      <c r="G316" s="200">
        <v>1683000000</v>
      </c>
      <c r="H316" s="200">
        <f t="shared" si="5"/>
        <v>0</v>
      </c>
      <c r="I316" s="201">
        <v>7.2</v>
      </c>
      <c r="J316" s="202" t="s">
        <v>264</v>
      </c>
    </row>
    <row r="317" spans="1:10" ht="14.25" customHeight="1">
      <c r="A317" s="203"/>
      <c r="B317" s="204" t="s">
        <v>265</v>
      </c>
      <c r="C317" s="205" t="s">
        <v>189</v>
      </c>
      <c r="D317" s="206" t="s">
        <v>507</v>
      </c>
      <c r="E317" s="200">
        <v>100000000</v>
      </c>
      <c r="F317" s="200">
        <v>0</v>
      </c>
      <c r="G317" s="200">
        <v>100000000</v>
      </c>
      <c r="H317" s="200">
        <f t="shared" si="5"/>
        <v>0</v>
      </c>
      <c r="I317" s="201">
        <v>7.2</v>
      </c>
      <c r="J317" s="202" t="s">
        <v>264</v>
      </c>
    </row>
    <row r="318" spans="1:10" ht="14.25" customHeight="1">
      <c r="A318" s="203"/>
      <c r="B318" s="204" t="s">
        <v>265</v>
      </c>
      <c r="C318" s="205" t="s">
        <v>266</v>
      </c>
      <c r="D318" s="206" t="s">
        <v>508</v>
      </c>
      <c r="E318" s="200">
        <v>1000000000</v>
      </c>
      <c r="F318" s="200">
        <v>0</v>
      </c>
      <c r="G318" s="200">
        <v>1000000000</v>
      </c>
      <c r="H318" s="200">
        <f t="shared" si="5"/>
        <v>0</v>
      </c>
      <c r="I318" s="201">
        <v>6.9</v>
      </c>
      <c r="J318" s="202" t="s">
        <v>237</v>
      </c>
    </row>
    <row r="319" spans="1:10" ht="14.25" customHeight="1">
      <c r="A319" s="203"/>
      <c r="B319" s="204" t="s">
        <v>265</v>
      </c>
      <c r="C319" s="205" t="s">
        <v>189</v>
      </c>
      <c r="D319" s="206" t="s">
        <v>509</v>
      </c>
      <c r="E319" s="200">
        <v>2077000000</v>
      </c>
      <c r="F319" s="200">
        <v>0</v>
      </c>
      <c r="G319" s="200">
        <v>2077000000</v>
      </c>
      <c r="H319" s="200">
        <f t="shared" si="5"/>
        <v>0</v>
      </c>
      <c r="I319" s="201">
        <v>7.2</v>
      </c>
      <c r="J319" s="202" t="s">
        <v>264</v>
      </c>
    </row>
    <row r="320" spans="1:10" ht="14.25" customHeight="1">
      <c r="A320" s="203"/>
      <c r="B320" s="204" t="s">
        <v>262</v>
      </c>
      <c r="C320" s="263" t="s">
        <v>180</v>
      </c>
      <c r="D320" s="206" t="s">
        <v>568</v>
      </c>
      <c r="E320" s="200">
        <v>940000000</v>
      </c>
      <c r="F320" s="200">
        <v>0</v>
      </c>
      <c r="G320" s="200">
        <v>940000000</v>
      </c>
      <c r="H320" s="200">
        <f t="shared" si="5"/>
        <v>0</v>
      </c>
      <c r="I320" s="201">
        <v>6.9</v>
      </c>
      <c r="J320" s="202" t="s">
        <v>237</v>
      </c>
    </row>
    <row r="321" spans="1:10" ht="14.25" customHeight="1">
      <c r="A321" s="203"/>
      <c r="B321" s="204" t="s">
        <v>265</v>
      </c>
      <c r="C321" s="205" t="s">
        <v>189</v>
      </c>
      <c r="D321" s="206" t="s">
        <v>510</v>
      </c>
      <c r="E321" s="200">
        <v>445000000</v>
      </c>
      <c r="F321" s="200">
        <v>0</v>
      </c>
      <c r="G321" s="200">
        <v>445000000</v>
      </c>
      <c r="H321" s="200">
        <f t="shared" si="5"/>
        <v>0</v>
      </c>
      <c r="I321" s="201">
        <v>6.9</v>
      </c>
      <c r="J321" s="202" t="s">
        <v>267</v>
      </c>
    </row>
    <row r="322" spans="1:10" ht="14.25" customHeight="1">
      <c r="A322" s="203"/>
      <c r="B322" s="204" t="s">
        <v>265</v>
      </c>
      <c r="C322" s="205" t="s">
        <v>185</v>
      </c>
      <c r="D322" s="206" t="s">
        <v>569</v>
      </c>
      <c r="E322" s="200">
        <v>488000000</v>
      </c>
      <c r="F322" s="200">
        <v>0</v>
      </c>
      <c r="G322" s="200">
        <v>488000000</v>
      </c>
      <c r="H322" s="200">
        <f t="shared" si="5"/>
        <v>0</v>
      </c>
      <c r="I322" s="201">
        <v>6.8</v>
      </c>
      <c r="J322" s="202" t="s">
        <v>271</v>
      </c>
    </row>
    <row r="323" spans="1:10" ht="14.25" customHeight="1">
      <c r="A323" s="203"/>
      <c r="B323" s="204" t="s">
        <v>268</v>
      </c>
      <c r="C323" s="205" t="s">
        <v>266</v>
      </c>
      <c r="D323" s="206" t="s">
        <v>511</v>
      </c>
      <c r="E323" s="200">
        <v>1000000000</v>
      </c>
      <c r="F323" s="200">
        <v>0</v>
      </c>
      <c r="G323" s="200">
        <v>1000000000</v>
      </c>
      <c r="H323" s="200">
        <f t="shared" si="5"/>
        <v>0</v>
      </c>
      <c r="I323" s="201">
        <v>5.8</v>
      </c>
      <c r="J323" s="202" t="s">
        <v>219</v>
      </c>
    </row>
    <row r="324" spans="1:10" ht="14.25" customHeight="1">
      <c r="A324" s="203"/>
      <c r="B324" s="204" t="s">
        <v>268</v>
      </c>
      <c r="C324" s="205" t="s">
        <v>189</v>
      </c>
      <c r="D324" s="206" t="s">
        <v>512</v>
      </c>
      <c r="E324" s="200">
        <v>655000000</v>
      </c>
      <c r="F324" s="200">
        <v>0</v>
      </c>
      <c r="G324" s="200">
        <v>655000000</v>
      </c>
      <c r="H324" s="200">
        <f t="shared" si="5"/>
        <v>0</v>
      </c>
      <c r="I324" s="201">
        <v>6.4</v>
      </c>
      <c r="J324" s="202" t="s">
        <v>267</v>
      </c>
    </row>
    <row r="325" spans="1:10" ht="14.25" customHeight="1">
      <c r="A325" s="203"/>
      <c r="B325" s="204" t="s">
        <v>268</v>
      </c>
      <c r="C325" s="205" t="s">
        <v>185</v>
      </c>
      <c r="D325" s="206" t="s">
        <v>570</v>
      </c>
      <c r="E325" s="200">
        <v>1302000000</v>
      </c>
      <c r="F325" s="200">
        <v>0</v>
      </c>
      <c r="G325" s="200">
        <v>1302000000</v>
      </c>
      <c r="H325" s="200">
        <f t="shared" si="5"/>
        <v>0</v>
      </c>
      <c r="I325" s="201">
        <v>6.05</v>
      </c>
      <c r="J325" s="202" t="s">
        <v>276</v>
      </c>
    </row>
    <row r="326" spans="1:10" ht="14.25" customHeight="1">
      <c r="A326" s="203"/>
      <c r="B326" s="204" t="s">
        <v>268</v>
      </c>
      <c r="C326" s="205" t="s">
        <v>189</v>
      </c>
      <c r="D326" s="206" t="s">
        <v>571</v>
      </c>
      <c r="E326" s="200">
        <v>647000000</v>
      </c>
      <c r="F326" s="200">
        <v>0</v>
      </c>
      <c r="G326" s="200">
        <v>647000000</v>
      </c>
      <c r="H326" s="200">
        <f t="shared" si="5"/>
        <v>0</v>
      </c>
      <c r="I326" s="201">
        <v>6.15</v>
      </c>
      <c r="J326" s="202" t="s">
        <v>269</v>
      </c>
    </row>
    <row r="327" spans="1:10" ht="14.25" customHeight="1">
      <c r="A327" s="215"/>
      <c r="B327" s="206" t="s">
        <v>572</v>
      </c>
      <c r="C327" s="205" t="s">
        <v>189</v>
      </c>
      <c r="D327" s="206" t="s">
        <v>514</v>
      </c>
      <c r="E327" s="200">
        <v>688000000</v>
      </c>
      <c r="F327" s="200">
        <v>45429094</v>
      </c>
      <c r="G327" s="200">
        <f>'25.企業債（23決算）'!G327+'25.企業債（24決算）'!F327</f>
        <v>589546875</v>
      </c>
      <c r="H327" s="200">
        <f t="shared" si="5"/>
        <v>98453125</v>
      </c>
      <c r="I327" s="201">
        <v>5.4</v>
      </c>
      <c r="J327" s="202" t="s">
        <v>269</v>
      </c>
    </row>
    <row r="328" spans="1:10" ht="14.25" customHeight="1">
      <c r="A328" s="203"/>
      <c r="B328" s="204" t="s">
        <v>270</v>
      </c>
      <c r="C328" s="205" t="s">
        <v>189</v>
      </c>
      <c r="D328" s="206" t="s">
        <v>515</v>
      </c>
      <c r="E328" s="200">
        <v>320000000</v>
      </c>
      <c r="F328" s="200">
        <v>20163975</v>
      </c>
      <c r="G328" s="200">
        <f>'25.企業債（23決算）'!G328+'25.企業債（24決算）'!F328</f>
        <v>276749929</v>
      </c>
      <c r="H328" s="200">
        <f t="shared" si="5"/>
        <v>43250071</v>
      </c>
      <c r="I328" s="201">
        <v>4.7</v>
      </c>
      <c r="J328" s="202" t="s">
        <v>269</v>
      </c>
    </row>
    <row r="329" spans="1:10" ht="14.25" customHeight="1">
      <c r="A329" s="203"/>
      <c r="B329" s="204" t="s">
        <v>270</v>
      </c>
      <c r="C329" s="205" t="s">
        <v>189</v>
      </c>
      <c r="D329" s="206" t="s">
        <v>573</v>
      </c>
      <c r="E329" s="200">
        <v>79000000</v>
      </c>
      <c r="F329" s="200">
        <v>4977982</v>
      </c>
      <c r="G329" s="200">
        <f>'25.企業債（23決算）'!G329+'25.企業債（24決算）'!F329</f>
        <v>68322640</v>
      </c>
      <c r="H329" s="200">
        <f t="shared" si="5"/>
        <v>10677360</v>
      </c>
      <c r="I329" s="201">
        <v>4.7</v>
      </c>
      <c r="J329" s="202" t="s">
        <v>269</v>
      </c>
    </row>
    <row r="330" spans="1:10" ht="14.25" customHeight="1">
      <c r="A330" s="203"/>
      <c r="B330" s="204" t="s">
        <v>270</v>
      </c>
      <c r="C330" s="205" t="s">
        <v>185</v>
      </c>
      <c r="D330" s="206" t="s">
        <v>574</v>
      </c>
      <c r="E330" s="200">
        <v>1086000000</v>
      </c>
      <c r="F330" s="200">
        <v>59668026</v>
      </c>
      <c r="G330" s="200">
        <f>'25.企業債（23決算）'!G330+'25.企業債（24決算）'!F330</f>
        <v>776128072</v>
      </c>
      <c r="H330" s="200">
        <f t="shared" si="5"/>
        <v>309871928</v>
      </c>
      <c r="I330" s="201">
        <v>5.2</v>
      </c>
      <c r="J330" s="202" t="s">
        <v>277</v>
      </c>
    </row>
    <row r="331" spans="1:10" ht="14.25" customHeight="1">
      <c r="A331" s="203"/>
      <c r="B331" s="204" t="s">
        <v>272</v>
      </c>
      <c r="C331" s="205" t="s">
        <v>189</v>
      </c>
      <c r="D331" s="206" t="s">
        <v>575</v>
      </c>
      <c r="E331" s="200">
        <v>545000000</v>
      </c>
      <c r="F331" s="200">
        <v>33548502</v>
      </c>
      <c r="G331" s="200">
        <f>'25.企業債（23決算）'!G331+'25.企業債（24決算）'!F331</f>
        <v>433595147</v>
      </c>
      <c r="H331" s="200">
        <f t="shared" si="5"/>
        <v>111404853</v>
      </c>
      <c r="I331" s="201">
        <v>5.0999999999999996</v>
      </c>
      <c r="J331" s="202" t="s">
        <v>271</v>
      </c>
    </row>
    <row r="332" spans="1:10" ht="14.25" customHeight="1">
      <c r="A332" s="215"/>
      <c r="B332" s="206" t="s">
        <v>576</v>
      </c>
      <c r="C332" s="205" t="s">
        <v>185</v>
      </c>
      <c r="D332" s="206" t="s">
        <v>577</v>
      </c>
      <c r="E332" s="200">
        <v>545000000</v>
      </c>
      <c r="F332" s="200">
        <v>28336877</v>
      </c>
      <c r="G332" s="200">
        <f>'25.企業債（23決算）'!G332+'25.企業債（24決算）'!F332</f>
        <v>360864298</v>
      </c>
      <c r="H332" s="200">
        <f t="shared" si="5"/>
        <v>184135702</v>
      </c>
      <c r="I332" s="201">
        <v>5.0999999999999996</v>
      </c>
      <c r="J332" s="202" t="s">
        <v>280</v>
      </c>
    </row>
    <row r="333" spans="1:10" ht="14.25" customHeight="1">
      <c r="A333" s="203"/>
      <c r="B333" s="204" t="s">
        <v>275</v>
      </c>
      <c r="C333" s="205" t="s">
        <v>189</v>
      </c>
      <c r="D333" s="206" t="s">
        <v>578</v>
      </c>
      <c r="E333" s="200">
        <v>600000000</v>
      </c>
      <c r="F333" s="200">
        <v>34871176</v>
      </c>
      <c r="G333" s="200">
        <f>'25.企業債（23決算）'!G333+'25.企業債（24決算）'!F333</f>
        <v>442142583</v>
      </c>
      <c r="H333" s="200">
        <f t="shared" si="5"/>
        <v>157857417</v>
      </c>
      <c r="I333" s="201">
        <v>4.95</v>
      </c>
      <c r="J333" s="202" t="s">
        <v>276</v>
      </c>
    </row>
    <row r="334" spans="1:10" ht="14.25" customHeight="1">
      <c r="A334" s="203"/>
      <c r="B334" s="204" t="s">
        <v>275</v>
      </c>
      <c r="C334" s="205" t="s">
        <v>185</v>
      </c>
      <c r="D334" s="206" t="s">
        <v>523</v>
      </c>
      <c r="E334" s="200">
        <v>796000000</v>
      </c>
      <c r="F334" s="200">
        <v>39687239</v>
      </c>
      <c r="G334" s="200">
        <f>'25.企業債（23決算）'!G334+'25.企業債（24決算）'!F334</f>
        <v>479437340</v>
      </c>
      <c r="H334" s="200">
        <f t="shared" si="5"/>
        <v>316562660</v>
      </c>
      <c r="I334" s="201">
        <v>5.4</v>
      </c>
      <c r="J334" s="202" t="s">
        <v>283</v>
      </c>
    </row>
    <row r="335" spans="1:10" ht="14.25" customHeight="1">
      <c r="A335" s="203"/>
      <c r="B335" s="206" t="s">
        <v>521</v>
      </c>
      <c r="C335" s="205" t="s">
        <v>189</v>
      </c>
      <c r="D335" s="206" t="s">
        <v>579</v>
      </c>
      <c r="E335" s="200">
        <v>300000000</v>
      </c>
      <c r="F335" s="200">
        <v>0</v>
      </c>
      <c r="G335" s="200">
        <v>300000000</v>
      </c>
      <c r="H335" s="200">
        <f t="shared" si="5"/>
        <v>0</v>
      </c>
      <c r="I335" s="201">
        <v>6.3</v>
      </c>
      <c r="J335" s="202" t="s">
        <v>277</v>
      </c>
    </row>
    <row r="336" spans="1:10" ht="14.25" customHeight="1">
      <c r="A336" s="203"/>
      <c r="B336" s="204" t="s">
        <v>580</v>
      </c>
      <c r="C336" s="205" t="s">
        <v>185</v>
      </c>
      <c r="D336" s="206" t="s">
        <v>777</v>
      </c>
      <c r="E336" s="200">
        <v>815000000</v>
      </c>
      <c r="F336" s="200">
        <v>0</v>
      </c>
      <c r="G336" s="200">
        <v>815000000</v>
      </c>
      <c r="H336" s="200">
        <f t="shared" si="5"/>
        <v>0</v>
      </c>
      <c r="I336" s="201">
        <v>6.6</v>
      </c>
      <c r="J336" s="202" t="s">
        <v>285</v>
      </c>
    </row>
    <row r="337" spans="1:10" ht="14.25" customHeight="1">
      <c r="A337" s="203"/>
      <c r="B337" s="204" t="s">
        <v>581</v>
      </c>
      <c r="C337" s="205" t="s">
        <v>189</v>
      </c>
      <c r="D337" s="206" t="s">
        <v>531</v>
      </c>
      <c r="E337" s="200">
        <v>258000000</v>
      </c>
      <c r="F337" s="200">
        <v>0</v>
      </c>
      <c r="G337" s="200">
        <v>258000000</v>
      </c>
      <c r="H337" s="200">
        <f t="shared" si="5"/>
        <v>0</v>
      </c>
      <c r="I337" s="201">
        <v>6.7</v>
      </c>
      <c r="J337" s="202" t="s">
        <v>280</v>
      </c>
    </row>
    <row r="338" spans="1:10" ht="14.25" customHeight="1">
      <c r="A338" s="203"/>
      <c r="B338" s="206" t="s">
        <v>279</v>
      </c>
      <c r="C338" s="205" t="s">
        <v>189</v>
      </c>
      <c r="D338" s="206" t="s">
        <v>582</v>
      </c>
      <c r="E338" s="200">
        <v>400000000</v>
      </c>
      <c r="F338" s="200">
        <v>0</v>
      </c>
      <c r="G338" s="200">
        <v>400000000</v>
      </c>
      <c r="H338" s="200">
        <f t="shared" si="5"/>
        <v>0</v>
      </c>
      <c r="I338" s="201">
        <v>6.65</v>
      </c>
      <c r="J338" s="202" t="s">
        <v>280</v>
      </c>
    </row>
    <row r="339" spans="1:10" ht="14.25" customHeight="1">
      <c r="A339" s="203"/>
      <c r="B339" s="206" t="s">
        <v>279</v>
      </c>
      <c r="C339" s="205" t="s">
        <v>185</v>
      </c>
      <c r="D339" s="206" t="s">
        <v>534</v>
      </c>
      <c r="E339" s="200">
        <v>212000000</v>
      </c>
      <c r="F339" s="200">
        <v>9254264</v>
      </c>
      <c r="G339" s="200">
        <f>92425339+F339</f>
        <v>101679603</v>
      </c>
      <c r="H339" s="200">
        <f t="shared" si="5"/>
        <v>110320397</v>
      </c>
      <c r="I339" s="201">
        <v>5.5</v>
      </c>
      <c r="J339" s="202" t="s">
        <v>282</v>
      </c>
    </row>
    <row r="340" spans="1:10" ht="14.25" customHeight="1">
      <c r="A340" s="203"/>
      <c r="B340" s="206" t="s">
        <v>292</v>
      </c>
      <c r="C340" s="205" t="s">
        <v>189</v>
      </c>
      <c r="D340" s="206" t="s">
        <v>535</v>
      </c>
      <c r="E340" s="200">
        <v>52000000</v>
      </c>
      <c r="F340" s="200">
        <v>2641199</v>
      </c>
      <c r="G340" s="200">
        <f>26110999+F340</f>
        <v>28752198</v>
      </c>
      <c r="H340" s="200">
        <f t="shared" si="5"/>
        <v>23247802</v>
      </c>
      <c r="I340" s="201">
        <v>5.65</v>
      </c>
      <c r="J340" s="202" t="s">
        <v>283</v>
      </c>
    </row>
    <row r="341" spans="1:10" ht="14.25" customHeight="1">
      <c r="A341" s="203"/>
      <c r="B341" s="206" t="s">
        <v>279</v>
      </c>
      <c r="C341" s="205" t="s">
        <v>189</v>
      </c>
      <c r="D341" s="206" t="s">
        <v>535</v>
      </c>
      <c r="E341" s="200">
        <v>336000000</v>
      </c>
      <c r="F341" s="200">
        <v>17052748</v>
      </c>
      <c r="G341" s="200">
        <f>169157017+F341</f>
        <v>186209765</v>
      </c>
      <c r="H341" s="200">
        <f t="shared" si="5"/>
        <v>149790235</v>
      </c>
      <c r="I341" s="201">
        <v>5.6</v>
      </c>
      <c r="J341" s="202" t="s">
        <v>283</v>
      </c>
    </row>
    <row r="342" spans="1:10" ht="14.25" customHeight="1">
      <c r="A342" s="203"/>
      <c r="B342" s="206" t="s">
        <v>281</v>
      </c>
      <c r="C342" s="205" t="s">
        <v>189</v>
      </c>
      <c r="D342" s="206" t="s">
        <v>535</v>
      </c>
      <c r="E342" s="200">
        <v>300000000</v>
      </c>
      <c r="F342" s="200">
        <v>15237690</v>
      </c>
      <c r="G342" s="200">
        <f>150640363+F342</f>
        <v>165878053</v>
      </c>
      <c r="H342" s="200">
        <f t="shared" si="5"/>
        <v>134121947</v>
      </c>
      <c r="I342" s="201">
        <v>5.65</v>
      </c>
      <c r="J342" s="202" t="s">
        <v>283</v>
      </c>
    </row>
    <row r="343" spans="1:10" ht="14.25" customHeight="1">
      <c r="A343" s="203"/>
      <c r="B343" s="206" t="s">
        <v>281</v>
      </c>
      <c r="C343" s="205" t="s">
        <v>185</v>
      </c>
      <c r="D343" s="206" t="s">
        <v>583</v>
      </c>
      <c r="E343" s="200">
        <v>440000000</v>
      </c>
      <c r="F343" s="200">
        <v>18286665</v>
      </c>
      <c r="G343" s="200">
        <f>187569651+F343</f>
        <v>205856316</v>
      </c>
      <c r="H343" s="200">
        <f t="shared" si="5"/>
        <v>234143684</v>
      </c>
      <c r="I343" s="201">
        <v>4.4000000000000004</v>
      </c>
      <c r="J343" s="202" t="s">
        <v>284</v>
      </c>
    </row>
    <row r="344" spans="1:10" ht="14.25" customHeight="1" thickBot="1">
      <c r="A344" s="269"/>
      <c r="B344" s="206" t="s">
        <v>281</v>
      </c>
      <c r="C344" s="205" t="s">
        <v>189</v>
      </c>
      <c r="D344" s="206" t="s">
        <v>584</v>
      </c>
      <c r="E344" s="200">
        <v>260000000</v>
      </c>
      <c r="F344" s="200">
        <v>12372769</v>
      </c>
      <c r="G344" s="200">
        <f>126069666+F344</f>
        <v>138442435</v>
      </c>
      <c r="H344" s="200">
        <f t="shared" si="5"/>
        <v>121557565</v>
      </c>
      <c r="I344" s="201">
        <v>4.5</v>
      </c>
      <c r="J344" s="202" t="s">
        <v>285</v>
      </c>
    </row>
    <row r="345" spans="1:10" ht="9.75" customHeight="1" thickBot="1">
      <c r="A345" s="257"/>
      <c r="B345" s="258"/>
      <c r="C345" s="257"/>
      <c r="D345" s="258"/>
      <c r="E345" s="259"/>
      <c r="F345" s="259"/>
      <c r="G345" s="259"/>
      <c r="H345" s="259"/>
      <c r="I345" s="260"/>
      <c r="J345" s="270"/>
    </row>
    <row r="346" spans="1:10">
      <c r="A346" s="479" t="s">
        <v>85</v>
      </c>
      <c r="B346" s="481" t="s">
        <v>311</v>
      </c>
      <c r="C346" s="483" t="s">
        <v>86</v>
      </c>
      <c r="D346" s="481" t="s">
        <v>312</v>
      </c>
      <c r="E346" s="485" t="s">
        <v>87</v>
      </c>
      <c r="F346" s="487" t="s">
        <v>88</v>
      </c>
      <c r="G346" s="493"/>
      <c r="H346" s="489" t="s">
        <v>174</v>
      </c>
      <c r="I346" s="491" t="s">
        <v>89</v>
      </c>
      <c r="J346" s="477" t="s">
        <v>313</v>
      </c>
    </row>
    <row r="347" spans="1:10">
      <c r="A347" s="480"/>
      <c r="B347" s="482"/>
      <c r="C347" s="484"/>
      <c r="D347" s="482"/>
      <c r="E347" s="486"/>
      <c r="F347" s="207" t="s">
        <v>176</v>
      </c>
      <c r="G347" s="207" t="s">
        <v>305</v>
      </c>
      <c r="H347" s="490"/>
      <c r="I347" s="492"/>
      <c r="J347" s="478"/>
    </row>
    <row r="348" spans="1:10">
      <c r="A348" s="209"/>
      <c r="B348" s="210"/>
      <c r="C348" s="210"/>
      <c r="D348" s="211" t="s">
        <v>177</v>
      </c>
      <c r="E348" s="212" t="s">
        <v>178</v>
      </c>
      <c r="F348" s="212" t="s">
        <v>172</v>
      </c>
      <c r="G348" s="212" t="s">
        <v>178</v>
      </c>
      <c r="H348" s="212" t="s">
        <v>178</v>
      </c>
      <c r="I348" s="213" t="s">
        <v>90</v>
      </c>
      <c r="J348" s="214" t="s">
        <v>175</v>
      </c>
    </row>
    <row r="349" spans="1:10">
      <c r="A349" s="215" t="s">
        <v>290</v>
      </c>
      <c r="B349" s="204" t="s">
        <v>341</v>
      </c>
      <c r="C349" s="205" t="s">
        <v>189</v>
      </c>
      <c r="D349" s="206" t="s">
        <v>694</v>
      </c>
      <c r="E349" s="200">
        <v>80000000</v>
      </c>
      <c r="F349" s="200">
        <v>3804985</v>
      </c>
      <c r="G349" s="200">
        <f>'25.企業債（23決算）'!G349+'25.企業債（24決算）'!F349</f>
        <v>42703934</v>
      </c>
      <c r="H349" s="200">
        <f t="shared" ref="H349:H406" si="6">E349-G349</f>
        <v>37296066</v>
      </c>
      <c r="I349" s="201">
        <v>4.45</v>
      </c>
      <c r="J349" s="202" t="s">
        <v>285</v>
      </c>
    </row>
    <row r="350" spans="1:10">
      <c r="A350" s="203" t="s">
        <v>182</v>
      </c>
      <c r="B350" s="206">
        <v>4</v>
      </c>
      <c r="C350" s="205" t="s">
        <v>185</v>
      </c>
      <c r="D350" s="206" t="s">
        <v>540</v>
      </c>
      <c r="E350" s="200">
        <v>120000000</v>
      </c>
      <c r="F350" s="200">
        <v>4811454</v>
      </c>
      <c r="G350" s="200">
        <f>'25.企業債（23決算）'!G350+'25.企業債（24決算）'!F350</f>
        <v>53815044</v>
      </c>
      <c r="H350" s="200">
        <f t="shared" si="6"/>
        <v>66184956</v>
      </c>
      <c r="I350" s="201">
        <v>3.65</v>
      </c>
      <c r="J350" s="202" t="s">
        <v>286</v>
      </c>
    </row>
    <row r="351" spans="1:10" ht="14.25" customHeight="1">
      <c r="A351" s="215"/>
      <c r="B351" s="206">
        <v>5</v>
      </c>
      <c r="C351" s="205" t="s">
        <v>189</v>
      </c>
      <c r="D351" s="206" t="s">
        <v>540</v>
      </c>
      <c r="E351" s="200">
        <v>50000000</v>
      </c>
      <c r="F351" s="200">
        <v>2271535</v>
      </c>
      <c r="G351" s="200">
        <f>'25.企業債（23決算）'!G351+'25.企業債（24決算）'!F351</f>
        <v>25332996</v>
      </c>
      <c r="H351" s="200">
        <f t="shared" si="6"/>
        <v>24667004</v>
      </c>
      <c r="I351" s="201">
        <v>3.7</v>
      </c>
      <c r="J351" s="202" t="s">
        <v>282</v>
      </c>
    </row>
    <row r="352" spans="1:10" ht="14.25" customHeight="1">
      <c r="A352" s="203"/>
      <c r="B352" s="206">
        <v>5</v>
      </c>
      <c r="C352" s="205" t="s">
        <v>185</v>
      </c>
      <c r="D352" s="206" t="s">
        <v>650</v>
      </c>
      <c r="E352" s="200">
        <v>50000000</v>
      </c>
      <c r="F352" s="200">
        <v>1934725</v>
      </c>
      <c r="G352" s="200">
        <f>'25.企業債（23決算）'!G352+'25.企業債（24決算）'!F352</f>
        <v>19803094</v>
      </c>
      <c r="H352" s="200">
        <f t="shared" si="6"/>
        <v>30196906</v>
      </c>
      <c r="I352" s="201">
        <v>4.75</v>
      </c>
      <c r="J352" s="202" t="s">
        <v>287</v>
      </c>
    </row>
    <row r="353" spans="1:10" ht="14.25" customHeight="1">
      <c r="A353" s="215"/>
      <c r="B353" s="206" t="s">
        <v>542</v>
      </c>
      <c r="C353" s="205" t="s">
        <v>266</v>
      </c>
      <c r="D353" s="206" t="s">
        <v>543</v>
      </c>
      <c r="E353" s="200">
        <v>580000000</v>
      </c>
      <c r="F353" s="200">
        <v>0</v>
      </c>
      <c r="G353" s="200">
        <f>'25.企業債（23決算）'!G353+'25.企業債（24決算）'!F353</f>
        <v>580000000</v>
      </c>
      <c r="H353" s="200">
        <f t="shared" si="6"/>
        <v>0</v>
      </c>
      <c r="I353" s="201">
        <v>4.5</v>
      </c>
      <c r="J353" s="202" t="s">
        <v>244</v>
      </c>
    </row>
    <row r="354" spans="1:10" ht="14.25" customHeight="1">
      <c r="A354" s="215"/>
      <c r="B354" s="206" t="s">
        <v>103</v>
      </c>
      <c r="C354" s="205" t="s">
        <v>266</v>
      </c>
      <c r="D354" s="204" t="s">
        <v>651</v>
      </c>
      <c r="E354" s="200">
        <v>35000000</v>
      </c>
      <c r="F354" s="200">
        <v>0</v>
      </c>
      <c r="G354" s="200">
        <f>'25.企業債（23決算）'!G354+'25.企業債（24決算）'!F354</f>
        <v>35000000</v>
      </c>
      <c r="H354" s="200">
        <f t="shared" si="6"/>
        <v>0</v>
      </c>
      <c r="I354" s="201">
        <v>4.5</v>
      </c>
      <c r="J354" s="202" t="s">
        <v>244</v>
      </c>
    </row>
    <row r="355" spans="1:10" ht="14.25" customHeight="1">
      <c r="A355" s="203"/>
      <c r="B355" s="206">
        <v>6</v>
      </c>
      <c r="C355" s="205" t="s">
        <v>189</v>
      </c>
      <c r="D355" s="206" t="s">
        <v>105</v>
      </c>
      <c r="E355" s="200">
        <v>30000000</v>
      </c>
      <c r="F355" s="200">
        <v>1303593</v>
      </c>
      <c r="G355" s="200">
        <f>'25.企業債（23決算）'!G355+'25.企業債（24決算）'!F355</f>
        <v>13018836</v>
      </c>
      <c r="H355" s="200">
        <f t="shared" si="6"/>
        <v>16981164</v>
      </c>
      <c r="I355" s="201">
        <v>4.7</v>
      </c>
      <c r="J355" s="202" t="s">
        <v>284</v>
      </c>
    </row>
    <row r="356" spans="1:10" ht="14.25" customHeight="1">
      <c r="A356" s="203"/>
      <c r="B356" s="206" t="s">
        <v>546</v>
      </c>
      <c r="C356" s="205" t="s">
        <v>266</v>
      </c>
      <c r="D356" s="206" t="s">
        <v>547</v>
      </c>
      <c r="E356" s="200">
        <v>580000000</v>
      </c>
      <c r="F356" s="200">
        <v>0</v>
      </c>
      <c r="G356" s="200">
        <f>'25.企業債（23決算）'!G356+'25.企業債（24決算）'!F356</f>
        <v>580000000</v>
      </c>
      <c r="H356" s="200">
        <f t="shared" si="6"/>
        <v>0</v>
      </c>
      <c r="I356" s="201">
        <v>3</v>
      </c>
      <c r="J356" s="202" t="s">
        <v>247</v>
      </c>
    </row>
    <row r="357" spans="1:10" ht="14.25" customHeight="1">
      <c r="A357" s="203"/>
      <c r="B357" s="206" t="s">
        <v>103</v>
      </c>
      <c r="C357" s="205" t="s">
        <v>185</v>
      </c>
      <c r="D357" s="206" t="s">
        <v>652</v>
      </c>
      <c r="E357" s="200">
        <v>35000000</v>
      </c>
      <c r="F357" s="200">
        <v>1343899</v>
      </c>
      <c r="G357" s="200">
        <f>'25.企業債（23決算）'!G357+'25.企業債（24決算）'!F357</f>
        <v>14124365</v>
      </c>
      <c r="H357" s="200">
        <f t="shared" si="6"/>
        <v>20875635</v>
      </c>
      <c r="I357" s="201">
        <v>3.15</v>
      </c>
      <c r="J357" s="202" t="s">
        <v>293</v>
      </c>
    </row>
    <row r="358" spans="1:10" ht="14.25" customHeight="1">
      <c r="A358" s="203"/>
      <c r="B358" s="206">
        <v>7</v>
      </c>
      <c r="C358" s="205" t="s">
        <v>189</v>
      </c>
      <c r="D358" s="206" t="s">
        <v>108</v>
      </c>
      <c r="E358" s="200">
        <v>194000000</v>
      </c>
      <c r="F358" s="200">
        <v>8250625</v>
      </c>
      <c r="G358" s="200">
        <f>'25.企業債（23決算）'!G358+'25.企業債（24決算）'!F358</f>
        <v>83645421</v>
      </c>
      <c r="H358" s="200">
        <f t="shared" si="6"/>
        <v>110354579</v>
      </c>
      <c r="I358" s="201">
        <v>3.2</v>
      </c>
      <c r="J358" s="202" t="s">
        <v>286</v>
      </c>
    </row>
    <row r="359" spans="1:10" ht="14.25" customHeight="1">
      <c r="A359" s="203"/>
      <c r="B359" s="206">
        <v>7</v>
      </c>
      <c r="C359" s="205" t="s">
        <v>185</v>
      </c>
      <c r="D359" s="206" t="s">
        <v>653</v>
      </c>
      <c r="E359" s="200">
        <v>129000000</v>
      </c>
      <c r="F359" s="200">
        <v>4836969</v>
      </c>
      <c r="G359" s="200">
        <f>'25.企業債（23決算）'!G359+'25.企業債（24決算）'!F359</f>
        <v>48038742</v>
      </c>
      <c r="H359" s="200">
        <f t="shared" si="6"/>
        <v>80961258</v>
      </c>
      <c r="I359" s="201">
        <v>2.9</v>
      </c>
      <c r="J359" s="216" t="s">
        <v>294</v>
      </c>
    </row>
    <row r="360" spans="1:10" ht="14.25" customHeight="1">
      <c r="A360" s="203"/>
      <c r="B360" s="206">
        <v>8</v>
      </c>
      <c r="C360" s="205" t="s">
        <v>189</v>
      </c>
      <c r="D360" s="206" t="s">
        <v>111</v>
      </c>
      <c r="E360" s="200">
        <v>227000000</v>
      </c>
      <c r="F360" s="200">
        <v>9427215</v>
      </c>
      <c r="G360" s="200">
        <f>'25.企業債（23決算）'!G360+'25.企業債（24決算）'!F360</f>
        <v>90378157</v>
      </c>
      <c r="H360" s="200">
        <f t="shared" si="6"/>
        <v>136621843</v>
      </c>
      <c r="I360" s="201">
        <v>2.85</v>
      </c>
      <c r="J360" s="216" t="s">
        <v>287</v>
      </c>
    </row>
    <row r="361" spans="1:10" ht="14.25" customHeight="1">
      <c r="A361" s="203"/>
      <c r="B361" s="206">
        <v>8</v>
      </c>
      <c r="C361" s="205" t="s">
        <v>185</v>
      </c>
      <c r="D361" s="206" t="s">
        <v>654</v>
      </c>
      <c r="E361" s="200">
        <v>278000000</v>
      </c>
      <c r="F361" s="200">
        <v>10284469</v>
      </c>
      <c r="G361" s="200">
        <f>'25.企業債（23決算）'!G361+'25.企業債（24決算）'!F361</f>
        <v>96236094</v>
      </c>
      <c r="H361" s="200">
        <f t="shared" si="6"/>
        <v>181763906</v>
      </c>
      <c r="I361" s="201">
        <v>2.5</v>
      </c>
      <c r="J361" s="216" t="s">
        <v>295</v>
      </c>
    </row>
    <row r="362" spans="1:10" ht="14.25" customHeight="1">
      <c r="A362" s="203"/>
      <c r="B362" s="206">
        <v>9</v>
      </c>
      <c r="C362" s="205" t="s">
        <v>189</v>
      </c>
      <c r="D362" s="206" t="s">
        <v>113</v>
      </c>
      <c r="E362" s="200">
        <v>375000000</v>
      </c>
      <c r="F362" s="200">
        <v>15465632</v>
      </c>
      <c r="G362" s="200">
        <f>'25.企業債（23決算）'!G362+'25.企業債（24決算）'!F362</f>
        <v>140732015</v>
      </c>
      <c r="H362" s="200">
        <f t="shared" si="6"/>
        <v>234267985</v>
      </c>
      <c r="I362" s="201">
        <v>2.15</v>
      </c>
      <c r="J362" s="216" t="s">
        <v>630</v>
      </c>
    </row>
    <row r="363" spans="1:10" ht="14.25" customHeight="1">
      <c r="A363" s="203"/>
      <c r="B363" s="206">
        <v>9</v>
      </c>
      <c r="C363" s="205" t="s">
        <v>185</v>
      </c>
      <c r="D363" s="206" t="s">
        <v>655</v>
      </c>
      <c r="E363" s="200">
        <v>563000000</v>
      </c>
      <c r="F363" s="200">
        <v>20602413</v>
      </c>
      <c r="G363" s="200">
        <f>'25.企業債（23決算）'!G363+'25.企業債（24決算）'!F363</f>
        <v>178660998</v>
      </c>
      <c r="H363" s="200">
        <f t="shared" si="6"/>
        <v>384339002</v>
      </c>
      <c r="I363" s="201">
        <v>2.2000000000000002</v>
      </c>
      <c r="J363" s="216" t="s">
        <v>296</v>
      </c>
    </row>
    <row r="364" spans="1:10" ht="14.25" customHeight="1">
      <c r="A364" s="203"/>
      <c r="B364" s="206">
        <v>10</v>
      </c>
      <c r="C364" s="205" t="s">
        <v>189</v>
      </c>
      <c r="D364" s="206" t="s">
        <v>117</v>
      </c>
      <c r="E364" s="200">
        <v>212000000</v>
      </c>
      <c r="F364" s="200">
        <v>8574887</v>
      </c>
      <c r="G364" s="200">
        <f>'25.企業債（23決算）'!G364+'25.企業債（24決算）'!F364</f>
        <v>71090565</v>
      </c>
      <c r="H364" s="200">
        <f t="shared" si="6"/>
        <v>140909435</v>
      </c>
      <c r="I364" s="201">
        <v>2.1</v>
      </c>
      <c r="J364" s="216" t="s">
        <v>294</v>
      </c>
    </row>
    <row r="365" spans="1:10" ht="14.25" customHeight="1">
      <c r="A365" s="203"/>
      <c r="B365" s="206">
        <v>10</v>
      </c>
      <c r="C365" s="205" t="s">
        <v>185</v>
      </c>
      <c r="D365" s="206" t="s">
        <v>656</v>
      </c>
      <c r="E365" s="200">
        <v>496000000</v>
      </c>
      <c r="F365" s="200">
        <v>18044068</v>
      </c>
      <c r="G365" s="200">
        <f>'25.企業債（23決算）'!G365+'25.企業債（24決算）'!F365</f>
        <v>149595322</v>
      </c>
      <c r="H365" s="200">
        <f t="shared" si="6"/>
        <v>346404678</v>
      </c>
      <c r="I365" s="201">
        <v>2.1</v>
      </c>
      <c r="J365" s="216" t="s">
        <v>296</v>
      </c>
    </row>
    <row r="366" spans="1:10" ht="14.25" customHeight="1">
      <c r="A366" s="215"/>
      <c r="B366" s="206">
        <v>11</v>
      </c>
      <c r="C366" s="205" t="s">
        <v>189</v>
      </c>
      <c r="D366" s="206" t="s">
        <v>120</v>
      </c>
      <c r="E366" s="200">
        <v>448000000</v>
      </c>
      <c r="F366" s="200">
        <v>17832075</v>
      </c>
      <c r="G366" s="200">
        <f>'25.企業債（23決算）'!G366+'25.企業債（24決算）'!F366</f>
        <v>133196750</v>
      </c>
      <c r="H366" s="200">
        <f t="shared" si="6"/>
        <v>314803250</v>
      </c>
      <c r="I366" s="201">
        <v>2</v>
      </c>
      <c r="J366" s="216" t="s">
        <v>121</v>
      </c>
    </row>
    <row r="367" spans="1:10" ht="14.25" customHeight="1">
      <c r="A367" s="215"/>
      <c r="B367" s="206">
        <v>11</v>
      </c>
      <c r="C367" s="205" t="s">
        <v>185</v>
      </c>
      <c r="D367" s="206" t="s">
        <v>657</v>
      </c>
      <c r="E367" s="200">
        <v>593000000</v>
      </c>
      <c r="F367" s="200">
        <v>21253881</v>
      </c>
      <c r="G367" s="200">
        <f>'25.企業債（23決算）'!G367+'25.企業債（24決算）'!F367</f>
        <v>158755948</v>
      </c>
      <c r="H367" s="200">
        <f t="shared" si="6"/>
        <v>434244052</v>
      </c>
      <c r="I367" s="201">
        <v>2</v>
      </c>
      <c r="J367" s="216" t="s">
        <v>658</v>
      </c>
    </row>
    <row r="368" spans="1:10" ht="14.25" customHeight="1">
      <c r="A368" s="215"/>
      <c r="B368" s="206">
        <v>12</v>
      </c>
      <c r="C368" s="205" t="s">
        <v>189</v>
      </c>
      <c r="D368" s="206" t="s">
        <v>297</v>
      </c>
      <c r="E368" s="200">
        <v>1584000000</v>
      </c>
      <c r="F368" s="200">
        <v>63062066</v>
      </c>
      <c r="G368" s="200">
        <f>'25.企業債（23決算）'!G368+'25.企業債（24決算）'!F368</f>
        <v>420427739</v>
      </c>
      <c r="H368" s="200">
        <f t="shared" si="6"/>
        <v>1163572261</v>
      </c>
      <c r="I368" s="201">
        <v>1.65</v>
      </c>
      <c r="J368" s="216" t="s">
        <v>296</v>
      </c>
    </row>
    <row r="369" spans="1:12" ht="14.25" customHeight="1">
      <c r="A369" s="215"/>
      <c r="B369" s="206">
        <v>13</v>
      </c>
      <c r="C369" s="205" t="s">
        <v>189</v>
      </c>
      <c r="D369" s="206" t="s">
        <v>97</v>
      </c>
      <c r="E369" s="200">
        <v>579000000</v>
      </c>
      <c r="F369" s="200">
        <v>21846028</v>
      </c>
      <c r="G369" s="200">
        <f>'25.企業債（23決算）'!G369+'25.企業債（24決算）'!F369</f>
        <v>124185563</v>
      </c>
      <c r="H369" s="200">
        <f t="shared" si="6"/>
        <v>454814437</v>
      </c>
      <c r="I369" s="201">
        <v>2.2000000000000002</v>
      </c>
      <c r="J369" s="216" t="s">
        <v>658</v>
      </c>
    </row>
    <row r="370" spans="1:12" ht="14.25" customHeight="1">
      <c r="A370" s="215"/>
      <c r="B370" s="206">
        <v>14</v>
      </c>
      <c r="C370" s="205" t="s">
        <v>189</v>
      </c>
      <c r="D370" s="206" t="s">
        <v>100</v>
      </c>
      <c r="E370" s="200">
        <v>1009000000</v>
      </c>
      <c r="F370" s="200">
        <v>39917868</v>
      </c>
      <c r="G370" s="200">
        <f>'25.企業債（23決算）'!G370+'25.企業債（24決算）'!F370</f>
        <v>194515916</v>
      </c>
      <c r="H370" s="200">
        <f t="shared" si="6"/>
        <v>814484084</v>
      </c>
      <c r="I370" s="201">
        <v>1.3</v>
      </c>
      <c r="J370" s="216" t="s">
        <v>96</v>
      </c>
    </row>
    <row r="371" spans="1:12" ht="14.25" customHeight="1">
      <c r="A371" s="215"/>
      <c r="B371" s="206">
        <v>15</v>
      </c>
      <c r="C371" s="205" t="s">
        <v>189</v>
      </c>
      <c r="D371" s="206" t="s">
        <v>101</v>
      </c>
      <c r="E371" s="200">
        <v>870000000</v>
      </c>
      <c r="F371" s="200">
        <v>32261083</v>
      </c>
      <c r="G371" s="200">
        <f>'25.企業債（23決算）'!G371+'25.企業債（24決算）'!F371</f>
        <v>125463391</v>
      </c>
      <c r="H371" s="200">
        <f t="shared" si="6"/>
        <v>744536609</v>
      </c>
      <c r="I371" s="201">
        <v>1.9</v>
      </c>
      <c r="J371" s="216" t="s">
        <v>99</v>
      </c>
    </row>
    <row r="372" spans="1:12" ht="14.25" customHeight="1">
      <c r="A372" s="215"/>
      <c r="B372" s="206">
        <v>16</v>
      </c>
      <c r="C372" s="205" t="s">
        <v>189</v>
      </c>
      <c r="D372" s="206" t="s">
        <v>102</v>
      </c>
      <c r="E372" s="200">
        <v>693000000</v>
      </c>
      <c r="F372" s="200">
        <v>24728056</v>
      </c>
      <c r="G372" s="200">
        <f>'25.企業債（23決算）'!G372+'25.企業債（24決算）'!F372</f>
        <v>72661067</v>
      </c>
      <c r="H372" s="200">
        <f t="shared" si="6"/>
        <v>620338933</v>
      </c>
      <c r="I372" s="201">
        <v>2.1</v>
      </c>
      <c r="J372" s="216" t="s">
        <v>159</v>
      </c>
    </row>
    <row r="373" spans="1:12" ht="14.25" customHeight="1">
      <c r="A373" s="203"/>
      <c r="B373" s="204">
        <v>17</v>
      </c>
      <c r="C373" s="205" t="s">
        <v>189</v>
      </c>
      <c r="D373" s="206" t="s">
        <v>659</v>
      </c>
      <c r="E373" s="200">
        <v>362000000</v>
      </c>
      <c r="F373" s="200">
        <v>0</v>
      </c>
      <c r="G373" s="200">
        <f>'25.企業債（23決算）'!G373+'25.企業債（24決算）'!F373</f>
        <v>362000000</v>
      </c>
      <c r="H373" s="200">
        <f t="shared" si="6"/>
        <v>0</v>
      </c>
      <c r="I373" s="201">
        <v>2.0499999999999998</v>
      </c>
      <c r="J373" s="202" t="s">
        <v>492</v>
      </c>
    </row>
    <row r="374" spans="1:12" ht="14.25" customHeight="1">
      <c r="A374" s="203"/>
      <c r="B374" s="204">
        <v>17</v>
      </c>
      <c r="C374" s="205" t="s">
        <v>189</v>
      </c>
      <c r="D374" s="206" t="s">
        <v>659</v>
      </c>
      <c r="E374" s="200">
        <v>977000000</v>
      </c>
      <c r="F374" s="200">
        <v>0</v>
      </c>
      <c r="G374" s="200">
        <f>'25.企業債（23決算）'!G374+'25.企業債（24決算）'!F374</f>
        <v>977000000</v>
      </c>
      <c r="H374" s="200">
        <f t="shared" si="6"/>
        <v>0</v>
      </c>
      <c r="I374" s="201">
        <v>2.0499999999999998</v>
      </c>
      <c r="J374" s="202" t="s">
        <v>92</v>
      </c>
    </row>
    <row r="375" spans="1:12" ht="14.25" customHeight="1">
      <c r="A375" s="203"/>
      <c r="B375" s="204">
        <v>17</v>
      </c>
      <c r="C375" s="205" t="s">
        <v>189</v>
      </c>
      <c r="D375" s="206" t="s">
        <v>660</v>
      </c>
      <c r="E375" s="200">
        <v>1135000000</v>
      </c>
      <c r="F375" s="200">
        <v>40092508</v>
      </c>
      <c r="G375" s="200">
        <f>'25.企業債（23決算）'!G375+'25.企業債（24決算）'!F375</f>
        <v>79395035</v>
      </c>
      <c r="H375" s="200">
        <f t="shared" si="6"/>
        <v>1055604965</v>
      </c>
      <c r="I375" s="201">
        <v>2</v>
      </c>
      <c r="J375" s="202" t="s">
        <v>129</v>
      </c>
      <c r="K375" s="271"/>
    </row>
    <row r="376" spans="1:12" ht="14.25" customHeight="1">
      <c r="A376" s="203"/>
      <c r="B376" s="204">
        <v>18</v>
      </c>
      <c r="C376" s="205" t="s">
        <v>189</v>
      </c>
      <c r="D376" s="204" t="s">
        <v>641</v>
      </c>
      <c r="E376" s="200">
        <v>392300000</v>
      </c>
      <c r="F376" s="200">
        <v>0</v>
      </c>
      <c r="G376" s="200">
        <f>'25.企業債（23決算）'!G376+'25.企業債（24決算）'!F376</f>
        <v>392300000</v>
      </c>
      <c r="H376" s="200">
        <f t="shared" si="6"/>
        <v>0</v>
      </c>
      <c r="I376" s="201">
        <v>2.5499999999999998</v>
      </c>
      <c r="J376" s="202" t="s">
        <v>144</v>
      </c>
    </row>
    <row r="377" spans="1:12" ht="14.25" customHeight="1">
      <c r="A377" s="203"/>
      <c r="B377" s="204">
        <v>18</v>
      </c>
      <c r="C377" s="205" t="s">
        <v>189</v>
      </c>
      <c r="D377" s="204" t="s">
        <v>641</v>
      </c>
      <c r="E377" s="200">
        <v>1195300000</v>
      </c>
      <c r="F377" s="200">
        <v>0</v>
      </c>
      <c r="G377" s="200">
        <f>'25.企業債（23決算）'!G377+'25.企業債（24決算）'!F377</f>
        <v>1195300000</v>
      </c>
      <c r="H377" s="200">
        <f t="shared" si="6"/>
        <v>0</v>
      </c>
      <c r="I377" s="201">
        <v>2.5499999999999998</v>
      </c>
      <c r="J377" s="202" t="s">
        <v>504</v>
      </c>
    </row>
    <row r="378" spans="1:12" ht="14.25" customHeight="1">
      <c r="A378" s="203"/>
      <c r="B378" s="204">
        <v>18</v>
      </c>
      <c r="C378" s="205" t="s">
        <v>189</v>
      </c>
      <c r="D378" s="204" t="s">
        <v>347</v>
      </c>
      <c r="E378" s="200">
        <v>1109000000</v>
      </c>
      <c r="F378" s="200">
        <v>37952730</v>
      </c>
      <c r="G378" s="200">
        <f>'25.企業債（23決算）'!G378+'25.企業債（24決算）'!F378</f>
        <v>37952730</v>
      </c>
      <c r="H378" s="200">
        <f t="shared" si="6"/>
        <v>1071047270</v>
      </c>
      <c r="I378" s="201">
        <v>2.1</v>
      </c>
      <c r="J378" s="202" t="s">
        <v>344</v>
      </c>
    </row>
    <row r="379" spans="1:12" ht="14.25" customHeight="1">
      <c r="A379" s="203"/>
      <c r="B379" s="204">
        <v>19</v>
      </c>
      <c r="C379" s="205" t="s">
        <v>495</v>
      </c>
      <c r="D379" s="204" t="s">
        <v>496</v>
      </c>
      <c r="E379" s="200">
        <v>417100000</v>
      </c>
      <c r="F379" s="200">
        <v>0</v>
      </c>
      <c r="G379" s="200">
        <f>'25.企業債（23決算）'!G379+'25.企業債（24決算）'!F379</f>
        <v>417100000</v>
      </c>
      <c r="H379" s="200">
        <f t="shared" si="6"/>
        <v>0</v>
      </c>
      <c r="I379" s="201">
        <v>2.4</v>
      </c>
      <c r="J379" s="202" t="s">
        <v>144</v>
      </c>
    </row>
    <row r="380" spans="1:12" ht="14.25" customHeight="1">
      <c r="A380" s="203"/>
      <c r="B380" s="204">
        <v>19</v>
      </c>
      <c r="C380" s="205" t="s">
        <v>495</v>
      </c>
      <c r="D380" s="204" t="s">
        <v>496</v>
      </c>
      <c r="E380" s="200">
        <v>213300000</v>
      </c>
      <c r="F380" s="200">
        <v>0</v>
      </c>
      <c r="G380" s="200">
        <f>'25.企業債（23決算）'!G380+'25.企業債（24決算）'!F380</f>
        <v>213300000</v>
      </c>
      <c r="H380" s="200">
        <f t="shared" si="6"/>
        <v>0</v>
      </c>
      <c r="I380" s="201">
        <v>2.4</v>
      </c>
      <c r="J380" s="202" t="s">
        <v>567</v>
      </c>
    </row>
    <row r="381" spans="1:12" ht="14.25" customHeight="1">
      <c r="A381" s="203"/>
      <c r="B381" s="204">
        <v>19</v>
      </c>
      <c r="C381" s="205" t="s">
        <v>495</v>
      </c>
      <c r="D381" s="204" t="s">
        <v>632</v>
      </c>
      <c r="E381" s="200">
        <v>1129000000</v>
      </c>
      <c r="F381" s="200">
        <v>0</v>
      </c>
      <c r="G381" s="200">
        <f>'25.企業債（23決算）'!G381+'25.企業債（24決算）'!F381</f>
        <v>0</v>
      </c>
      <c r="H381" s="200">
        <f t="shared" si="6"/>
        <v>1129000000</v>
      </c>
      <c r="I381" s="201">
        <v>2.0499999999999998</v>
      </c>
      <c r="J381" s="202" t="s">
        <v>661</v>
      </c>
    </row>
    <row r="382" spans="1:12" ht="14.25" customHeight="1">
      <c r="A382" s="203"/>
      <c r="B382" s="204">
        <v>20</v>
      </c>
      <c r="C382" s="217" t="s">
        <v>695</v>
      </c>
      <c r="D382" s="204" t="s">
        <v>624</v>
      </c>
      <c r="E382" s="200">
        <v>1276000000</v>
      </c>
      <c r="F382" s="200">
        <v>0</v>
      </c>
      <c r="G382" s="200">
        <f>'25.企業債（23決算）'!G382+'25.企業債（24決算）'!F382</f>
        <v>0</v>
      </c>
      <c r="H382" s="200">
        <f t="shared" si="6"/>
        <v>1276000000</v>
      </c>
      <c r="I382" s="201">
        <v>1.9</v>
      </c>
      <c r="J382" s="202" t="s">
        <v>662</v>
      </c>
    </row>
    <row r="383" spans="1:12" ht="14.25" customHeight="1">
      <c r="A383" s="203"/>
      <c r="B383" s="204">
        <v>21</v>
      </c>
      <c r="C383" s="205" t="s">
        <v>345</v>
      </c>
      <c r="D383" s="204" t="s">
        <v>808</v>
      </c>
      <c r="E383" s="200">
        <v>1020000000</v>
      </c>
      <c r="F383" s="200">
        <v>0</v>
      </c>
      <c r="G383" s="200">
        <f>'25.企業債（23決算）'!G383+'25.企業債（24決算）'!F383</f>
        <v>0</v>
      </c>
      <c r="H383" s="200">
        <f t="shared" si="6"/>
        <v>1020000000</v>
      </c>
      <c r="I383" s="201">
        <v>2.1</v>
      </c>
      <c r="J383" s="202" t="s">
        <v>696</v>
      </c>
      <c r="L383" s="267"/>
    </row>
    <row r="384" spans="1:12" ht="14.25" customHeight="1">
      <c r="A384" s="203"/>
      <c r="B384" s="204">
        <v>22</v>
      </c>
      <c r="C384" s="205" t="s">
        <v>345</v>
      </c>
      <c r="D384" s="204" t="s">
        <v>887</v>
      </c>
      <c r="E384" s="200">
        <v>751000000</v>
      </c>
      <c r="F384" s="200">
        <v>0</v>
      </c>
      <c r="G384" s="200">
        <v>0</v>
      </c>
      <c r="H384" s="200">
        <f t="shared" si="6"/>
        <v>751000000</v>
      </c>
      <c r="I384" s="201">
        <v>1.9</v>
      </c>
      <c r="J384" s="202" t="s">
        <v>888</v>
      </c>
    </row>
    <row r="385" spans="1:11" ht="17.25" customHeight="1">
      <c r="A385" s="219" t="s">
        <v>376</v>
      </c>
      <c r="B385" s="220" t="s">
        <v>173</v>
      </c>
      <c r="C385" s="221" t="s">
        <v>173</v>
      </c>
      <c r="D385" s="222"/>
      <c r="E385" s="245">
        <f>SUM(E292:E344,E349:E384)</f>
        <v>69239000000</v>
      </c>
      <c r="F385" s="245">
        <f>SUM(F292:F344,F349:F384)</f>
        <v>751430970</v>
      </c>
      <c r="G385" s="245">
        <f>SUM(G292:G344,G349:G384)</f>
        <v>54572334976</v>
      </c>
      <c r="H385" s="245">
        <f>SUM(H292:H344,H349:H384)</f>
        <v>14666665024</v>
      </c>
      <c r="I385" s="223"/>
      <c r="J385" s="224" t="s">
        <v>173</v>
      </c>
    </row>
    <row r="386" spans="1:11" ht="14.25" customHeight="1">
      <c r="A386" s="215" t="s">
        <v>298</v>
      </c>
      <c r="B386" s="206" t="s">
        <v>663</v>
      </c>
      <c r="C386" s="205" t="s">
        <v>180</v>
      </c>
      <c r="D386" s="206" t="s">
        <v>664</v>
      </c>
      <c r="E386" s="200">
        <v>299000000</v>
      </c>
      <c r="F386" s="200">
        <v>0</v>
      </c>
      <c r="G386" s="200">
        <v>299000000</v>
      </c>
      <c r="H386" s="200">
        <f t="shared" si="6"/>
        <v>0</v>
      </c>
      <c r="I386" s="213">
        <v>8</v>
      </c>
      <c r="J386" s="214" t="s">
        <v>217</v>
      </c>
      <c r="K386" s="271"/>
    </row>
    <row r="387" spans="1:11" ht="14.25" customHeight="1">
      <c r="A387" s="203" t="s">
        <v>182</v>
      </c>
      <c r="B387" s="204">
        <v>54</v>
      </c>
      <c r="C387" s="263" t="s">
        <v>180</v>
      </c>
      <c r="D387" s="206" t="s">
        <v>665</v>
      </c>
      <c r="E387" s="200">
        <v>535000000</v>
      </c>
      <c r="F387" s="200">
        <v>0</v>
      </c>
      <c r="G387" s="200">
        <v>535000000</v>
      </c>
      <c r="H387" s="200">
        <f t="shared" si="6"/>
        <v>0</v>
      </c>
      <c r="I387" s="201">
        <v>8.1</v>
      </c>
      <c r="J387" s="202" t="s">
        <v>223</v>
      </c>
    </row>
    <row r="388" spans="1:11" ht="14.25" customHeight="1">
      <c r="A388" s="203"/>
      <c r="B388" s="204">
        <v>55</v>
      </c>
      <c r="C388" s="263" t="s">
        <v>180</v>
      </c>
      <c r="D388" s="206" t="s">
        <v>666</v>
      </c>
      <c r="E388" s="200">
        <v>640000000</v>
      </c>
      <c r="F388" s="200">
        <v>0</v>
      </c>
      <c r="G388" s="200">
        <v>640000000</v>
      </c>
      <c r="H388" s="200">
        <f t="shared" si="6"/>
        <v>0</v>
      </c>
      <c r="I388" s="201">
        <v>7.8</v>
      </c>
      <c r="J388" s="202" t="s">
        <v>227</v>
      </c>
    </row>
    <row r="389" spans="1:11" ht="17.25" customHeight="1">
      <c r="A389" s="219" t="s">
        <v>376</v>
      </c>
      <c r="B389" s="220" t="s">
        <v>173</v>
      </c>
      <c r="C389" s="221" t="s">
        <v>173</v>
      </c>
      <c r="D389" s="222" t="s">
        <v>173</v>
      </c>
      <c r="E389" s="245">
        <f>SUM(E386:E388)</f>
        <v>1474000000</v>
      </c>
      <c r="F389" s="245">
        <f>SUM(F386:F388)</f>
        <v>0</v>
      </c>
      <c r="G389" s="245">
        <f>SUM(G386:G388)</f>
        <v>1474000000</v>
      </c>
      <c r="H389" s="245">
        <f>SUM(H386:H388)</f>
        <v>0</v>
      </c>
      <c r="I389" s="223"/>
      <c r="J389" s="224" t="s">
        <v>173</v>
      </c>
    </row>
    <row r="390" spans="1:11" ht="14.25" customHeight="1">
      <c r="A390" s="209" t="s">
        <v>299</v>
      </c>
      <c r="B390" s="211" t="s">
        <v>667</v>
      </c>
      <c r="C390" s="249" t="s">
        <v>189</v>
      </c>
      <c r="D390" s="211" t="s">
        <v>668</v>
      </c>
      <c r="E390" s="250">
        <v>440000000</v>
      </c>
      <c r="F390" s="200">
        <v>20927419</v>
      </c>
      <c r="G390" s="200">
        <f>'25.企業債（23決算）'!G390+'25.企業債（24決算）'!F390</f>
        <v>234871631</v>
      </c>
      <c r="H390" s="200">
        <f t="shared" si="6"/>
        <v>205128369</v>
      </c>
      <c r="I390" s="213">
        <v>4.45</v>
      </c>
      <c r="J390" s="214" t="s">
        <v>285</v>
      </c>
    </row>
    <row r="391" spans="1:11" ht="14.25" customHeight="1">
      <c r="A391" s="203" t="s">
        <v>182</v>
      </c>
      <c r="B391" s="206">
        <v>4</v>
      </c>
      <c r="C391" s="205" t="s">
        <v>185</v>
      </c>
      <c r="D391" s="206" t="s">
        <v>540</v>
      </c>
      <c r="E391" s="200">
        <v>660000000</v>
      </c>
      <c r="F391" s="200">
        <v>26462997</v>
      </c>
      <c r="G391" s="200">
        <f>'25.企業債（23決算）'!G391+'25.企業債（24決算）'!F391</f>
        <v>295982743</v>
      </c>
      <c r="H391" s="200">
        <f t="shared" si="6"/>
        <v>364017257</v>
      </c>
      <c r="I391" s="201">
        <v>3.65</v>
      </c>
      <c r="J391" s="202" t="s">
        <v>286</v>
      </c>
    </row>
    <row r="392" spans="1:11" ht="14.25" customHeight="1">
      <c r="A392" s="203"/>
      <c r="B392" s="206">
        <v>5</v>
      </c>
      <c r="C392" s="205" t="s">
        <v>189</v>
      </c>
      <c r="D392" s="206" t="s">
        <v>540</v>
      </c>
      <c r="E392" s="200">
        <v>650000000</v>
      </c>
      <c r="F392" s="200">
        <v>29529963</v>
      </c>
      <c r="G392" s="200">
        <f>'25.企業債（23決算）'!G392+'25.企業債（24決算）'!F392</f>
        <v>329328958</v>
      </c>
      <c r="H392" s="200">
        <f t="shared" si="6"/>
        <v>320671042</v>
      </c>
      <c r="I392" s="201">
        <v>3.7</v>
      </c>
      <c r="J392" s="202" t="s">
        <v>282</v>
      </c>
    </row>
    <row r="393" spans="1:11" ht="14.25" customHeight="1">
      <c r="A393" s="203"/>
      <c r="B393" s="206">
        <v>5</v>
      </c>
      <c r="C393" s="205" t="s">
        <v>185</v>
      </c>
      <c r="D393" s="206" t="s">
        <v>650</v>
      </c>
      <c r="E393" s="200">
        <v>650000000</v>
      </c>
      <c r="F393" s="200">
        <v>25151427</v>
      </c>
      <c r="G393" s="200">
        <f>'25.企業債（23決算）'!G393+'25.企業債（24決算）'!F393</f>
        <v>257440221</v>
      </c>
      <c r="H393" s="200">
        <f t="shared" si="6"/>
        <v>392559779</v>
      </c>
      <c r="I393" s="201">
        <v>4.75</v>
      </c>
      <c r="J393" s="216" t="s">
        <v>287</v>
      </c>
    </row>
    <row r="394" spans="1:11" ht="14.25" customHeight="1">
      <c r="A394" s="203"/>
      <c r="B394" s="206">
        <v>6</v>
      </c>
      <c r="C394" s="205" t="s">
        <v>266</v>
      </c>
      <c r="D394" s="206" t="s">
        <v>543</v>
      </c>
      <c r="E394" s="200">
        <v>702000000</v>
      </c>
      <c r="F394" s="200">
        <v>0</v>
      </c>
      <c r="G394" s="200">
        <f>'25.企業債（23決算）'!G394+'25.企業債（24決算）'!F394</f>
        <v>702000000</v>
      </c>
      <c r="H394" s="200">
        <f t="shared" si="6"/>
        <v>0</v>
      </c>
      <c r="I394" s="201">
        <v>4.5</v>
      </c>
      <c r="J394" s="202" t="s">
        <v>244</v>
      </c>
    </row>
    <row r="395" spans="1:11" ht="14.25" customHeight="1">
      <c r="A395" s="215"/>
      <c r="B395" s="206">
        <v>6</v>
      </c>
      <c r="C395" s="205" t="s">
        <v>189</v>
      </c>
      <c r="D395" s="206" t="s">
        <v>105</v>
      </c>
      <c r="E395" s="200">
        <v>1122000000</v>
      </c>
      <c r="F395" s="200">
        <v>48754361</v>
      </c>
      <c r="G395" s="200">
        <f>'25.企業債（23決算）'!G395+'25.企業債（24決算）'!F395</f>
        <v>486904420</v>
      </c>
      <c r="H395" s="200">
        <f t="shared" si="6"/>
        <v>635095580</v>
      </c>
      <c r="I395" s="201">
        <v>4.7</v>
      </c>
      <c r="J395" s="202" t="s">
        <v>284</v>
      </c>
    </row>
    <row r="396" spans="1:11" ht="14.25" customHeight="1">
      <c r="A396" s="203"/>
      <c r="B396" s="206">
        <v>6</v>
      </c>
      <c r="C396" s="205" t="s">
        <v>185</v>
      </c>
      <c r="D396" s="206" t="s">
        <v>669</v>
      </c>
      <c r="E396" s="200">
        <v>1482000000</v>
      </c>
      <c r="F396" s="200">
        <v>56904530</v>
      </c>
      <c r="G396" s="200">
        <f>'25.企業債（23決算）'!G396+'25.企業債（24決算）'!F396</f>
        <v>598065960</v>
      </c>
      <c r="H396" s="200">
        <f t="shared" si="6"/>
        <v>883934040</v>
      </c>
      <c r="I396" s="201">
        <v>3.15</v>
      </c>
      <c r="J396" s="202" t="s">
        <v>293</v>
      </c>
    </row>
    <row r="397" spans="1:11" ht="14.25" customHeight="1">
      <c r="A397" s="203"/>
      <c r="B397" s="206">
        <v>7</v>
      </c>
      <c r="C397" s="205" t="s">
        <v>189</v>
      </c>
      <c r="D397" s="206" t="s">
        <v>670</v>
      </c>
      <c r="E397" s="200">
        <v>3595000000</v>
      </c>
      <c r="F397" s="200">
        <v>152891751</v>
      </c>
      <c r="G397" s="200">
        <f>'25.企業債（23決算）'!G397+'25.企業債（24決算）'!F397</f>
        <v>1550027265</v>
      </c>
      <c r="H397" s="200">
        <f t="shared" si="6"/>
        <v>2044972735</v>
      </c>
      <c r="I397" s="201">
        <v>3.2</v>
      </c>
      <c r="J397" s="202" t="s">
        <v>286</v>
      </c>
    </row>
    <row r="398" spans="1:11" ht="14.25" customHeight="1">
      <c r="A398" s="203"/>
      <c r="B398" s="206">
        <v>7</v>
      </c>
      <c r="C398" s="205" t="s">
        <v>185</v>
      </c>
      <c r="D398" s="206" t="s">
        <v>653</v>
      </c>
      <c r="E398" s="200">
        <v>3195000000</v>
      </c>
      <c r="F398" s="200">
        <v>119799348</v>
      </c>
      <c r="G398" s="200">
        <f>'25.企業債（23決算）'!G398+'25.企業債（24決算）'!F398</f>
        <v>1189796756</v>
      </c>
      <c r="H398" s="200">
        <f t="shared" si="6"/>
        <v>2005203244</v>
      </c>
      <c r="I398" s="201">
        <v>2.9</v>
      </c>
      <c r="J398" s="216" t="s">
        <v>294</v>
      </c>
    </row>
    <row r="399" spans="1:11" ht="14.25" customHeight="1">
      <c r="A399" s="218"/>
      <c r="B399" s="204">
        <v>8</v>
      </c>
      <c r="C399" s="205" t="s">
        <v>189</v>
      </c>
      <c r="D399" s="204" t="s">
        <v>822</v>
      </c>
      <c r="E399" s="200">
        <v>4848000000</v>
      </c>
      <c r="F399" s="200">
        <v>201335410</v>
      </c>
      <c r="G399" s="200">
        <f>'25.企業債（23決算）'!G399+'25.企業債（24決算）'!F399</f>
        <v>1930190791</v>
      </c>
      <c r="H399" s="200">
        <f t="shared" si="6"/>
        <v>2917809209</v>
      </c>
      <c r="I399" s="201">
        <v>2.85</v>
      </c>
      <c r="J399" s="202" t="s">
        <v>287</v>
      </c>
    </row>
    <row r="400" spans="1:11" ht="14.25" customHeight="1">
      <c r="A400" s="218"/>
      <c r="B400" s="204">
        <v>8</v>
      </c>
      <c r="C400" s="205" t="s">
        <v>185</v>
      </c>
      <c r="D400" s="206" t="s">
        <v>671</v>
      </c>
      <c r="E400" s="200">
        <v>5118000000</v>
      </c>
      <c r="F400" s="200">
        <v>192115330</v>
      </c>
      <c r="G400" s="200">
        <f>'25.企業債（23決算）'!G400+'25.企業債（24決算）'!F400</f>
        <v>1830284988</v>
      </c>
      <c r="H400" s="200">
        <f t="shared" si="6"/>
        <v>3287715012</v>
      </c>
      <c r="I400" s="201">
        <v>2.1</v>
      </c>
      <c r="J400" s="216" t="s">
        <v>295</v>
      </c>
    </row>
    <row r="401" spans="1:10" ht="14.25" customHeight="1">
      <c r="A401" s="218"/>
      <c r="B401" s="206">
        <v>9</v>
      </c>
      <c r="C401" s="205" t="s">
        <v>189</v>
      </c>
      <c r="D401" s="206" t="s">
        <v>113</v>
      </c>
      <c r="E401" s="200">
        <v>3566000000</v>
      </c>
      <c r="F401" s="200">
        <v>147067853</v>
      </c>
      <c r="G401" s="200">
        <f>'25.企業債（23決算）'!G401+'25.企業債（24決算）'!F401</f>
        <v>1338267639</v>
      </c>
      <c r="H401" s="200">
        <f t="shared" si="6"/>
        <v>2227732361</v>
      </c>
      <c r="I401" s="201">
        <v>2.15</v>
      </c>
      <c r="J401" s="216" t="s">
        <v>293</v>
      </c>
    </row>
    <row r="402" spans="1:10" ht="14.25" customHeight="1">
      <c r="A402" s="218"/>
      <c r="B402" s="204">
        <v>9</v>
      </c>
      <c r="C402" s="205" t="s">
        <v>185</v>
      </c>
      <c r="D402" s="206" t="s">
        <v>655</v>
      </c>
      <c r="E402" s="200">
        <v>5348000000</v>
      </c>
      <c r="F402" s="200">
        <v>195704626</v>
      </c>
      <c r="G402" s="200">
        <f>'25.企業債（23決算）'!G402+'25.企業債（24決算）'!F402</f>
        <v>1697120802</v>
      </c>
      <c r="H402" s="200">
        <f t="shared" si="6"/>
        <v>3650879198</v>
      </c>
      <c r="I402" s="201">
        <v>2.2000000000000002</v>
      </c>
      <c r="J402" s="216" t="s">
        <v>296</v>
      </c>
    </row>
    <row r="403" spans="1:10" ht="14.25" customHeight="1">
      <c r="A403" s="218"/>
      <c r="B403" s="206">
        <v>10</v>
      </c>
      <c r="C403" s="205" t="s">
        <v>189</v>
      </c>
      <c r="D403" s="206" t="s">
        <v>117</v>
      </c>
      <c r="E403" s="200">
        <v>2758000000</v>
      </c>
      <c r="F403" s="200">
        <v>111554430</v>
      </c>
      <c r="G403" s="200">
        <f>'25.企業債（23決算）'!G403+'25.企業債（24決算）'!F403</f>
        <v>924848024</v>
      </c>
      <c r="H403" s="200">
        <f t="shared" si="6"/>
        <v>1833151976</v>
      </c>
      <c r="I403" s="201">
        <v>2.1</v>
      </c>
      <c r="J403" s="216" t="s">
        <v>294</v>
      </c>
    </row>
    <row r="404" spans="1:10" ht="14.25" customHeight="1">
      <c r="A404" s="218"/>
      <c r="B404" s="206">
        <v>10</v>
      </c>
      <c r="C404" s="205" t="s">
        <v>185</v>
      </c>
      <c r="D404" s="206" t="s">
        <v>656</v>
      </c>
      <c r="E404" s="200">
        <v>3707000000</v>
      </c>
      <c r="F404" s="200">
        <v>134857583</v>
      </c>
      <c r="G404" s="200">
        <f>'25.企業債（23決算）'!G404+'25.企業債（24決算）'!F404</f>
        <v>1118044072</v>
      </c>
      <c r="H404" s="200">
        <f t="shared" si="6"/>
        <v>2588955928</v>
      </c>
      <c r="I404" s="201">
        <v>2.1</v>
      </c>
      <c r="J404" s="216" t="s">
        <v>296</v>
      </c>
    </row>
    <row r="405" spans="1:10" ht="14.25" customHeight="1">
      <c r="A405" s="218"/>
      <c r="B405" s="206">
        <v>11</v>
      </c>
      <c r="C405" s="205" t="s">
        <v>266</v>
      </c>
      <c r="D405" s="206" t="s">
        <v>84</v>
      </c>
      <c r="E405" s="200">
        <v>2000000000</v>
      </c>
      <c r="F405" s="200">
        <v>0</v>
      </c>
      <c r="G405" s="200">
        <f>'25.企業債（23決算）'!G405+'25.企業債（24決算）'!F405</f>
        <v>2000000000</v>
      </c>
      <c r="H405" s="200">
        <f t="shared" si="6"/>
        <v>0</v>
      </c>
      <c r="I405" s="201">
        <v>1.8</v>
      </c>
      <c r="J405" s="216" t="s">
        <v>492</v>
      </c>
    </row>
    <row r="406" spans="1:10" ht="14.25" customHeight="1" thickBot="1">
      <c r="A406" s="218"/>
      <c r="B406" s="206">
        <v>11</v>
      </c>
      <c r="C406" s="205" t="s">
        <v>189</v>
      </c>
      <c r="D406" s="206" t="s">
        <v>120</v>
      </c>
      <c r="E406" s="200">
        <v>1860000000</v>
      </c>
      <c r="F406" s="200">
        <v>74034951</v>
      </c>
      <c r="G406" s="200">
        <f>'25.企業債（23決算）'!G406+'25.企業債（24決算）'!F406</f>
        <v>553004363</v>
      </c>
      <c r="H406" s="200">
        <f t="shared" si="6"/>
        <v>1306995637</v>
      </c>
      <c r="I406" s="201">
        <v>2</v>
      </c>
      <c r="J406" s="216" t="s">
        <v>121</v>
      </c>
    </row>
    <row r="407" spans="1:10" ht="9.75" customHeight="1" thickBot="1">
      <c r="A407" s="257"/>
      <c r="B407" s="258"/>
      <c r="C407" s="257"/>
      <c r="D407" s="258"/>
      <c r="E407" s="259"/>
      <c r="F407" s="259"/>
      <c r="G407" s="259"/>
      <c r="H407" s="259"/>
      <c r="I407" s="260"/>
      <c r="J407" s="261"/>
    </row>
    <row r="408" spans="1:10">
      <c r="A408" s="479" t="s">
        <v>85</v>
      </c>
      <c r="B408" s="481" t="s">
        <v>311</v>
      </c>
      <c r="C408" s="483" t="s">
        <v>86</v>
      </c>
      <c r="D408" s="481" t="s">
        <v>312</v>
      </c>
      <c r="E408" s="485" t="s">
        <v>87</v>
      </c>
      <c r="F408" s="487" t="s">
        <v>88</v>
      </c>
      <c r="G408" s="493"/>
      <c r="H408" s="489" t="s">
        <v>174</v>
      </c>
      <c r="I408" s="491" t="s">
        <v>89</v>
      </c>
      <c r="J408" s="477" t="s">
        <v>313</v>
      </c>
    </row>
    <row r="409" spans="1:10">
      <c r="A409" s="480"/>
      <c r="B409" s="482"/>
      <c r="C409" s="484"/>
      <c r="D409" s="482"/>
      <c r="E409" s="486"/>
      <c r="F409" s="207" t="s">
        <v>176</v>
      </c>
      <c r="G409" s="207" t="s">
        <v>305</v>
      </c>
      <c r="H409" s="490"/>
      <c r="I409" s="492"/>
      <c r="J409" s="478"/>
    </row>
    <row r="410" spans="1:10">
      <c r="A410" s="209"/>
      <c r="B410" s="210"/>
      <c r="C410" s="210"/>
      <c r="D410" s="211" t="s">
        <v>177</v>
      </c>
      <c r="E410" s="212" t="s">
        <v>178</v>
      </c>
      <c r="F410" s="212" t="s">
        <v>172</v>
      </c>
      <c r="G410" s="212" t="s">
        <v>178</v>
      </c>
      <c r="H410" s="212" t="s">
        <v>178</v>
      </c>
      <c r="I410" s="213" t="s">
        <v>90</v>
      </c>
      <c r="J410" s="214" t="s">
        <v>175</v>
      </c>
    </row>
    <row r="411" spans="1:10" ht="14.25" customHeight="1">
      <c r="A411" s="215" t="s">
        <v>299</v>
      </c>
      <c r="B411" s="204" t="s">
        <v>342</v>
      </c>
      <c r="C411" s="205" t="s">
        <v>185</v>
      </c>
      <c r="D411" s="206" t="s">
        <v>697</v>
      </c>
      <c r="E411" s="200">
        <v>2253000000</v>
      </c>
      <c r="F411" s="200">
        <v>80750411</v>
      </c>
      <c r="G411" s="200">
        <f>'25.企業債（23決算）'!G411+'25.企業債（24決算）'!F411</f>
        <v>603165518</v>
      </c>
      <c r="H411" s="200">
        <f t="shared" ref="H411:H426" si="7">E411-G411</f>
        <v>1649834482</v>
      </c>
      <c r="I411" s="201">
        <v>2</v>
      </c>
      <c r="J411" s="216" t="s">
        <v>658</v>
      </c>
    </row>
    <row r="412" spans="1:10" ht="14.25" customHeight="1">
      <c r="A412" s="203" t="s">
        <v>182</v>
      </c>
      <c r="B412" s="206">
        <v>12</v>
      </c>
      <c r="C412" s="205" t="s">
        <v>266</v>
      </c>
      <c r="D412" s="206" t="s">
        <v>91</v>
      </c>
      <c r="E412" s="200">
        <v>1491000000</v>
      </c>
      <c r="F412" s="200">
        <v>0</v>
      </c>
      <c r="G412" s="200">
        <f>'25.企業債（23決算）'!G412+'25.企業債（24決算）'!F412</f>
        <v>1491000000</v>
      </c>
      <c r="H412" s="200">
        <f t="shared" si="7"/>
        <v>0</v>
      </c>
      <c r="I412" s="201">
        <v>1.7</v>
      </c>
      <c r="J412" s="216" t="s">
        <v>92</v>
      </c>
    </row>
    <row r="413" spans="1:10" ht="14.25" customHeight="1">
      <c r="A413" s="215"/>
      <c r="B413" s="204">
        <v>12</v>
      </c>
      <c r="C413" s="205" t="s">
        <v>189</v>
      </c>
      <c r="D413" s="206" t="s">
        <v>93</v>
      </c>
      <c r="E413" s="200">
        <v>1785000000</v>
      </c>
      <c r="F413" s="200">
        <v>71064260</v>
      </c>
      <c r="G413" s="200">
        <f>'25.企業債（23決算）'!G413+'25.企業債（24決算）'!F413</f>
        <v>473777471</v>
      </c>
      <c r="H413" s="200">
        <f t="shared" si="7"/>
        <v>1311222529</v>
      </c>
      <c r="I413" s="201">
        <v>1.65</v>
      </c>
      <c r="J413" s="216" t="s">
        <v>94</v>
      </c>
    </row>
    <row r="414" spans="1:10" ht="14.25" customHeight="1">
      <c r="A414" s="203"/>
      <c r="B414" s="206">
        <v>12</v>
      </c>
      <c r="C414" s="205" t="s">
        <v>164</v>
      </c>
      <c r="D414" s="206" t="s">
        <v>95</v>
      </c>
      <c r="E414" s="200">
        <v>1950000000</v>
      </c>
      <c r="F414" s="200">
        <v>70421343</v>
      </c>
      <c r="G414" s="200">
        <f>'25.企業債（23決算）'!G414+'25.企業債（24決算）'!F414</f>
        <v>470175199</v>
      </c>
      <c r="H414" s="200">
        <f t="shared" si="7"/>
        <v>1479824801</v>
      </c>
      <c r="I414" s="201">
        <v>1.6</v>
      </c>
      <c r="J414" s="216" t="s">
        <v>96</v>
      </c>
    </row>
    <row r="415" spans="1:10" ht="14.25" customHeight="1">
      <c r="A415" s="203"/>
      <c r="B415" s="206">
        <v>13</v>
      </c>
      <c r="C415" s="205" t="s">
        <v>189</v>
      </c>
      <c r="D415" s="206" t="s">
        <v>97</v>
      </c>
      <c r="E415" s="200">
        <v>2831000000</v>
      </c>
      <c r="F415" s="200">
        <v>106815381</v>
      </c>
      <c r="G415" s="200">
        <f>'25.企業債（23決算）'!G415+'25.企業債（24決算）'!F415</f>
        <v>607200920</v>
      </c>
      <c r="H415" s="200">
        <f t="shared" si="7"/>
        <v>2223799080</v>
      </c>
      <c r="I415" s="201">
        <v>2.2000000000000002</v>
      </c>
      <c r="J415" s="216" t="s">
        <v>658</v>
      </c>
    </row>
    <row r="416" spans="1:10" ht="14.25" customHeight="1">
      <c r="A416" s="203"/>
      <c r="B416" s="206">
        <v>13</v>
      </c>
      <c r="C416" s="205" t="s">
        <v>164</v>
      </c>
      <c r="D416" s="206" t="s">
        <v>98</v>
      </c>
      <c r="E416" s="200">
        <v>2948000000</v>
      </c>
      <c r="F416" s="200">
        <v>99926133</v>
      </c>
      <c r="G416" s="200">
        <f>'25.企業債（23決算）'!G416+'25.企業債（24決算）'!F416</f>
        <v>568038423</v>
      </c>
      <c r="H416" s="200">
        <f t="shared" si="7"/>
        <v>2379961577</v>
      </c>
      <c r="I416" s="201">
        <v>2.2000000000000002</v>
      </c>
      <c r="J416" s="216" t="s">
        <v>99</v>
      </c>
    </row>
    <row r="417" spans="1:10" ht="14.25" customHeight="1">
      <c r="A417" s="203"/>
      <c r="B417" s="206">
        <v>14</v>
      </c>
      <c r="C417" s="205" t="s">
        <v>164</v>
      </c>
      <c r="D417" s="206" t="s">
        <v>100</v>
      </c>
      <c r="E417" s="200">
        <v>519000000</v>
      </c>
      <c r="F417" s="200">
        <v>18795097</v>
      </c>
      <c r="G417" s="200">
        <f>'25.企業債（23決算）'!G417+'25.企業債（24決算）'!F417</f>
        <v>91766637</v>
      </c>
      <c r="H417" s="200">
        <f t="shared" si="7"/>
        <v>427233363</v>
      </c>
      <c r="I417" s="201">
        <v>1.2</v>
      </c>
      <c r="J417" s="216" t="s">
        <v>159</v>
      </c>
    </row>
    <row r="418" spans="1:10" ht="14.25" customHeight="1">
      <c r="A418" s="203"/>
      <c r="B418" s="204">
        <v>14</v>
      </c>
      <c r="C418" s="205" t="s">
        <v>189</v>
      </c>
      <c r="D418" s="206" t="s">
        <v>100</v>
      </c>
      <c r="E418" s="200">
        <v>2551000000</v>
      </c>
      <c r="F418" s="200">
        <v>100922181</v>
      </c>
      <c r="G418" s="200">
        <f>'25.企業債（23決算）'!G418+'25.企業債（24決算）'!F418</f>
        <v>491784044</v>
      </c>
      <c r="H418" s="200">
        <f t="shared" si="7"/>
        <v>2059215956</v>
      </c>
      <c r="I418" s="201">
        <v>1.3</v>
      </c>
      <c r="J418" s="216" t="s">
        <v>96</v>
      </c>
    </row>
    <row r="419" spans="1:10" ht="14.25" customHeight="1">
      <c r="A419" s="203"/>
      <c r="B419" s="206">
        <v>15</v>
      </c>
      <c r="C419" s="205" t="s">
        <v>189</v>
      </c>
      <c r="D419" s="206" t="s">
        <v>101</v>
      </c>
      <c r="E419" s="200">
        <v>992000000</v>
      </c>
      <c r="F419" s="200">
        <v>36785051</v>
      </c>
      <c r="G419" s="200">
        <f>'25.企業債（23決算）'!G419+'25.企業債（24決算）'!F419</f>
        <v>143057108</v>
      </c>
      <c r="H419" s="200">
        <f t="shared" si="7"/>
        <v>848942892</v>
      </c>
      <c r="I419" s="201">
        <v>1.9</v>
      </c>
      <c r="J419" s="216" t="s">
        <v>99</v>
      </c>
    </row>
    <row r="420" spans="1:10" ht="14.25" customHeight="1">
      <c r="A420" s="203"/>
      <c r="B420" s="206">
        <v>16</v>
      </c>
      <c r="C420" s="205" t="s">
        <v>189</v>
      </c>
      <c r="D420" s="206" t="s">
        <v>102</v>
      </c>
      <c r="E420" s="200">
        <v>235000000</v>
      </c>
      <c r="F420" s="200">
        <v>8385416</v>
      </c>
      <c r="G420" s="200">
        <f>'25.企業債（23決算）'!G420+'25.企業債（24決算）'!F420</f>
        <v>24639756</v>
      </c>
      <c r="H420" s="200">
        <f t="shared" si="7"/>
        <v>210360244</v>
      </c>
      <c r="I420" s="201">
        <v>2.1</v>
      </c>
      <c r="J420" s="216" t="s">
        <v>159</v>
      </c>
    </row>
    <row r="421" spans="1:10" ht="14.25" customHeight="1">
      <c r="A421" s="203"/>
      <c r="B421" s="206">
        <v>17</v>
      </c>
      <c r="C421" s="205" t="s">
        <v>189</v>
      </c>
      <c r="D421" s="206" t="s">
        <v>660</v>
      </c>
      <c r="E421" s="200">
        <v>100000000</v>
      </c>
      <c r="F421" s="200">
        <v>3532380</v>
      </c>
      <c r="G421" s="200">
        <f>'25.企業債（23決算）'!G421+'25.企業債（24決算）'!F421</f>
        <v>6995158</v>
      </c>
      <c r="H421" s="200">
        <f t="shared" si="7"/>
        <v>93004842</v>
      </c>
      <c r="I421" s="201">
        <v>2</v>
      </c>
      <c r="J421" s="216" t="s">
        <v>129</v>
      </c>
    </row>
    <row r="422" spans="1:10" ht="14.25" customHeight="1">
      <c r="A422" s="203"/>
      <c r="B422" s="206">
        <v>18</v>
      </c>
      <c r="C422" s="205" t="s">
        <v>189</v>
      </c>
      <c r="D422" s="206" t="s">
        <v>347</v>
      </c>
      <c r="E422" s="200">
        <v>259000000</v>
      </c>
      <c r="F422" s="200">
        <v>8863623</v>
      </c>
      <c r="G422" s="200">
        <f>'25.企業債（23決算）'!G422+'25.企業債（24決算）'!F422</f>
        <v>8863623</v>
      </c>
      <c r="H422" s="200">
        <f t="shared" si="7"/>
        <v>250136377</v>
      </c>
      <c r="I422" s="201">
        <v>2.1</v>
      </c>
      <c r="J422" s="216" t="s">
        <v>344</v>
      </c>
    </row>
    <row r="423" spans="1:10" ht="14.25" customHeight="1">
      <c r="A423" s="203"/>
      <c r="B423" s="206">
        <v>19</v>
      </c>
      <c r="C423" s="205" t="s">
        <v>495</v>
      </c>
      <c r="D423" s="204" t="s">
        <v>632</v>
      </c>
      <c r="E423" s="200">
        <v>63000000</v>
      </c>
      <c r="F423" s="200">
        <v>0</v>
      </c>
      <c r="G423" s="200">
        <f>'25.企業債（23決算）'!G423+'25.企業債（24決算）'!F423</f>
        <v>0</v>
      </c>
      <c r="H423" s="200">
        <f t="shared" si="7"/>
        <v>63000000</v>
      </c>
      <c r="I423" s="201">
        <v>2.0499999999999998</v>
      </c>
      <c r="J423" s="202" t="s">
        <v>661</v>
      </c>
    </row>
    <row r="424" spans="1:10" ht="14.25" customHeight="1">
      <c r="A424" s="203"/>
      <c r="B424" s="206">
        <v>20</v>
      </c>
      <c r="C424" s="217" t="s">
        <v>695</v>
      </c>
      <c r="D424" s="204" t="s">
        <v>624</v>
      </c>
      <c r="E424" s="200">
        <v>55000000</v>
      </c>
      <c r="F424" s="200">
        <v>0</v>
      </c>
      <c r="G424" s="200">
        <f>'25.企業債（23決算）'!G424+'25.企業債（24決算）'!F424</f>
        <v>0</v>
      </c>
      <c r="H424" s="200">
        <f t="shared" si="7"/>
        <v>55000000</v>
      </c>
      <c r="I424" s="201">
        <v>1.9</v>
      </c>
      <c r="J424" s="202" t="s">
        <v>662</v>
      </c>
    </row>
    <row r="425" spans="1:10" ht="14.25" customHeight="1">
      <c r="A425" s="203"/>
      <c r="B425" s="206">
        <v>21</v>
      </c>
      <c r="C425" s="217" t="s">
        <v>698</v>
      </c>
      <c r="D425" s="204" t="s">
        <v>808</v>
      </c>
      <c r="E425" s="200">
        <v>19000000</v>
      </c>
      <c r="F425" s="200">
        <v>0</v>
      </c>
      <c r="G425" s="200">
        <f>'25.企業債（23決算）'!G425+'25.企業債（24決算）'!F425</f>
        <v>0</v>
      </c>
      <c r="H425" s="200">
        <f t="shared" si="7"/>
        <v>19000000</v>
      </c>
      <c r="I425" s="201">
        <v>2.1</v>
      </c>
      <c r="J425" s="202" t="s">
        <v>696</v>
      </c>
    </row>
    <row r="426" spans="1:10" ht="14.25" customHeight="1">
      <c r="A426" s="203"/>
      <c r="B426" s="206">
        <v>22</v>
      </c>
      <c r="C426" s="217" t="s">
        <v>886</v>
      </c>
      <c r="D426" s="204" t="s">
        <v>887</v>
      </c>
      <c r="E426" s="200">
        <v>4000000</v>
      </c>
      <c r="F426" s="200">
        <v>0</v>
      </c>
      <c r="G426" s="200">
        <f>'25.企業債（23決算）'!G426+'25.企業債（24決算）'!F426</f>
        <v>0</v>
      </c>
      <c r="H426" s="200">
        <f t="shared" si="7"/>
        <v>4000000</v>
      </c>
      <c r="I426" s="201">
        <v>1.9</v>
      </c>
      <c r="J426" s="202" t="s">
        <v>888</v>
      </c>
    </row>
    <row r="427" spans="1:10" ht="17.25" customHeight="1">
      <c r="A427" s="219" t="s">
        <v>376</v>
      </c>
      <c r="B427" s="220" t="s">
        <v>173</v>
      </c>
      <c r="C427" s="221" t="s">
        <v>173</v>
      </c>
      <c r="D427" s="222" t="s">
        <v>173</v>
      </c>
      <c r="E427" s="245">
        <f>SUM(E390:E406,E411:E426)</f>
        <v>59756000000</v>
      </c>
      <c r="F427" s="245">
        <f>SUM(F390:F406,F411:F426)</f>
        <v>2143353255</v>
      </c>
      <c r="G427" s="245">
        <f>SUM(G390:G406,G411:G426)</f>
        <v>22016642490</v>
      </c>
      <c r="H427" s="245">
        <f>SUM(H390:H406,H411:H426)</f>
        <v>37739357510</v>
      </c>
      <c r="I427" s="223"/>
      <c r="J427" s="224" t="s">
        <v>173</v>
      </c>
    </row>
    <row r="428" spans="1:10" ht="14.25" customHeight="1">
      <c r="A428" s="215" t="s">
        <v>300</v>
      </c>
      <c r="B428" s="206" t="s">
        <v>103</v>
      </c>
      <c r="C428" s="205" t="s">
        <v>189</v>
      </c>
      <c r="D428" s="206" t="s">
        <v>104</v>
      </c>
      <c r="E428" s="200">
        <v>2079000000</v>
      </c>
      <c r="F428" s="200">
        <v>90294127</v>
      </c>
      <c r="G428" s="200">
        <f>'25.企業債（23決算）'!G428+'25.企業債（24決算）'!F428</f>
        <v>899403950</v>
      </c>
      <c r="H428" s="200">
        <f t="shared" ref="H428:H466" si="8">E428-G428</f>
        <v>1179596050</v>
      </c>
      <c r="I428" s="201">
        <v>4.75</v>
      </c>
      <c r="J428" s="202" t="s">
        <v>284</v>
      </c>
    </row>
    <row r="429" spans="1:10" ht="14.25" customHeight="1">
      <c r="A429" s="203" t="s">
        <v>182</v>
      </c>
      <c r="B429" s="206">
        <v>6</v>
      </c>
      <c r="C429" s="205" t="s">
        <v>189</v>
      </c>
      <c r="D429" s="206" t="s">
        <v>105</v>
      </c>
      <c r="E429" s="200">
        <v>5630000000</v>
      </c>
      <c r="F429" s="200">
        <v>244640863</v>
      </c>
      <c r="G429" s="200">
        <f>'25.企業債（23決算）'!G429+'25.企業債（24決算）'!F429</f>
        <v>2443201322</v>
      </c>
      <c r="H429" s="200">
        <f t="shared" si="8"/>
        <v>3186798678</v>
      </c>
      <c r="I429" s="201">
        <v>4.7</v>
      </c>
      <c r="J429" s="202" t="s">
        <v>284</v>
      </c>
    </row>
    <row r="430" spans="1:10" ht="14.25" customHeight="1">
      <c r="A430" s="203"/>
      <c r="B430" s="206">
        <v>6</v>
      </c>
      <c r="C430" s="205" t="s">
        <v>180</v>
      </c>
      <c r="D430" s="206" t="s">
        <v>106</v>
      </c>
      <c r="E430" s="200">
        <v>2312000000</v>
      </c>
      <c r="F430" s="200">
        <v>0</v>
      </c>
      <c r="G430" s="200">
        <f>'25.企業債（23決算）'!G430+'25.企業債（24決算）'!F430</f>
        <v>2312000000</v>
      </c>
      <c r="H430" s="200">
        <f t="shared" si="8"/>
        <v>0</v>
      </c>
      <c r="I430" s="201">
        <v>4.5</v>
      </c>
      <c r="J430" s="202" t="s">
        <v>244</v>
      </c>
    </row>
    <row r="431" spans="1:10" ht="14.25" customHeight="1">
      <c r="A431" s="203"/>
      <c r="B431" s="206">
        <v>6</v>
      </c>
      <c r="C431" s="205" t="s">
        <v>185</v>
      </c>
      <c r="D431" s="206" t="s">
        <v>107</v>
      </c>
      <c r="E431" s="200">
        <v>8743000000</v>
      </c>
      <c r="F431" s="200">
        <v>330500625</v>
      </c>
      <c r="G431" s="200">
        <f>'25.企業債（23決算）'!G431+'25.企業債（24決算）'!F431</f>
        <v>3359101799</v>
      </c>
      <c r="H431" s="200">
        <f t="shared" si="8"/>
        <v>5383898201</v>
      </c>
      <c r="I431" s="201">
        <v>3.15</v>
      </c>
      <c r="J431" s="202" t="s">
        <v>293</v>
      </c>
    </row>
    <row r="432" spans="1:10" ht="14.25" customHeight="1">
      <c r="A432" s="215"/>
      <c r="B432" s="204">
        <v>7</v>
      </c>
      <c r="C432" s="205" t="s">
        <v>189</v>
      </c>
      <c r="D432" s="204" t="s">
        <v>108</v>
      </c>
      <c r="E432" s="200">
        <v>1752000000</v>
      </c>
      <c r="F432" s="200">
        <v>74334710</v>
      </c>
      <c r="G432" s="200">
        <f>'25.企業債（23決算）'!G432+'25.企業債（24決算）'!F432</f>
        <v>754654672</v>
      </c>
      <c r="H432" s="200">
        <f t="shared" si="8"/>
        <v>997345328</v>
      </c>
      <c r="I432" s="201">
        <v>3.25</v>
      </c>
      <c r="J432" s="202" t="s">
        <v>286</v>
      </c>
    </row>
    <row r="433" spans="1:10" ht="14.25" customHeight="1">
      <c r="A433" s="203"/>
      <c r="B433" s="206">
        <v>7</v>
      </c>
      <c r="C433" s="205" t="s">
        <v>189</v>
      </c>
      <c r="D433" s="206" t="s">
        <v>108</v>
      </c>
      <c r="E433" s="200">
        <v>7579000000</v>
      </c>
      <c r="F433" s="200">
        <v>321786336</v>
      </c>
      <c r="G433" s="200">
        <f>'25.企業債（23決算）'!G433+'25.企業債（24決算）'!F433</f>
        <v>3275011863</v>
      </c>
      <c r="H433" s="200">
        <f t="shared" si="8"/>
        <v>4303988137</v>
      </c>
      <c r="I433" s="201">
        <v>3.2</v>
      </c>
      <c r="J433" s="202" t="s">
        <v>286</v>
      </c>
    </row>
    <row r="434" spans="1:10" ht="14.25" customHeight="1">
      <c r="A434" s="203"/>
      <c r="B434" s="206">
        <v>7</v>
      </c>
      <c r="C434" s="205" t="s">
        <v>266</v>
      </c>
      <c r="D434" s="206" t="s">
        <v>109</v>
      </c>
      <c r="E434" s="200">
        <v>2000000000</v>
      </c>
      <c r="F434" s="200">
        <v>0</v>
      </c>
      <c r="G434" s="200">
        <f>'25.企業債（23決算）'!G434+'25.企業債（24決算）'!F434</f>
        <v>2000000000</v>
      </c>
      <c r="H434" s="200">
        <f t="shared" si="8"/>
        <v>0</v>
      </c>
      <c r="I434" s="201">
        <v>3.3</v>
      </c>
      <c r="J434" s="202" t="s">
        <v>247</v>
      </c>
    </row>
    <row r="435" spans="1:10" ht="14.25" customHeight="1">
      <c r="A435" s="215"/>
      <c r="B435" s="206">
        <v>7</v>
      </c>
      <c r="C435" s="205" t="s">
        <v>185</v>
      </c>
      <c r="D435" s="206" t="s">
        <v>110</v>
      </c>
      <c r="E435" s="200">
        <v>839842385</v>
      </c>
      <c r="F435" s="200">
        <v>0</v>
      </c>
      <c r="G435" s="200">
        <f>'25.企業債（23決算）'!G435+'25.企業債（24決算）'!F435</f>
        <v>839842385</v>
      </c>
      <c r="H435" s="200">
        <f t="shared" si="8"/>
        <v>0</v>
      </c>
      <c r="I435" s="201">
        <v>2.8</v>
      </c>
      <c r="J435" s="202" t="s">
        <v>469</v>
      </c>
    </row>
    <row r="436" spans="1:10" ht="14.25" customHeight="1">
      <c r="A436" s="203"/>
      <c r="B436" s="206">
        <v>8</v>
      </c>
      <c r="C436" s="205" t="s">
        <v>266</v>
      </c>
      <c r="D436" s="206" t="s">
        <v>110</v>
      </c>
      <c r="E436" s="200">
        <v>2000000000</v>
      </c>
      <c r="F436" s="200">
        <v>0</v>
      </c>
      <c r="G436" s="200">
        <f>'25.企業債（23決算）'!G436+'25.企業債（24決算）'!F436</f>
        <v>2000000000</v>
      </c>
      <c r="H436" s="200">
        <f t="shared" si="8"/>
        <v>0</v>
      </c>
      <c r="I436" s="201">
        <v>2.6</v>
      </c>
      <c r="J436" s="216" t="s">
        <v>249</v>
      </c>
    </row>
    <row r="437" spans="1:10" ht="14.25" customHeight="1">
      <c r="A437" s="203"/>
      <c r="B437" s="206">
        <v>8</v>
      </c>
      <c r="C437" s="205" t="s">
        <v>189</v>
      </c>
      <c r="D437" s="206" t="s">
        <v>111</v>
      </c>
      <c r="E437" s="200">
        <v>908000000</v>
      </c>
      <c r="F437" s="200">
        <v>37562230</v>
      </c>
      <c r="G437" s="200">
        <f>'25.企業債（23決算）'!G437+'25.企業債（24決算）'!F437</f>
        <v>363637631</v>
      </c>
      <c r="H437" s="200">
        <f t="shared" si="8"/>
        <v>544362369</v>
      </c>
      <c r="I437" s="201">
        <v>2.85</v>
      </c>
      <c r="J437" s="216" t="s">
        <v>287</v>
      </c>
    </row>
    <row r="438" spans="1:10" ht="14.25" customHeight="1">
      <c r="A438" s="203"/>
      <c r="B438" s="206">
        <v>8</v>
      </c>
      <c r="C438" s="205" t="s">
        <v>189</v>
      </c>
      <c r="D438" s="206" t="s">
        <v>111</v>
      </c>
      <c r="E438" s="200">
        <v>1164000000</v>
      </c>
      <c r="F438" s="200">
        <v>48099158</v>
      </c>
      <c r="G438" s="200">
        <f>'25.企業債（23決算）'!G438+'25.企業債（24決算）'!F438</f>
        <v>464579539</v>
      </c>
      <c r="H438" s="200">
        <f t="shared" si="8"/>
        <v>699420461</v>
      </c>
      <c r="I438" s="201">
        <v>2.9</v>
      </c>
      <c r="J438" s="216" t="s">
        <v>287</v>
      </c>
    </row>
    <row r="439" spans="1:10" ht="14.25" customHeight="1">
      <c r="A439" s="203"/>
      <c r="B439" s="206">
        <v>9</v>
      </c>
      <c r="C439" s="205" t="s">
        <v>266</v>
      </c>
      <c r="D439" s="206" t="s">
        <v>112</v>
      </c>
      <c r="E439" s="200">
        <v>2000000000</v>
      </c>
      <c r="F439" s="200">
        <v>0</v>
      </c>
      <c r="G439" s="200">
        <f>'25.企業債（23決算）'!G439+'25.企業債（24決算）'!F439</f>
        <v>2000000000</v>
      </c>
      <c r="H439" s="200">
        <f t="shared" si="8"/>
        <v>0</v>
      </c>
      <c r="I439" s="201">
        <v>2</v>
      </c>
      <c r="J439" s="216" t="s">
        <v>251</v>
      </c>
    </row>
    <row r="440" spans="1:10" ht="14.25" customHeight="1">
      <c r="A440" s="203"/>
      <c r="B440" s="206">
        <v>8</v>
      </c>
      <c r="C440" s="205" t="s">
        <v>185</v>
      </c>
      <c r="D440" s="206" t="s">
        <v>113</v>
      </c>
      <c r="E440" s="200">
        <v>286740422</v>
      </c>
      <c r="F440" s="200">
        <v>0</v>
      </c>
      <c r="G440" s="200">
        <f>'25.企業債（23決算）'!G440+'25.企業債（24決算）'!F440</f>
        <v>286740422</v>
      </c>
      <c r="H440" s="200">
        <f t="shared" si="8"/>
        <v>0</v>
      </c>
      <c r="I440" s="201">
        <v>2.1</v>
      </c>
      <c r="J440" s="216" t="s">
        <v>469</v>
      </c>
    </row>
    <row r="441" spans="1:10" ht="14.25" customHeight="1">
      <c r="A441" s="203"/>
      <c r="B441" s="206">
        <v>8</v>
      </c>
      <c r="C441" s="205" t="s">
        <v>189</v>
      </c>
      <c r="D441" s="206" t="s">
        <v>113</v>
      </c>
      <c r="E441" s="200">
        <v>2118000000</v>
      </c>
      <c r="F441" s="200">
        <v>87010234</v>
      </c>
      <c r="G441" s="200">
        <f>'25.企業債（23決算）'!G441+'25.企業債（24決算）'!F441</f>
        <v>799999428</v>
      </c>
      <c r="H441" s="200">
        <f t="shared" si="8"/>
        <v>1318000572</v>
      </c>
      <c r="I441" s="201">
        <v>2.15</v>
      </c>
      <c r="J441" s="216" t="s">
        <v>293</v>
      </c>
    </row>
    <row r="442" spans="1:10" ht="14.25" customHeight="1">
      <c r="A442" s="203"/>
      <c r="B442" s="206">
        <v>9</v>
      </c>
      <c r="C442" s="205" t="s">
        <v>189</v>
      </c>
      <c r="D442" s="206" t="s">
        <v>113</v>
      </c>
      <c r="E442" s="200">
        <v>1001000000</v>
      </c>
      <c r="F442" s="200">
        <v>40811336</v>
      </c>
      <c r="G442" s="200">
        <f>'25.企業債（23決算）'!G442+'25.企業債（24決算）'!F442</f>
        <v>380567241</v>
      </c>
      <c r="H442" s="200">
        <f t="shared" si="8"/>
        <v>620432759</v>
      </c>
      <c r="I442" s="201">
        <v>2.2000000000000002</v>
      </c>
      <c r="J442" s="216" t="s">
        <v>293</v>
      </c>
    </row>
    <row r="443" spans="1:10" ht="14.25" customHeight="1">
      <c r="A443" s="203"/>
      <c r="B443" s="206">
        <v>9</v>
      </c>
      <c r="C443" s="205" t="s">
        <v>189</v>
      </c>
      <c r="D443" s="206" t="s">
        <v>113</v>
      </c>
      <c r="E443" s="200">
        <v>930000000</v>
      </c>
      <c r="F443" s="200">
        <v>37971952</v>
      </c>
      <c r="G443" s="200">
        <f>'25.企業債（23決算）'!G443+'25.企業債（24決算）'!F443</f>
        <v>354814157</v>
      </c>
      <c r="H443" s="200">
        <f t="shared" si="8"/>
        <v>575185843</v>
      </c>
      <c r="I443" s="201">
        <v>2.15</v>
      </c>
      <c r="J443" s="216" t="s">
        <v>293</v>
      </c>
    </row>
    <row r="444" spans="1:10" ht="14.25" customHeight="1">
      <c r="A444" s="203"/>
      <c r="B444" s="206">
        <v>10</v>
      </c>
      <c r="C444" s="205" t="s">
        <v>266</v>
      </c>
      <c r="D444" s="206" t="s">
        <v>115</v>
      </c>
      <c r="E444" s="200">
        <v>2000000000</v>
      </c>
      <c r="F444" s="200">
        <v>0</v>
      </c>
      <c r="G444" s="200">
        <f>'25.企業債（23決算）'!G444+'25.企業債（24決算）'!F444</f>
        <v>2000000000</v>
      </c>
      <c r="H444" s="200">
        <f t="shared" si="8"/>
        <v>0</v>
      </c>
      <c r="I444" s="201">
        <v>1.9</v>
      </c>
      <c r="J444" s="216" t="s">
        <v>253</v>
      </c>
    </row>
    <row r="445" spans="1:10" ht="14.25" customHeight="1">
      <c r="A445" s="203"/>
      <c r="B445" s="206">
        <v>9</v>
      </c>
      <c r="C445" s="205" t="s">
        <v>189</v>
      </c>
      <c r="D445" s="206" t="s">
        <v>116</v>
      </c>
      <c r="E445" s="200">
        <v>625000000</v>
      </c>
      <c r="F445" s="200">
        <v>25909517</v>
      </c>
      <c r="G445" s="200">
        <f>'25.企業債（23決算）'!G445+'25.企業債（24決算）'!F445</f>
        <v>238855003</v>
      </c>
      <c r="H445" s="200">
        <f t="shared" si="8"/>
        <v>386144997</v>
      </c>
      <c r="I445" s="201">
        <v>1.35</v>
      </c>
      <c r="J445" s="216" t="s">
        <v>294</v>
      </c>
    </row>
    <row r="446" spans="1:10" ht="14.25" customHeight="1">
      <c r="A446" s="203"/>
      <c r="B446" s="206">
        <v>9</v>
      </c>
      <c r="C446" s="205" t="s">
        <v>185</v>
      </c>
      <c r="D446" s="206" t="s">
        <v>655</v>
      </c>
      <c r="E446" s="200">
        <v>124925255</v>
      </c>
      <c r="F446" s="200">
        <v>0</v>
      </c>
      <c r="G446" s="200">
        <f>'25.企業債（23決算）'!G446+'25.企業債（24決算）'!F446</f>
        <v>124925255</v>
      </c>
      <c r="H446" s="200">
        <f t="shared" si="8"/>
        <v>0</v>
      </c>
      <c r="I446" s="201">
        <v>2.2000000000000002</v>
      </c>
      <c r="J446" s="216" t="s">
        <v>469</v>
      </c>
    </row>
    <row r="447" spans="1:10" ht="14.25" customHeight="1">
      <c r="A447" s="203"/>
      <c r="B447" s="206">
        <v>10</v>
      </c>
      <c r="C447" s="205" t="s">
        <v>189</v>
      </c>
      <c r="D447" s="206" t="s">
        <v>117</v>
      </c>
      <c r="E447" s="200">
        <v>1085000000</v>
      </c>
      <c r="F447" s="200">
        <v>43419359</v>
      </c>
      <c r="G447" s="200">
        <f>'25.企業債（23決算）'!G447+'25.企業債（24決算）'!F447</f>
        <v>371498228</v>
      </c>
      <c r="H447" s="200">
        <f t="shared" si="8"/>
        <v>713501772</v>
      </c>
      <c r="I447" s="201">
        <v>2.1</v>
      </c>
      <c r="J447" s="216" t="s">
        <v>294</v>
      </c>
    </row>
    <row r="448" spans="1:10" ht="14.25" customHeight="1">
      <c r="A448" s="203"/>
      <c r="B448" s="206">
        <v>10</v>
      </c>
      <c r="C448" s="205" t="s">
        <v>189</v>
      </c>
      <c r="D448" s="206" t="s">
        <v>117</v>
      </c>
      <c r="E448" s="200">
        <v>1063000000</v>
      </c>
      <c r="F448" s="200">
        <v>42538966</v>
      </c>
      <c r="G448" s="200">
        <f>'25.企業債（23決算）'!G448+'25.企業債（24決算）'!F448</f>
        <v>363965546</v>
      </c>
      <c r="H448" s="200">
        <f t="shared" si="8"/>
        <v>699034454</v>
      </c>
      <c r="I448" s="201">
        <v>2.1</v>
      </c>
      <c r="J448" s="216" t="s">
        <v>294</v>
      </c>
    </row>
    <row r="449" spans="1:10" ht="14.25" customHeight="1">
      <c r="A449" s="203"/>
      <c r="B449" s="206">
        <v>10</v>
      </c>
      <c r="C449" s="205" t="s">
        <v>185</v>
      </c>
      <c r="D449" s="206" t="s">
        <v>119</v>
      </c>
      <c r="E449" s="200">
        <v>53192729</v>
      </c>
      <c r="F449" s="200">
        <v>0</v>
      </c>
      <c r="G449" s="200">
        <f>'25.企業債（23決算）'!G449+'25.企業債（24決算）'!F449</f>
        <v>53192729</v>
      </c>
      <c r="H449" s="200">
        <f t="shared" si="8"/>
        <v>0</v>
      </c>
      <c r="I449" s="201">
        <v>2.1</v>
      </c>
      <c r="J449" s="216" t="s">
        <v>469</v>
      </c>
    </row>
    <row r="450" spans="1:10" ht="14.25" customHeight="1">
      <c r="A450" s="203"/>
      <c r="B450" s="206">
        <v>11</v>
      </c>
      <c r="C450" s="205" t="s">
        <v>189</v>
      </c>
      <c r="D450" s="206" t="s">
        <v>120</v>
      </c>
      <c r="E450" s="200">
        <v>663000000</v>
      </c>
      <c r="F450" s="200">
        <v>25065765</v>
      </c>
      <c r="G450" s="200">
        <f>'25.企業債（23決算）'!G450+'25.企業債（24決算）'!F450</f>
        <v>220494876</v>
      </c>
      <c r="H450" s="200">
        <f t="shared" si="8"/>
        <v>442505124</v>
      </c>
      <c r="I450" s="201">
        <v>2</v>
      </c>
      <c r="J450" s="216" t="s">
        <v>121</v>
      </c>
    </row>
    <row r="451" spans="1:10" ht="14.25" customHeight="1">
      <c r="A451" s="203"/>
      <c r="B451" s="206">
        <v>11</v>
      </c>
      <c r="C451" s="205" t="s">
        <v>189</v>
      </c>
      <c r="D451" s="206" t="s">
        <v>306</v>
      </c>
      <c r="E451" s="200">
        <v>433000000</v>
      </c>
      <c r="F451" s="200">
        <v>16370250</v>
      </c>
      <c r="G451" s="200">
        <f>'25.企業債（23決算）'!G451+'25.企業債（24決算）'!F451</f>
        <v>144003440</v>
      </c>
      <c r="H451" s="200">
        <f t="shared" si="8"/>
        <v>288996560</v>
      </c>
      <c r="I451" s="201">
        <v>2</v>
      </c>
      <c r="J451" s="216" t="s">
        <v>121</v>
      </c>
    </row>
    <row r="452" spans="1:10" ht="14.25" customHeight="1">
      <c r="A452" s="203"/>
      <c r="B452" s="206">
        <v>11</v>
      </c>
      <c r="C452" s="205" t="s">
        <v>185</v>
      </c>
      <c r="D452" s="206" t="s">
        <v>122</v>
      </c>
      <c r="E452" s="200">
        <v>31008169</v>
      </c>
      <c r="F452" s="200">
        <v>0</v>
      </c>
      <c r="G452" s="200">
        <f>'25.企業債（23決算）'!G452+'25.企業債（24決算）'!F452</f>
        <v>31008169</v>
      </c>
      <c r="H452" s="200">
        <f t="shared" si="8"/>
        <v>0</v>
      </c>
      <c r="I452" s="201">
        <v>2</v>
      </c>
      <c r="J452" s="216" t="s">
        <v>469</v>
      </c>
    </row>
    <row r="453" spans="1:10" ht="14.25" customHeight="1">
      <c r="A453" s="203"/>
      <c r="B453" s="206">
        <v>12</v>
      </c>
      <c r="C453" s="205" t="s">
        <v>164</v>
      </c>
      <c r="D453" s="206" t="s">
        <v>95</v>
      </c>
      <c r="E453" s="200">
        <v>103000000</v>
      </c>
      <c r="F453" s="200">
        <v>0</v>
      </c>
      <c r="G453" s="200">
        <f>'25.企業債（23決算）'!G453+'25.企業債（24決算）'!F453</f>
        <v>103000000</v>
      </c>
      <c r="H453" s="200">
        <f t="shared" si="8"/>
        <v>0</v>
      </c>
      <c r="I453" s="201">
        <v>1.6</v>
      </c>
      <c r="J453" s="216" t="s">
        <v>469</v>
      </c>
    </row>
    <row r="454" spans="1:10" ht="14.25" customHeight="1">
      <c r="A454" s="203"/>
      <c r="B454" s="206">
        <v>13</v>
      </c>
      <c r="C454" s="205" t="s">
        <v>165</v>
      </c>
      <c r="D454" s="206" t="s">
        <v>124</v>
      </c>
      <c r="E454" s="200">
        <v>47194000</v>
      </c>
      <c r="F454" s="200">
        <v>0</v>
      </c>
      <c r="G454" s="200">
        <f>'25.企業債（23決算）'!G454+'25.企業債（24決算）'!F454</f>
        <v>47194000</v>
      </c>
      <c r="H454" s="200">
        <f t="shared" si="8"/>
        <v>0</v>
      </c>
      <c r="I454" s="201" t="s">
        <v>125</v>
      </c>
      <c r="J454" s="216" t="s">
        <v>151</v>
      </c>
    </row>
    <row r="455" spans="1:10" ht="14.25" customHeight="1">
      <c r="A455" s="203"/>
      <c r="B455" s="206">
        <v>13</v>
      </c>
      <c r="C455" s="205" t="s">
        <v>164</v>
      </c>
      <c r="D455" s="206" t="s">
        <v>152</v>
      </c>
      <c r="E455" s="200">
        <v>42000000</v>
      </c>
      <c r="F455" s="200">
        <v>0</v>
      </c>
      <c r="G455" s="200">
        <f>'25.企業債（23決算）'!G455+'25.企業債（24決算）'!F455</f>
        <v>42000000</v>
      </c>
      <c r="H455" s="200">
        <f t="shared" si="8"/>
        <v>0</v>
      </c>
      <c r="I455" s="201">
        <v>1.4</v>
      </c>
      <c r="J455" s="202" t="s">
        <v>469</v>
      </c>
    </row>
    <row r="456" spans="1:10" ht="14.25" customHeight="1">
      <c r="A456" s="203"/>
      <c r="B456" s="206">
        <v>14</v>
      </c>
      <c r="C456" s="205" t="s">
        <v>189</v>
      </c>
      <c r="D456" s="206" t="s">
        <v>100</v>
      </c>
      <c r="E456" s="200">
        <v>46000000</v>
      </c>
      <c r="F456" s="200">
        <v>1814588</v>
      </c>
      <c r="G456" s="200">
        <f>'25.企業債（23決算）'!G456+'25.企業債（24決算）'!F456</f>
        <v>8975153</v>
      </c>
      <c r="H456" s="200">
        <f t="shared" si="8"/>
        <v>37024847</v>
      </c>
      <c r="I456" s="201">
        <v>1.3</v>
      </c>
      <c r="J456" s="216" t="s">
        <v>96</v>
      </c>
    </row>
    <row r="457" spans="1:10" ht="14.25" customHeight="1">
      <c r="A457" s="203"/>
      <c r="B457" s="206">
        <v>15</v>
      </c>
      <c r="C457" s="205" t="s">
        <v>189</v>
      </c>
      <c r="D457" s="206" t="s">
        <v>101</v>
      </c>
      <c r="E457" s="200">
        <v>1137000000</v>
      </c>
      <c r="F457" s="200">
        <v>42161898</v>
      </c>
      <c r="G457" s="200">
        <f>'25.企業債（23決算）'!G457+'25.企業債（24決算）'!F457</f>
        <v>163967673</v>
      </c>
      <c r="H457" s="200">
        <f t="shared" si="8"/>
        <v>973032327</v>
      </c>
      <c r="I457" s="201">
        <v>1.9</v>
      </c>
      <c r="J457" s="216" t="s">
        <v>99</v>
      </c>
    </row>
    <row r="458" spans="1:10" ht="14.25" customHeight="1">
      <c r="A458" s="218"/>
      <c r="B458" s="204">
        <v>14</v>
      </c>
      <c r="C458" s="205" t="s">
        <v>164</v>
      </c>
      <c r="D458" s="206" t="s">
        <v>157</v>
      </c>
      <c r="E458" s="200">
        <v>6867162</v>
      </c>
      <c r="F458" s="200">
        <v>0</v>
      </c>
      <c r="G458" s="200">
        <f>'25.企業債（23決算）'!G458+'25.企業債（24決算）'!F458</f>
        <v>6867162</v>
      </c>
      <c r="H458" s="200">
        <f t="shared" si="8"/>
        <v>0</v>
      </c>
      <c r="I458" s="201">
        <v>2</v>
      </c>
      <c r="J458" s="216" t="s">
        <v>469</v>
      </c>
    </row>
    <row r="459" spans="1:10" ht="14.25" customHeight="1">
      <c r="A459" s="218"/>
      <c r="B459" s="206">
        <v>15</v>
      </c>
      <c r="C459" s="205" t="s">
        <v>189</v>
      </c>
      <c r="D459" s="206" t="s">
        <v>158</v>
      </c>
      <c r="E459" s="200">
        <v>398000000</v>
      </c>
      <c r="F459" s="200">
        <v>14484868</v>
      </c>
      <c r="G459" s="200">
        <f>'25.企業債（23決算）'!G459+'25.企業債（24決算）'!F459</f>
        <v>49460646</v>
      </c>
      <c r="H459" s="200">
        <f t="shared" si="8"/>
        <v>348539354</v>
      </c>
      <c r="I459" s="201">
        <v>2</v>
      </c>
      <c r="J459" s="202" t="s">
        <v>159</v>
      </c>
    </row>
    <row r="460" spans="1:10" ht="14.25" customHeight="1">
      <c r="A460" s="218"/>
      <c r="B460" s="206">
        <v>15</v>
      </c>
      <c r="C460" s="205" t="s">
        <v>164</v>
      </c>
      <c r="D460" s="206" t="s">
        <v>160</v>
      </c>
      <c r="E460" s="200">
        <v>3390000000</v>
      </c>
      <c r="F460" s="200">
        <v>109939305</v>
      </c>
      <c r="G460" s="200">
        <f>'25.企業債（23決算）'!G460+'25.企業債（24決算）'!F460</f>
        <v>374946304</v>
      </c>
      <c r="H460" s="200">
        <f t="shared" si="8"/>
        <v>3015053696</v>
      </c>
      <c r="I460" s="201">
        <v>2.1</v>
      </c>
      <c r="J460" s="216" t="s">
        <v>139</v>
      </c>
    </row>
    <row r="461" spans="1:10" ht="14.25" customHeight="1">
      <c r="A461" s="218"/>
      <c r="B461" s="204">
        <v>7</v>
      </c>
      <c r="C461" s="205" t="s">
        <v>164</v>
      </c>
      <c r="D461" s="206" t="s">
        <v>126</v>
      </c>
      <c r="E461" s="200">
        <v>8684157615</v>
      </c>
      <c r="F461" s="200">
        <v>352616590</v>
      </c>
      <c r="G461" s="200">
        <f>'25.企業債（23決算）'!G461+'25.企業債（24決算）'!F461</f>
        <v>2564531859</v>
      </c>
      <c r="H461" s="200">
        <f t="shared" si="8"/>
        <v>6119625756</v>
      </c>
      <c r="I461" s="201">
        <v>2.8</v>
      </c>
      <c r="J461" s="216" t="s">
        <v>294</v>
      </c>
    </row>
    <row r="462" spans="1:10" ht="14.25" customHeight="1">
      <c r="A462" s="218"/>
      <c r="B462" s="206">
        <v>8</v>
      </c>
      <c r="C462" s="205" t="s">
        <v>164</v>
      </c>
      <c r="D462" s="206" t="s">
        <v>126</v>
      </c>
      <c r="E462" s="200">
        <v>4067259578</v>
      </c>
      <c r="F462" s="200">
        <v>161109747</v>
      </c>
      <c r="G462" s="200">
        <f>'25.企業債（23決算）'!G462+'25.企業債（24決算）'!F462</f>
        <v>1199374970</v>
      </c>
      <c r="H462" s="200">
        <f t="shared" si="8"/>
        <v>2867884608</v>
      </c>
      <c r="I462" s="201">
        <v>2.1</v>
      </c>
      <c r="J462" s="216" t="s">
        <v>121</v>
      </c>
    </row>
    <row r="463" spans="1:10" ht="14.25" customHeight="1">
      <c r="A463" s="218"/>
      <c r="B463" s="206">
        <v>11</v>
      </c>
      <c r="C463" s="205" t="s">
        <v>164</v>
      </c>
      <c r="D463" s="206" t="s">
        <v>126</v>
      </c>
      <c r="E463" s="200">
        <v>586991831</v>
      </c>
      <c r="F463" s="200">
        <v>20830239</v>
      </c>
      <c r="G463" s="200">
        <f>'25.企業債（23決算）'!G463+'25.企業債（24決算）'!F463</f>
        <v>146575860</v>
      </c>
      <c r="H463" s="200">
        <f t="shared" si="8"/>
        <v>440415971</v>
      </c>
      <c r="I463" s="201">
        <v>2</v>
      </c>
      <c r="J463" s="202" t="s">
        <v>96</v>
      </c>
    </row>
    <row r="464" spans="1:10" ht="14.25" customHeight="1">
      <c r="A464" s="218"/>
      <c r="B464" s="206">
        <v>12</v>
      </c>
      <c r="C464" s="205" t="s">
        <v>164</v>
      </c>
      <c r="D464" s="206" t="s">
        <v>126</v>
      </c>
      <c r="E464" s="200">
        <v>1398000000</v>
      </c>
      <c r="F464" s="200">
        <v>50486686</v>
      </c>
      <c r="G464" s="200">
        <f>'25.企業債（23決算）'!G464+'25.企業債（24決算）'!F464</f>
        <v>337079450</v>
      </c>
      <c r="H464" s="200">
        <f t="shared" si="8"/>
        <v>1060920550</v>
      </c>
      <c r="I464" s="201">
        <v>1.6</v>
      </c>
      <c r="J464" s="202" t="s">
        <v>96</v>
      </c>
    </row>
    <row r="465" spans="1:10" ht="14.25" customHeight="1">
      <c r="A465" s="218"/>
      <c r="B465" s="206">
        <v>14</v>
      </c>
      <c r="C465" s="205" t="s">
        <v>164</v>
      </c>
      <c r="D465" s="206" t="s">
        <v>126</v>
      </c>
      <c r="E465" s="200">
        <v>2371132838</v>
      </c>
      <c r="F465" s="200">
        <v>78481708</v>
      </c>
      <c r="G465" s="200">
        <f>'25.企業債（23決算）'!G465+'25.企業債（24決算）'!F465</f>
        <v>304769714</v>
      </c>
      <c r="H465" s="200">
        <f t="shared" si="8"/>
        <v>2066363124</v>
      </c>
      <c r="I465" s="201">
        <v>2</v>
      </c>
      <c r="J465" s="202" t="s">
        <v>129</v>
      </c>
    </row>
    <row r="466" spans="1:10" ht="14.25" customHeight="1" thickBot="1">
      <c r="A466" s="218"/>
      <c r="B466" s="206">
        <v>16</v>
      </c>
      <c r="C466" s="205" t="s">
        <v>189</v>
      </c>
      <c r="D466" s="206" t="s">
        <v>699</v>
      </c>
      <c r="E466" s="200">
        <v>4470000000</v>
      </c>
      <c r="F466" s="200">
        <v>159501315</v>
      </c>
      <c r="G466" s="200">
        <f>'25.企業債（23決算）'!G466+'25.企業債（24決算）'!F466</f>
        <v>468679612</v>
      </c>
      <c r="H466" s="200">
        <f t="shared" si="8"/>
        <v>4001320388</v>
      </c>
      <c r="I466" s="201">
        <v>2.1</v>
      </c>
      <c r="J466" s="202" t="s">
        <v>700</v>
      </c>
    </row>
    <row r="467" spans="1:10" ht="9.75" customHeight="1" thickBot="1">
      <c r="A467" s="257"/>
      <c r="B467" s="258"/>
      <c r="C467" s="257"/>
      <c r="D467" s="258"/>
      <c r="E467" s="259"/>
      <c r="F467" s="259"/>
      <c r="G467" s="259"/>
      <c r="H467" s="259"/>
      <c r="I467" s="260"/>
      <c r="J467" s="261"/>
    </row>
    <row r="468" spans="1:10">
      <c r="A468" s="479" t="s">
        <v>85</v>
      </c>
      <c r="B468" s="481" t="s">
        <v>311</v>
      </c>
      <c r="C468" s="483" t="s">
        <v>86</v>
      </c>
      <c r="D468" s="481" t="s">
        <v>312</v>
      </c>
      <c r="E468" s="485" t="s">
        <v>87</v>
      </c>
      <c r="F468" s="487" t="s">
        <v>88</v>
      </c>
      <c r="G468" s="493"/>
      <c r="H468" s="489" t="s">
        <v>174</v>
      </c>
      <c r="I468" s="491" t="s">
        <v>89</v>
      </c>
      <c r="J468" s="477" t="s">
        <v>313</v>
      </c>
    </row>
    <row r="469" spans="1:10">
      <c r="A469" s="480"/>
      <c r="B469" s="482"/>
      <c r="C469" s="484"/>
      <c r="D469" s="482"/>
      <c r="E469" s="486"/>
      <c r="F469" s="207" t="s">
        <v>176</v>
      </c>
      <c r="G469" s="207" t="s">
        <v>305</v>
      </c>
      <c r="H469" s="490"/>
      <c r="I469" s="492"/>
      <c r="J469" s="478"/>
    </row>
    <row r="470" spans="1:10">
      <c r="A470" s="209"/>
      <c r="B470" s="210"/>
      <c r="C470" s="210"/>
      <c r="D470" s="211" t="s">
        <v>177</v>
      </c>
      <c r="E470" s="212" t="s">
        <v>178</v>
      </c>
      <c r="F470" s="212" t="s">
        <v>172</v>
      </c>
      <c r="G470" s="212" t="s">
        <v>178</v>
      </c>
      <c r="H470" s="212" t="s">
        <v>178</v>
      </c>
      <c r="I470" s="213" t="s">
        <v>90</v>
      </c>
      <c r="J470" s="214" t="s">
        <v>175</v>
      </c>
    </row>
    <row r="471" spans="1:10" ht="14.25" customHeight="1">
      <c r="A471" s="215" t="s">
        <v>300</v>
      </c>
      <c r="B471" s="204" t="s">
        <v>343</v>
      </c>
      <c r="C471" s="205" t="s">
        <v>164</v>
      </c>
      <c r="D471" s="206" t="s">
        <v>701</v>
      </c>
      <c r="E471" s="200">
        <v>2132074745</v>
      </c>
      <c r="F471" s="200">
        <v>81768272</v>
      </c>
      <c r="G471" s="200">
        <f>'25.企業債（23決算）'!G471+'25.企業債（24決算）'!F471</f>
        <v>606683714</v>
      </c>
      <c r="H471" s="200">
        <f t="shared" ref="H471:H491" si="9">E471-G471</f>
        <v>1525391031</v>
      </c>
      <c r="I471" s="201">
        <v>2.2000000000000002</v>
      </c>
      <c r="J471" s="202" t="s">
        <v>94</v>
      </c>
    </row>
    <row r="472" spans="1:10" ht="14.25" customHeight="1">
      <c r="A472" s="203" t="s">
        <v>182</v>
      </c>
      <c r="B472" s="206">
        <v>10</v>
      </c>
      <c r="C472" s="205" t="s">
        <v>164</v>
      </c>
      <c r="D472" s="206" t="s">
        <v>301</v>
      </c>
      <c r="E472" s="200">
        <v>2010807271</v>
      </c>
      <c r="F472" s="200">
        <v>73516914</v>
      </c>
      <c r="G472" s="200">
        <f>'25.企業債（23決算）'!G472+'25.企業債（24決算）'!F472</f>
        <v>547293684</v>
      </c>
      <c r="H472" s="200">
        <f t="shared" si="9"/>
        <v>1463513587</v>
      </c>
      <c r="I472" s="201">
        <v>2.1</v>
      </c>
      <c r="J472" s="202" t="s">
        <v>658</v>
      </c>
    </row>
    <row r="473" spans="1:10" ht="14.25" customHeight="1">
      <c r="A473" s="215"/>
      <c r="B473" s="204">
        <v>13</v>
      </c>
      <c r="C473" s="205" t="s">
        <v>164</v>
      </c>
      <c r="D473" s="206" t="s">
        <v>301</v>
      </c>
      <c r="E473" s="200">
        <v>1799000000</v>
      </c>
      <c r="F473" s="200">
        <v>64484235</v>
      </c>
      <c r="G473" s="200">
        <f>'25.企業債（23決算）'!G473+'25.企業債（24決算）'!F473</f>
        <v>343784775</v>
      </c>
      <c r="H473" s="200">
        <f t="shared" si="9"/>
        <v>1455215225</v>
      </c>
      <c r="I473" s="201">
        <v>1.4</v>
      </c>
      <c r="J473" s="216" t="s">
        <v>159</v>
      </c>
    </row>
    <row r="474" spans="1:10" ht="14.25" customHeight="1">
      <c r="A474" s="203"/>
      <c r="B474" s="206">
        <v>16</v>
      </c>
      <c r="C474" s="205" t="s">
        <v>164</v>
      </c>
      <c r="D474" s="206" t="s">
        <v>672</v>
      </c>
      <c r="E474" s="200">
        <v>1424000000</v>
      </c>
      <c r="F474" s="200">
        <v>45746559</v>
      </c>
      <c r="G474" s="200">
        <f>'25.企業債（23決算）'!G474+'25.企業債（24決算）'!F474</f>
        <v>112681858</v>
      </c>
      <c r="H474" s="200">
        <f t="shared" si="9"/>
        <v>1311318142</v>
      </c>
      <c r="I474" s="201">
        <v>2</v>
      </c>
      <c r="J474" s="202" t="s">
        <v>141</v>
      </c>
    </row>
    <row r="475" spans="1:10" ht="14.25" customHeight="1">
      <c r="A475" s="203"/>
      <c r="B475" s="206">
        <v>16</v>
      </c>
      <c r="C475" s="205" t="s">
        <v>189</v>
      </c>
      <c r="D475" s="206" t="s">
        <v>672</v>
      </c>
      <c r="E475" s="200">
        <v>279000000</v>
      </c>
      <c r="F475" s="200">
        <v>10056455</v>
      </c>
      <c r="G475" s="200">
        <f>'25.企業債（23決算）'!G475+'25.企業債（24決算）'!F475</f>
        <v>24789023</v>
      </c>
      <c r="H475" s="200">
        <f t="shared" si="9"/>
        <v>254210977</v>
      </c>
      <c r="I475" s="201">
        <v>1.9</v>
      </c>
      <c r="J475" s="202" t="s">
        <v>129</v>
      </c>
    </row>
    <row r="476" spans="1:10" ht="14.25" customHeight="1">
      <c r="A476" s="203"/>
      <c r="B476" s="206">
        <v>17</v>
      </c>
      <c r="C476" s="205" t="s">
        <v>189</v>
      </c>
      <c r="D476" s="206" t="s">
        <v>660</v>
      </c>
      <c r="E476" s="200">
        <v>6488000000</v>
      </c>
      <c r="F476" s="200">
        <v>229180787</v>
      </c>
      <c r="G476" s="200">
        <f>'25.企業債（23決算）'!G476+'25.企業債（24決算）'!F476</f>
        <v>453845807</v>
      </c>
      <c r="H476" s="200">
        <f t="shared" si="9"/>
        <v>6034154193</v>
      </c>
      <c r="I476" s="201">
        <v>2</v>
      </c>
      <c r="J476" s="202" t="s">
        <v>129</v>
      </c>
    </row>
    <row r="477" spans="1:10" ht="14.25" customHeight="1">
      <c r="A477" s="203"/>
      <c r="B477" s="206">
        <v>18</v>
      </c>
      <c r="C477" s="205" t="s">
        <v>189</v>
      </c>
      <c r="D477" s="204" t="s">
        <v>673</v>
      </c>
      <c r="E477" s="200">
        <v>803000000</v>
      </c>
      <c r="F477" s="200">
        <v>27480652</v>
      </c>
      <c r="G477" s="200">
        <f>'25.企業債（23決算）'!G477+'25.企業債（24決算）'!F477</f>
        <v>27480652</v>
      </c>
      <c r="H477" s="200">
        <f t="shared" si="9"/>
        <v>775519348</v>
      </c>
      <c r="I477" s="201">
        <v>2.1</v>
      </c>
      <c r="J477" s="202" t="s">
        <v>674</v>
      </c>
    </row>
    <row r="478" spans="1:10" ht="14.25" customHeight="1">
      <c r="A478" s="203"/>
      <c r="B478" s="206">
        <v>18</v>
      </c>
      <c r="C478" s="205" t="s">
        <v>189</v>
      </c>
      <c r="D478" s="204" t="s">
        <v>673</v>
      </c>
      <c r="E478" s="200">
        <v>3571000000</v>
      </c>
      <c r="F478" s="200">
        <v>122208475</v>
      </c>
      <c r="G478" s="200">
        <f>'25.企業債（23決算）'!G478+'25.企業債（24決算）'!F478</f>
        <v>122208475</v>
      </c>
      <c r="H478" s="200">
        <f t="shared" si="9"/>
        <v>3448791525</v>
      </c>
      <c r="I478" s="201">
        <v>2.1</v>
      </c>
      <c r="J478" s="202" t="s">
        <v>344</v>
      </c>
    </row>
    <row r="479" spans="1:10" ht="14.25" customHeight="1">
      <c r="A479" s="203"/>
      <c r="B479" s="206">
        <v>18</v>
      </c>
      <c r="C479" s="205" t="s">
        <v>164</v>
      </c>
      <c r="D479" s="204" t="s">
        <v>675</v>
      </c>
      <c r="E479" s="200">
        <v>1940000000</v>
      </c>
      <c r="F479" s="200">
        <v>59713624</v>
      </c>
      <c r="G479" s="200">
        <f>'25.企業債（23決算）'!G479+'25.企業債（24決算）'!F479</f>
        <v>59713624</v>
      </c>
      <c r="H479" s="200">
        <f t="shared" si="9"/>
        <v>1880286376</v>
      </c>
      <c r="I479" s="201">
        <v>2.1</v>
      </c>
      <c r="J479" s="202" t="s">
        <v>662</v>
      </c>
    </row>
    <row r="480" spans="1:10" ht="14.25" customHeight="1">
      <c r="A480" s="203"/>
      <c r="B480" s="206">
        <v>18</v>
      </c>
      <c r="C480" s="205" t="s">
        <v>164</v>
      </c>
      <c r="D480" s="204" t="s">
        <v>676</v>
      </c>
      <c r="E480" s="200">
        <v>4606000000</v>
      </c>
      <c r="F480" s="200">
        <v>70516631</v>
      </c>
      <c r="G480" s="200">
        <f>'25.企業債（23決算）'!G480+'25.企業債（24決算）'!F480</f>
        <v>70516631</v>
      </c>
      <c r="H480" s="200">
        <f t="shared" si="9"/>
        <v>4535483369</v>
      </c>
      <c r="I480" s="201">
        <v>2.1</v>
      </c>
      <c r="J480" s="202" t="s">
        <v>677</v>
      </c>
    </row>
    <row r="481" spans="1:10" ht="14.25" customHeight="1">
      <c r="A481" s="203"/>
      <c r="B481" s="206">
        <v>18</v>
      </c>
      <c r="C481" s="205" t="s">
        <v>495</v>
      </c>
      <c r="D481" s="204" t="s">
        <v>678</v>
      </c>
      <c r="E481" s="200">
        <v>38000000</v>
      </c>
      <c r="F481" s="200">
        <v>646831</v>
      </c>
      <c r="G481" s="200">
        <f>'25.企業債（23決算）'!G481+'25.企業債（24決算）'!F481</f>
        <v>646831</v>
      </c>
      <c r="H481" s="200">
        <f t="shared" si="9"/>
        <v>37353169</v>
      </c>
      <c r="I481" s="201">
        <v>2.1</v>
      </c>
      <c r="J481" s="202" t="s">
        <v>661</v>
      </c>
    </row>
    <row r="482" spans="1:10" ht="14.25" customHeight="1">
      <c r="A482" s="203"/>
      <c r="B482" s="206">
        <v>19</v>
      </c>
      <c r="C482" s="205" t="s">
        <v>495</v>
      </c>
      <c r="D482" s="204" t="s">
        <v>632</v>
      </c>
      <c r="E482" s="200">
        <v>1139000000</v>
      </c>
      <c r="F482" s="200">
        <v>0</v>
      </c>
      <c r="G482" s="200">
        <f>'25.企業債（23決算）'!G482+'25.企業債（24決算）'!F482</f>
        <v>0</v>
      </c>
      <c r="H482" s="200">
        <f t="shared" si="9"/>
        <v>1139000000</v>
      </c>
      <c r="I482" s="201">
        <v>2.0499999999999998</v>
      </c>
      <c r="J482" s="202" t="s">
        <v>661</v>
      </c>
    </row>
    <row r="483" spans="1:10" ht="14.25" customHeight="1">
      <c r="A483" s="203"/>
      <c r="B483" s="206">
        <v>19</v>
      </c>
      <c r="C483" s="205" t="s">
        <v>164</v>
      </c>
      <c r="D483" s="204" t="s">
        <v>679</v>
      </c>
      <c r="E483" s="200">
        <v>1099000000</v>
      </c>
      <c r="F483" s="200">
        <v>0</v>
      </c>
      <c r="G483" s="200">
        <f>'25.企業債（23決算）'!G483+'25.企業債（24決算）'!F483</f>
        <v>0</v>
      </c>
      <c r="H483" s="200">
        <f t="shared" si="9"/>
        <v>1099000000</v>
      </c>
      <c r="I483" s="201">
        <v>1.9</v>
      </c>
      <c r="J483" s="202" t="s">
        <v>680</v>
      </c>
    </row>
    <row r="484" spans="1:10" ht="14.25" customHeight="1">
      <c r="A484" s="203"/>
      <c r="B484" s="206">
        <v>20</v>
      </c>
      <c r="C484" s="217" t="s">
        <v>695</v>
      </c>
      <c r="D484" s="204" t="s">
        <v>681</v>
      </c>
      <c r="E484" s="200">
        <v>32000000</v>
      </c>
      <c r="F484" s="200">
        <v>0</v>
      </c>
      <c r="G484" s="200">
        <f>'25.企業債（23決算）'!G484+'25.企業債（24決算）'!F484</f>
        <v>0</v>
      </c>
      <c r="H484" s="200">
        <f t="shared" si="9"/>
        <v>32000000</v>
      </c>
      <c r="I484" s="201">
        <v>1.8</v>
      </c>
      <c r="J484" s="202" t="s">
        <v>662</v>
      </c>
    </row>
    <row r="485" spans="1:10" ht="14.25" customHeight="1">
      <c r="A485" s="203"/>
      <c r="B485" s="206">
        <v>20</v>
      </c>
      <c r="C485" s="217" t="s">
        <v>695</v>
      </c>
      <c r="D485" s="204" t="s">
        <v>624</v>
      </c>
      <c r="E485" s="200">
        <v>1232000000</v>
      </c>
      <c r="F485" s="200">
        <v>0</v>
      </c>
      <c r="G485" s="200">
        <f>'25.企業債（23決算）'!G485+'25.企業債（24決算）'!F485</f>
        <v>0</v>
      </c>
      <c r="H485" s="200">
        <f t="shared" si="9"/>
        <v>1232000000</v>
      </c>
      <c r="I485" s="201">
        <v>1.9</v>
      </c>
      <c r="J485" s="202" t="s">
        <v>662</v>
      </c>
    </row>
    <row r="486" spans="1:10" ht="14.25" customHeight="1">
      <c r="A486" s="203"/>
      <c r="B486" s="206">
        <v>20</v>
      </c>
      <c r="C486" s="205" t="s">
        <v>164</v>
      </c>
      <c r="D486" s="204" t="s">
        <v>871</v>
      </c>
      <c r="E486" s="200">
        <v>1184000000</v>
      </c>
      <c r="F486" s="200">
        <v>0</v>
      </c>
      <c r="G486" s="200">
        <f>'25.企業債（23決算）'!G486+'25.企業債（24決算）'!F486</f>
        <v>0</v>
      </c>
      <c r="H486" s="200">
        <f t="shared" si="9"/>
        <v>1184000000</v>
      </c>
      <c r="I486" s="201">
        <v>2.1</v>
      </c>
      <c r="J486" s="202" t="s">
        <v>872</v>
      </c>
    </row>
    <row r="487" spans="1:10" ht="14.25" customHeight="1">
      <c r="A487" s="218"/>
      <c r="B487" s="206">
        <v>21</v>
      </c>
      <c r="C487" s="217" t="s">
        <v>698</v>
      </c>
      <c r="D487" s="204" t="s">
        <v>808</v>
      </c>
      <c r="E487" s="200">
        <v>495000000</v>
      </c>
      <c r="F487" s="200">
        <v>0</v>
      </c>
      <c r="G487" s="200">
        <f>'25.企業債（23決算）'!G487+'25.企業債（24決算）'!F487</f>
        <v>0</v>
      </c>
      <c r="H487" s="200">
        <f t="shared" si="9"/>
        <v>495000000</v>
      </c>
      <c r="I487" s="201">
        <v>2.1</v>
      </c>
      <c r="J487" s="202" t="s">
        <v>696</v>
      </c>
    </row>
    <row r="488" spans="1:10" ht="14.25" customHeight="1">
      <c r="A488" s="218"/>
      <c r="B488" s="206">
        <v>21</v>
      </c>
      <c r="C488" s="217" t="s">
        <v>698</v>
      </c>
      <c r="D488" s="204" t="s">
        <v>1266</v>
      </c>
      <c r="E488" s="200">
        <v>76000000</v>
      </c>
      <c r="F488" s="200">
        <v>0</v>
      </c>
      <c r="G488" s="200">
        <f>'25.企業債（23決算）'!G488+'25.企業債（24決算）'!F488</f>
        <v>0</v>
      </c>
      <c r="H488" s="200">
        <f>E488-G488</f>
        <v>76000000</v>
      </c>
      <c r="I488" s="201">
        <v>1.9</v>
      </c>
      <c r="J488" s="202" t="s">
        <v>888</v>
      </c>
    </row>
    <row r="489" spans="1:10" ht="14.25" customHeight="1">
      <c r="A489" s="218"/>
      <c r="B489" s="206">
        <v>21</v>
      </c>
      <c r="C489" s="217" t="s">
        <v>886</v>
      </c>
      <c r="D489" s="204" t="s">
        <v>887</v>
      </c>
      <c r="E489" s="200">
        <v>999000000</v>
      </c>
      <c r="F489" s="200">
        <v>0</v>
      </c>
      <c r="G489" s="200">
        <f>'25.企業債（23決算）'!G489+'25.企業債（24決算）'!F489</f>
        <v>0</v>
      </c>
      <c r="H489" s="200">
        <f>E489-G489</f>
        <v>999000000</v>
      </c>
      <c r="I489" s="201">
        <v>1.9</v>
      </c>
      <c r="J489" s="202" t="s">
        <v>888</v>
      </c>
    </row>
    <row r="490" spans="1:10" ht="14.25" customHeight="1">
      <c r="A490" s="218"/>
      <c r="B490" s="206">
        <v>22</v>
      </c>
      <c r="C490" s="217" t="s">
        <v>886</v>
      </c>
      <c r="D490" s="204" t="s">
        <v>887</v>
      </c>
      <c r="E490" s="200">
        <v>1019000000</v>
      </c>
      <c r="F490" s="200">
        <v>0</v>
      </c>
      <c r="G490" s="200">
        <f>'25.企業債（23決算）'!G490+'25.企業債（24決算）'!F490</f>
        <v>0</v>
      </c>
      <c r="H490" s="200">
        <f t="shared" si="9"/>
        <v>1019000000</v>
      </c>
      <c r="I490" s="201">
        <v>1.9</v>
      </c>
      <c r="J490" s="202" t="s">
        <v>888</v>
      </c>
    </row>
    <row r="491" spans="1:10" ht="14.25" customHeight="1">
      <c r="A491" s="218"/>
      <c r="B491" s="206">
        <v>23</v>
      </c>
      <c r="C491" s="184" t="s">
        <v>164</v>
      </c>
      <c r="D491" s="204" t="s">
        <v>1339</v>
      </c>
      <c r="E491" s="200">
        <v>2000000000</v>
      </c>
      <c r="F491" s="200">
        <v>0</v>
      </c>
      <c r="G491" s="200">
        <f>'25.企業債（23決算）'!G491+'25.企業債（24決算）'!F491</f>
        <v>0</v>
      </c>
      <c r="H491" s="200">
        <f t="shared" si="9"/>
        <v>2000000000</v>
      </c>
      <c r="I491" s="201">
        <v>1.7</v>
      </c>
      <c r="J491" s="202" t="s">
        <v>1340</v>
      </c>
    </row>
    <row r="492" spans="1:10" ht="14.25" customHeight="1">
      <c r="A492" s="218"/>
      <c r="B492" s="206">
        <v>24</v>
      </c>
      <c r="C492" s="184" t="s">
        <v>164</v>
      </c>
      <c r="D492" s="128" t="s">
        <v>83</v>
      </c>
      <c r="E492" s="200">
        <v>200000000</v>
      </c>
      <c r="F492" s="200">
        <v>0</v>
      </c>
      <c r="G492" s="200">
        <v>0</v>
      </c>
      <c r="H492" s="200">
        <f>E492-G492</f>
        <v>200000000</v>
      </c>
      <c r="I492" s="201">
        <v>1.5</v>
      </c>
      <c r="J492" s="202" t="s">
        <v>82</v>
      </c>
    </row>
    <row r="493" spans="1:10" ht="17.25" customHeight="1">
      <c r="A493" s="219" t="s">
        <v>376</v>
      </c>
      <c r="B493" s="220" t="s">
        <v>173</v>
      </c>
      <c r="C493" s="221" t="s">
        <v>173</v>
      </c>
      <c r="D493" s="222" t="s">
        <v>173</v>
      </c>
      <c r="E493" s="245">
        <f>SUM(E428:E466,E471:E492)</f>
        <v>108734194000</v>
      </c>
      <c r="F493" s="245">
        <f>SUM(F428:F466,F471:F492)</f>
        <v>3243061807</v>
      </c>
      <c r="G493" s="245">
        <f>SUM(G428:G466,G471:G492)</f>
        <v>34268565132</v>
      </c>
      <c r="H493" s="245">
        <f>SUM(H428:H466,H471:H492)</f>
        <v>74465628868</v>
      </c>
      <c r="I493" s="223"/>
      <c r="J493" s="224" t="s">
        <v>173</v>
      </c>
    </row>
    <row r="494" spans="1:10" ht="14.25" customHeight="1">
      <c r="A494" s="215" t="s">
        <v>873</v>
      </c>
      <c r="B494" s="204" t="s">
        <v>682</v>
      </c>
      <c r="C494" s="205" t="s">
        <v>185</v>
      </c>
      <c r="D494" s="206" t="s">
        <v>683</v>
      </c>
      <c r="E494" s="200">
        <v>598000000</v>
      </c>
      <c r="F494" s="200">
        <v>22177572</v>
      </c>
      <c r="G494" s="200">
        <f>'25.企業債（23決算）'!G493+'25.企業債（24決算）'!F494</f>
        <v>213110440</v>
      </c>
      <c r="H494" s="200">
        <f t="shared" ref="H494:H531" si="10">E494-G494</f>
        <v>384889560</v>
      </c>
      <c r="I494" s="201">
        <v>2.8</v>
      </c>
      <c r="J494" s="216" t="s">
        <v>294</v>
      </c>
    </row>
    <row r="495" spans="1:10" ht="14.25" customHeight="1">
      <c r="A495" s="203" t="s">
        <v>302</v>
      </c>
      <c r="B495" s="204">
        <v>8</v>
      </c>
      <c r="C495" s="205" t="s">
        <v>189</v>
      </c>
      <c r="D495" s="206" t="s">
        <v>111</v>
      </c>
      <c r="E495" s="200">
        <v>490000000</v>
      </c>
      <c r="F495" s="200">
        <v>20349495</v>
      </c>
      <c r="G495" s="200">
        <f>'25.企業債（23決算）'!G494+'25.企業債（24決算）'!F495</f>
        <v>195089415</v>
      </c>
      <c r="H495" s="200">
        <f t="shared" si="10"/>
        <v>294910585</v>
      </c>
      <c r="I495" s="201">
        <v>2.85</v>
      </c>
      <c r="J495" s="216" t="s">
        <v>287</v>
      </c>
    </row>
    <row r="496" spans="1:10" ht="17.25" customHeight="1">
      <c r="A496" s="219" t="s">
        <v>376</v>
      </c>
      <c r="B496" s="220"/>
      <c r="C496" s="221"/>
      <c r="D496" s="222"/>
      <c r="E496" s="245">
        <f>SUM(E494:E495)</f>
        <v>1088000000</v>
      </c>
      <c r="F496" s="245">
        <f>SUM(F494:F495)</f>
        <v>42527067</v>
      </c>
      <c r="G496" s="245">
        <f>SUM(G494:G495)</f>
        <v>408199855</v>
      </c>
      <c r="H496" s="245">
        <f>SUM(H494:H495)</f>
        <v>679800145</v>
      </c>
      <c r="I496" s="223"/>
      <c r="J496" s="224"/>
    </row>
    <row r="497" spans="1:10" ht="14.25" customHeight="1">
      <c r="A497" s="225" t="s">
        <v>702</v>
      </c>
      <c r="B497" s="204" t="s">
        <v>317</v>
      </c>
      <c r="C497" s="205" t="s">
        <v>266</v>
      </c>
      <c r="D497" s="206" t="s">
        <v>684</v>
      </c>
      <c r="E497" s="200">
        <v>509000000</v>
      </c>
      <c r="F497" s="200">
        <v>0</v>
      </c>
      <c r="G497" s="200">
        <f>'25.企業債（23決算）'!G496+'25.企業債（24決算）'!F497</f>
        <v>509000000</v>
      </c>
      <c r="H497" s="200">
        <f t="shared" si="10"/>
        <v>0</v>
      </c>
      <c r="I497" s="201">
        <v>1.7</v>
      </c>
      <c r="J497" s="216" t="s">
        <v>92</v>
      </c>
    </row>
    <row r="498" spans="1:10" ht="14.25" customHeight="1">
      <c r="A498" s="226" t="s">
        <v>703</v>
      </c>
      <c r="B498" s="206">
        <v>13</v>
      </c>
      <c r="C498" s="205" t="s">
        <v>603</v>
      </c>
      <c r="D498" s="206" t="s">
        <v>97</v>
      </c>
      <c r="E498" s="200">
        <v>466000000</v>
      </c>
      <c r="F498" s="200">
        <v>0</v>
      </c>
      <c r="G498" s="200">
        <f>'25.企業債（23決算）'!G497+'25.企業債（24決算）'!F498</f>
        <v>466000000</v>
      </c>
      <c r="H498" s="200">
        <f t="shared" si="10"/>
        <v>0</v>
      </c>
      <c r="I498" s="201">
        <v>1.2</v>
      </c>
      <c r="J498" s="216" t="s">
        <v>685</v>
      </c>
    </row>
    <row r="499" spans="1:10" ht="17.25" customHeight="1">
      <c r="A499" s="219" t="s">
        <v>376</v>
      </c>
      <c r="B499" s="220" t="s">
        <v>173</v>
      </c>
      <c r="C499" s="221" t="s">
        <v>173</v>
      </c>
      <c r="D499" s="222" t="s">
        <v>173</v>
      </c>
      <c r="E499" s="245">
        <f>SUM(E497:E498)</f>
        <v>975000000</v>
      </c>
      <c r="F499" s="245">
        <f>SUM(F497:F498)</f>
        <v>0</v>
      </c>
      <c r="G499" s="245">
        <f>SUM(G497:G498)</f>
        <v>975000000</v>
      </c>
      <c r="H499" s="245">
        <f>SUM(H497:H498)</f>
        <v>0</v>
      </c>
      <c r="I499" s="223"/>
      <c r="J499" s="224" t="s">
        <v>173</v>
      </c>
    </row>
    <row r="500" spans="1:10" ht="14.25" customHeight="1">
      <c r="A500" s="227" t="s">
        <v>704</v>
      </c>
      <c r="B500" s="204" t="s">
        <v>318</v>
      </c>
      <c r="C500" s="205" t="s">
        <v>163</v>
      </c>
      <c r="D500" s="206" t="s">
        <v>307</v>
      </c>
      <c r="E500" s="200">
        <v>584000000</v>
      </c>
      <c r="F500" s="200">
        <v>20592114</v>
      </c>
      <c r="G500" s="200">
        <f>'25.企業債（23決算）'!G499+'25.企業債（24決算）'!F500</f>
        <v>109301381</v>
      </c>
      <c r="H500" s="200">
        <f t="shared" si="10"/>
        <v>474698619</v>
      </c>
      <c r="I500" s="201">
        <v>1.6</v>
      </c>
      <c r="J500" s="216" t="s">
        <v>159</v>
      </c>
    </row>
    <row r="501" spans="1:10" ht="14.25" customHeight="1">
      <c r="A501" s="228" t="s">
        <v>302</v>
      </c>
      <c r="B501" s="204">
        <v>14</v>
      </c>
      <c r="C501" s="205" t="s">
        <v>163</v>
      </c>
      <c r="D501" s="206" t="s">
        <v>100</v>
      </c>
      <c r="E501" s="200">
        <v>341000000</v>
      </c>
      <c r="F501" s="200">
        <v>12348994</v>
      </c>
      <c r="G501" s="200">
        <f>'25.企業債（23決算）'!G500+'25.企業債（24決算）'!F501</f>
        <v>60293684</v>
      </c>
      <c r="H501" s="200">
        <f t="shared" si="10"/>
        <v>280706316</v>
      </c>
      <c r="I501" s="201">
        <v>1.2</v>
      </c>
      <c r="J501" s="216" t="s">
        <v>159</v>
      </c>
    </row>
    <row r="502" spans="1:10" ht="17.25" customHeight="1">
      <c r="A502" s="219" t="s">
        <v>376</v>
      </c>
      <c r="B502" s="220" t="s">
        <v>173</v>
      </c>
      <c r="C502" s="221" t="s">
        <v>173</v>
      </c>
      <c r="D502" s="222" t="s">
        <v>173</v>
      </c>
      <c r="E502" s="245">
        <f>SUM(E500:E501)</f>
        <v>925000000</v>
      </c>
      <c r="F502" s="245">
        <f>SUM(F500:F501)</f>
        <v>32941108</v>
      </c>
      <c r="G502" s="245">
        <f>SUM(G500:G501)</f>
        <v>169595065</v>
      </c>
      <c r="H502" s="245">
        <f>SUM(H500:H501)</f>
        <v>755404935</v>
      </c>
      <c r="I502" s="229"/>
      <c r="J502" s="224" t="s">
        <v>173</v>
      </c>
    </row>
    <row r="503" spans="1:10" ht="14.25" customHeight="1">
      <c r="A503" s="230" t="s">
        <v>705</v>
      </c>
      <c r="B503" s="204" t="s">
        <v>318</v>
      </c>
      <c r="C503" s="205" t="s">
        <v>189</v>
      </c>
      <c r="D503" s="204" t="s">
        <v>308</v>
      </c>
      <c r="E503" s="200">
        <v>329000000</v>
      </c>
      <c r="F503" s="200">
        <v>0</v>
      </c>
      <c r="G503" s="200">
        <f>'25.企業債（23決算）'!G502+'25.企業債（24決算）'!F503</f>
        <v>329000000</v>
      </c>
      <c r="H503" s="200">
        <f t="shared" si="10"/>
        <v>0</v>
      </c>
      <c r="I503" s="201">
        <v>1</v>
      </c>
      <c r="J503" s="216" t="s">
        <v>92</v>
      </c>
    </row>
    <row r="504" spans="1:10" ht="14.25" customHeight="1">
      <c r="A504" s="231" t="s">
        <v>166</v>
      </c>
      <c r="B504" s="204">
        <v>13</v>
      </c>
      <c r="C504" s="205" t="s">
        <v>603</v>
      </c>
      <c r="D504" s="206" t="s">
        <v>97</v>
      </c>
      <c r="E504" s="200">
        <v>728000000</v>
      </c>
      <c r="F504" s="200">
        <v>27467891</v>
      </c>
      <c r="G504" s="200">
        <f>'25.企業債（23決算）'!G503+'25.企業債（24決算）'!F504</f>
        <v>156143509</v>
      </c>
      <c r="H504" s="200">
        <f t="shared" si="10"/>
        <v>571856491</v>
      </c>
      <c r="I504" s="201">
        <v>2.2000000000000002</v>
      </c>
      <c r="J504" s="216" t="s">
        <v>303</v>
      </c>
    </row>
    <row r="505" spans="1:10" ht="14.25" customHeight="1">
      <c r="A505" s="231"/>
      <c r="B505" s="204">
        <v>13</v>
      </c>
      <c r="C505" s="205" t="s">
        <v>603</v>
      </c>
      <c r="D505" s="206" t="s">
        <v>605</v>
      </c>
      <c r="E505" s="200">
        <v>59000000</v>
      </c>
      <c r="F505" s="200">
        <v>2250768</v>
      </c>
      <c r="G505" s="200">
        <f>'25.企業債（23決算）'!G504+'25.企業債（24決算）'!F505</f>
        <v>11868728</v>
      </c>
      <c r="H505" s="200">
        <f t="shared" si="10"/>
        <v>47131272</v>
      </c>
      <c r="I505" s="201">
        <v>1.9</v>
      </c>
      <c r="J505" s="216" t="s">
        <v>96</v>
      </c>
    </row>
    <row r="506" spans="1:10" ht="14.25" customHeight="1">
      <c r="A506" s="231"/>
      <c r="B506" s="204">
        <v>14</v>
      </c>
      <c r="C506" s="205" t="s">
        <v>266</v>
      </c>
      <c r="D506" s="206" t="s">
        <v>607</v>
      </c>
      <c r="E506" s="200">
        <v>2500000000</v>
      </c>
      <c r="F506" s="200">
        <v>2500000000</v>
      </c>
      <c r="G506" s="200">
        <f>'25.企業債（23決算）'!G505+'25.企業債（24決算）'!F506</f>
        <v>2500000000</v>
      </c>
      <c r="H506" s="200">
        <f t="shared" si="10"/>
        <v>0</v>
      </c>
      <c r="I506" s="201">
        <v>0.8</v>
      </c>
      <c r="J506" s="216" t="s">
        <v>608</v>
      </c>
    </row>
    <row r="507" spans="1:10" ht="14.25" customHeight="1">
      <c r="A507" s="231"/>
      <c r="B507" s="204">
        <v>14</v>
      </c>
      <c r="C507" s="205" t="s">
        <v>603</v>
      </c>
      <c r="D507" s="206" t="s">
        <v>609</v>
      </c>
      <c r="E507" s="200">
        <v>530000000</v>
      </c>
      <c r="F507" s="200">
        <v>77081872</v>
      </c>
      <c r="G507" s="200">
        <f>'25.企業債（23決算）'!G506+'25.企業債（24決算）'!F507</f>
        <v>530000000</v>
      </c>
      <c r="H507" s="200">
        <f t="shared" si="10"/>
        <v>0</v>
      </c>
      <c r="I507" s="201">
        <v>0.6</v>
      </c>
      <c r="J507" s="216" t="s">
        <v>608</v>
      </c>
    </row>
    <row r="508" spans="1:10" ht="14.25" customHeight="1">
      <c r="A508" s="231"/>
      <c r="B508" s="204">
        <v>15</v>
      </c>
      <c r="C508" s="205" t="s">
        <v>266</v>
      </c>
      <c r="D508" s="206" t="s">
        <v>610</v>
      </c>
      <c r="E508" s="200">
        <v>2000000000</v>
      </c>
      <c r="F508" s="200">
        <v>0</v>
      </c>
      <c r="G508" s="200">
        <f>'25.企業債（23決算）'!G507+'25.企業債（24決算）'!F508</f>
        <v>0</v>
      </c>
      <c r="H508" s="200">
        <f t="shared" si="10"/>
        <v>2000000000</v>
      </c>
      <c r="I508" s="201">
        <v>1.4</v>
      </c>
      <c r="J508" s="216" t="s">
        <v>611</v>
      </c>
    </row>
    <row r="509" spans="1:10" ht="14.25" customHeight="1">
      <c r="A509" s="231"/>
      <c r="B509" s="204">
        <v>14</v>
      </c>
      <c r="C509" s="205" t="s">
        <v>189</v>
      </c>
      <c r="D509" s="206" t="s">
        <v>304</v>
      </c>
      <c r="E509" s="200">
        <v>70000000</v>
      </c>
      <c r="F509" s="200">
        <v>10250472</v>
      </c>
      <c r="G509" s="200">
        <f>'25.企業債（23決算）'!G508+'25.企業債（24決算）'!F509</f>
        <v>64836292</v>
      </c>
      <c r="H509" s="200">
        <f t="shared" si="10"/>
        <v>5163708</v>
      </c>
      <c r="I509" s="201">
        <v>1</v>
      </c>
      <c r="J509" s="216" t="s">
        <v>611</v>
      </c>
    </row>
    <row r="510" spans="1:10" ht="14.25" customHeight="1">
      <c r="A510" s="231"/>
      <c r="B510" s="204">
        <v>15</v>
      </c>
      <c r="C510" s="205" t="s">
        <v>189</v>
      </c>
      <c r="D510" s="206" t="s">
        <v>612</v>
      </c>
      <c r="E510" s="200">
        <v>989000000</v>
      </c>
      <c r="F510" s="200">
        <v>144384985</v>
      </c>
      <c r="G510" s="200">
        <f>'25.企業債（23決算）'!G509+'25.企業債（24決算）'!F510</f>
        <v>843022413</v>
      </c>
      <c r="H510" s="200">
        <f t="shared" si="10"/>
        <v>145977587</v>
      </c>
      <c r="I510" s="201">
        <v>1.1000000000000001</v>
      </c>
      <c r="J510" s="216" t="s">
        <v>267</v>
      </c>
    </row>
    <row r="511" spans="1:10" ht="14.25" customHeight="1">
      <c r="A511" s="231"/>
      <c r="B511" s="204">
        <v>16</v>
      </c>
      <c r="C511" s="205" t="s">
        <v>266</v>
      </c>
      <c r="D511" s="206" t="s">
        <v>613</v>
      </c>
      <c r="E511" s="200">
        <v>2000000000</v>
      </c>
      <c r="F511" s="200">
        <v>0</v>
      </c>
      <c r="G511" s="200">
        <f>'25.企業債（23決算）'!G510+'25.企業債（24決算）'!F511</f>
        <v>0</v>
      </c>
      <c r="H511" s="200">
        <f t="shared" si="10"/>
        <v>2000000000</v>
      </c>
      <c r="I511" s="201">
        <v>1.3</v>
      </c>
      <c r="J511" s="216" t="s">
        <v>614</v>
      </c>
    </row>
    <row r="512" spans="1:10" ht="14.25" customHeight="1">
      <c r="A512" s="231"/>
      <c r="B512" s="204">
        <v>17</v>
      </c>
      <c r="C512" s="205" t="s">
        <v>266</v>
      </c>
      <c r="D512" s="206" t="s">
        <v>615</v>
      </c>
      <c r="E512" s="200">
        <v>2000000000</v>
      </c>
      <c r="F512" s="200">
        <v>0</v>
      </c>
      <c r="G512" s="200">
        <f>'25.企業債（23決算）'!G511+'25.企業債（24決算）'!F512</f>
        <v>0</v>
      </c>
      <c r="H512" s="200">
        <f t="shared" si="10"/>
        <v>2000000000</v>
      </c>
      <c r="I512" s="201">
        <v>1.5</v>
      </c>
      <c r="J512" s="216" t="s">
        <v>167</v>
      </c>
    </row>
    <row r="513" spans="1:10" ht="14.25" customHeight="1">
      <c r="A513" s="231"/>
      <c r="B513" s="204">
        <v>16</v>
      </c>
      <c r="C513" s="205" t="s">
        <v>189</v>
      </c>
      <c r="D513" s="206" t="s">
        <v>616</v>
      </c>
      <c r="E513" s="200">
        <v>255000000</v>
      </c>
      <c r="F513" s="200">
        <v>36636653</v>
      </c>
      <c r="G513" s="200">
        <f>'25.企業債（23決算）'!G512+'25.企業債（24決算）'!F513</f>
        <v>161467544</v>
      </c>
      <c r="H513" s="200">
        <f t="shared" si="10"/>
        <v>93532456</v>
      </c>
      <c r="I513" s="201">
        <v>1.2</v>
      </c>
      <c r="J513" s="216" t="s">
        <v>617</v>
      </c>
    </row>
    <row r="514" spans="1:10" ht="14.25" customHeight="1">
      <c r="A514" s="231"/>
      <c r="B514" s="204">
        <v>18</v>
      </c>
      <c r="C514" s="205" t="s">
        <v>266</v>
      </c>
      <c r="D514" s="204" t="s">
        <v>618</v>
      </c>
      <c r="E514" s="200">
        <v>500000000</v>
      </c>
      <c r="F514" s="200">
        <v>0</v>
      </c>
      <c r="G514" s="200">
        <f>'25.企業債（23決算）'!G513+'25.企業債（24決算）'!F514</f>
        <v>0</v>
      </c>
      <c r="H514" s="200">
        <f t="shared" si="10"/>
        <v>500000000</v>
      </c>
      <c r="I514" s="201">
        <v>1.8</v>
      </c>
      <c r="J514" s="202" t="s">
        <v>619</v>
      </c>
    </row>
    <row r="515" spans="1:10" ht="14.25" customHeight="1">
      <c r="A515" s="231"/>
      <c r="B515" s="204">
        <v>18</v>
      </c>
      <c r="C515" s="205" t="s">
        <v>189</v>
      </c>
      <c r="D515" s="204" t="s">
        <v>347</v>
      </c>
      <c r="E515" s="200">
        <v>187000000</v>
      </c>
      <c r="F515" s="200">
        <v>26264709</v>
      </c>
      <c r="G515" s="200">
        <f>'25.企業債（23決算）'!G514+'25.企業債（24決算）'!F515</f>
        <v>77516914</v>
      </c>
      <c r="H515" s="200">
        <f t="shared" si="10"/>
        <v>109483086</v>
      </c>
      <c r="I515" s="201">
        <v>1.65</v>
      </c>
      <c r="J515" s="202" t="s">
        <v>276</v>
      </c>
    </row>
    <row r="516" spans="1:10" ht="14.25" customHeight="1">
      <c r="A516" s="231"/>
      <c r="B516" s="204">
        <v>19</v>
      </c>
      <c r="C516" s="205" t="s">
        <v>620</v>
      </c>
      <c r="D516" s="204" t="s">
        <v>621</v>
      </c>
      <c r="E516" s="200">
        <v>2000000000</v>
      </c>
      <c r="F516" s="200">
        <v>0</v>
      </c>
      <c r="G516" s="200">
        <f>'25.企業債（23決算）'!G515+'25.企業債（24決算）'!F516</f>
        <v>0</v>
      </c>
      <c r="H516" s="200">
        <f t="shared" si="10"/>
        <v>2000000000</v>
      </c>
      <c r="I516" s="201">
        <v>1.65</v>
      </c>
      <c r="J516" s="202" t="s">
        <v>622</v>
      </c>
    </row>
    <row r="517" spans="1:10" ht="14.25" customHeight="1">
      <c r="A517" s="231"/>
      <c r="B517" s="204">
        <v>19</v>
      </c>
      <c r="C517" s="205" t="s">
        <v>189</v>
      </c>
      <c r="D517" s="204" t="s">
        <v>348</v>
      </c>
      <c r="E517" s="200">
        <v>273000000</v>
      </c>
      <c r="F517" s="200">
        <v>37950791</v>
      </c>
      <c r="G517" s="200">
        <f>'25.企業債（23決算）'!G516+'25.企業債（24決算）'!F517</f>
        <v>75394387</v>
      </c>
      <c r="H517" s="200">
        <f t="shared" si="10"/>
        <v>197605613</v>
      </c>
      <c r="I517" s="201">
        <v>1.35</v>
      </c>
      <c r="J517" s="202" t="s">
        <v>277</v>
      </c>
    </row>
    <row r="518" spans="1:10" ht="14.25" customHeight="1">
      <c r="A518" s="231"/>
      <c r="B518" s="204">
        <v>20</v>
      </c>
      <c r="C518" s="205" t="s">
        <v>266</v>
      </c>
      <c r="D518" s="204" t="s">
        <v>623</v>
      </c>
      <c r="E518" s="200">
        <v>2000000000</v>
      </c>
      <c r="F518" s="200">
        <v>0</v>
      </c>
      <c r="G518" s="200">
        <f>'25.企業債（23決算）'!G517+'25.企業債（24決算）'!F518</f>
        <v>0</v>
      </c>
      <c r="H518" s="200">
        <f t="shared" si="10"/>
        <v>2000000000</v>
      </c>
      <c r="I518" s="201">
        <v>1.48</v>
      </c>
      <c r="J518" s="202" t="s">
        <v>280</v>
      </c>
    </row>
    <row r="519" spans="1:10" ht="14.25" customHeight="1">
      <c r="A519" s="231"/>
      <c r="B519" s="204">
        <v>20</v>
      </c>
      <c r="C519" s="217" t="s">
        <v>695</v>
      </c>
      <c r="D519" s="204" t="s">
        <v>624</v>
      </c>
      <c r="E519" s="200">
        <v>605000000</v>
      </c>
      <c r="F519" s="200">
        <v>83863801</v>
      </c>
      <c r="G519" s="200">
        <f>'25.企業債（23決算）'!G518+'25.企業債（24決算）'!F519</f>
        <v>83863801</v>
      </c>
      <c r="H519" s="200">
        <f t="shared" si="10"/>
        <v>521136199</v>
      </c>
      <c r="I519" s="201">
        <v>1</v>
      </c>
      <c r="J519" s="202" t="s">
        <v>280</v>
      </c>
    </row>
    <row r="520" spans="1:10" ht="14.25" customHeight="1">
      <c r="A520" s="232"/>
      <c r="B520" s="204">
        <v>20</v>
      </c>
      <c r="C520" s="217" t="s">
        <v>695</v>
      </c>
      <c r="D520" s="204" t="s">
        <v>624</v>
      </c>
      <c r="E520" s="200">
        <v>363000000</v>
      </c>
      <c r="F520" s="200">
        <v>50318280</v>
      </c>
      <c r="G520" s="200">
        <f>'25.企業債（23決算）'!G519+'25.企業債（24決算）'!F520</f>
        <v>50318280</v>
      </c>
      <c r="H520" s="200">
        <f t="shared" si="10"/>
        <v>312681720</v>
      </c>
      <c r="I520" s="201">
        <v>1</v>
      </c>
      <c r="J520" s="202" t="s">
        <v>689</v>
      </c>
    </row>
    <row r="521" spans="1:10" ht="14.25" customHeight="1">
      <c r="A521" s="231"/>
      <c r="B521" s="204">
        <v>21</v>
      </c>
      <c r="C521" s="217" t="s">
        <v>698</v>
      </c>
      <c r="D521" s="204" t="s">
        <v>808</v>
      </c>
      <c r="E521" s="200">
        <v>1423000000</v>
      </c>
      <c r="F521" s="200">
        <v>0</v>
      </c>
      <c r="G521" s="200">
        <f>'25.企業債（23決算）'!G520+'25.企業債（24決算）'!F521</f>
        <v>0</v>
      </c>
      <c r="H521" s="200">
        <f>E521-G521</f>
        <v>1423000000</v>
      </c>
      <c r="I521" s="201">
        <v>0.9</v>
      </c>
      <c r="J521" s="202" t="s">
        <v>283</v>
      </c>
    </row>
    <row r="522" spans="1:10" ht="14.25" customHeight="1">
      <c r="A522" s="231"/>
      <c r="B522" s="204">
        <v>22</v>
      </c>
      <c r="C522" s="217" t="s">
        <v>886</v>
      </c>
      <c r="D522" s="204" t="s">
        <v>1339</v>
      </c>
      <c r="E522" s="200">
        <v>965000000</v>
      </c>
      <c r="F522" s="200">
        <v>0</v>
      </c>
      <c r="G522" s="200">
        <f>'25.企業債（23決算）'!G521+'25.企業債（24決算）'!F522</f>
        <v>0</v>
      </c>
      <c r="H522" s="200">
        <f t="shared" si="10"/>
        <v>965000000</v>
      </c>
      <c r="I522" s="201">
        <v>0.7</v>
      </c>
      <c r="J522" s="202" t="s">
        <v>1377</v>
      </c>
    </row>
    <row r="523" spans="1:10" ht="14.25" customHeight="1">
      <c r="A523" s="231"/>
      <c r="B523" s="204">
        <v>24</v>
      </c>
      <c r="C523" s="217" t="s">
        <v>886</v>
      </c>
      <c r="D523" s="128" t="s">
        <v>80</v>
      </c>
      <c r="E523" s="200">
        <v>1800000000</v>
      </c>
      <c r="F523" s="200">
        <v>0</v>
      </c>
      <c r="G523" s="200">
        <v>0</v>
      </c>
      <c r="H523" s="200">
        <f>E523-G523</f>
        <v>1800000000</v>
      </c>
      <c r="I523" s="201">
        <v>0.4</v>
      </c>
      <c r="J523" s="147" t="s">
        <v>81</v>
      </c>
    </row>
    <row r="524" spans="1:10" ht="17.25" customHeight="1">
      <c r="A524" s="219" t="s">
        <v>376</v>
      </c>
      <c r="B524" s="220" t="s">
        <v>173</v>
      </c>
      <c r="C524" s="221" t="s">
        <v>173</v>
      </c>
      <c r="D524" s="222" t="s">
        <v>173</v>
      </c>
      <c r="E524" s="245">
        <f>SUM(E503:E523)</f>
        <v>21576000000</v>
      </c>
      <c r="F524" s="245">
        <f>SUM(F503:F523)</f>
        <v>2996470222</v>
      </c>
      <c r="G524" s="245">
        <f>SUM(G503:G523)</f>
        <v>4883431868</v>
      </c>
      <c r="H524" s="245">
        <f>SUM(H503:H523)</f>
        <v>16692568132</v>
      </c>
      <c r="I524" s="223"/>
      <c r="J524" s="224" t="s">
        <v>173</v>
      </c>
    </row>
    <row r="525" spans="1:10" ht="14.25" customHeight="1">
      <c r="A525" s="225" t="s">
        <v>168</v>
      </c>
      <c r="B525" s="204" t="s">
        <v>319</v>
      </c>
      <c r="C525" s="233" t="s">
        <v>189</v>
      </c>
      <c r="D525" s="206" t="s">
        <v>309</v>
      </c>
      <c r="E525" s="234">
        <v>29000000</v>
      </c>
      <c r="F525" s="200">
        <v>1666456</v>
      </c>
      <c r="G525" s="200">
        <f>'25.企業債（23決算）'!G523+'25.企業債（24決算）'!F525</f>
        <v>11290261</v>
      </c>
      <c r="H525" s="200">
        <f t="shared" si="10"/>
        <v>17709739</v>
      </c>
      <c r="I525" s="201">
        <v>1.1000000000000001</v>
      </c>
      <c r="J525" s="235" t="s">
        <v>686</v>
      </c>
    </row>
    <row r="526" spans="1:10" ht="14.25" customHeight="1">
      <c r="A526" s="236" t="s">
        <v>169</v>
      </c>
      <c r="B526" s="204">
        <v>15</v>
      </c>
      <c r="C526" s="237" t="s">
        <v>189</v>
      </c>
      <c r="D526" s="206" t="s">
        <v>612</v>
      </c>
      <c r="E526" s="238">
        <v>67000000</v>
      </c>
      <c r="F526" s="200">
        <v>3745760</v>
      </c>
      <c r="G526" s="200">
        <f>'25.企業債（23決算）'!G524+'25.企業債（24決算）'!F526</f>
        <v>21604755</v>
      </c>
      <c r="H526" s="200">
        <f t="shared" si="10"/>
        <v>45395245</v>
      </c>
      <c r="I526" s="201">
        <v>1.6</v>
      </c>
      <c r="J526" s="216" t="s">
        <v>626</v>
      </c>
    </row>
    <row r="527" spans="1:10" ht="14.25" customHeight="1">
      <c r="A527" s="236"/>
      <c r="B527" s="204">
        <v>16</v>
      </c>
      <c r="C527" s="237" t="s">
        <v>189</v>
      </c>
      <c r="D527" s="206" t="s">
        <v>137</v>
      </c>
      <c r="E527" s="238">
        <v>62000000</v>
      </c>
      <c r="F527" s="200">
        <v>3396590</v>
      </c>
      <c r="G527" s="200">
        <f>'25.企業債（23決算）'!G525+'25.企業債（24決算）'!F527</f>
        <v>16422301</v>
      </c>
      <c r="H527" s="200">
        <f t="shared" si="10"/>
        <v>45577699</v>
      </c>
      <c r="I527" s="201">
        <v>1.7</v>
      </c>
      <c r="J527" s="202" t="s">
        <v>628</v>
      </c>
    </row>
    <row r="528" spans="1:10" ht="14.25" customHeight="1">
      <c r="A528" s="236"/>
      <c r="B528" s="204">
        <v>17</v>
      </c>
      <c r="C528" s="237" t="s">
        <v>189</v>
      </c>
      <c r="D528" s="206" t="s">
        <v>629</v>
      </c>
      <c r="E528" s="238">
        <v>124000000</v>
      </c>
      <c r="F528" s="200">
        <v>6643377</v>
      </c>
      <c r="G528" s="200">
        <f>'25.企業債（23決算）'!G526+'25.企業債（24決算）'!F528</f>
        <v>25873941</v>
      </c>
      <c r="H528" s="200">
        <f t="shared" si="10"/>
        <v>98126059</v>
      </c>
      <c r="I528" s="201">
        <v>1.8</v>
      </c>
      <c r="J528" s="202" t="s">
        <v>630</v>
      </c>
    </row>
    <row r="529" spans="1:10" ht="14.25" customHeight="1">
      <c r="A529" s="236"/>
      <c r="B529" s="204">
        <v>18</v>
      </c>
      <c r="C529" s="237" t="s">
        <v>189</v>
      </c>
      <c r="D529" s="206" t="s">
        <v>347</v>
      </c>
      <c r="E529" s="238">
        <v>38000000</v>
      </c>
      <c r="F529" s="200">
        <v>1986995</v>
      </c>
      <c r="G529" s="200">
        <f>'25.企業債（23決算）'!G527+'25.企業債（24決算）'!F529</f>
        <v>5850017</v>
      </c>
      <c r="H529" s="200">
        <f t="shared" si="10"/>
        <v>32149983</v>
      </c>
      <c r="I529" s="201">
        <v>1.9</v>
      </c>
      <c r="J529" s="202" t="s">
        <v>294</v>
      </c>
    </row>
    <row r="530" spans="1:10" ht="14.25" customHeight="1">
      <c r="A530" s="236"/>
      <c r="B530" s="204">
        <v>19</v>
      </c>
      <c r="C530" s="237" t="s">
        <v>495</v>
      </c>
      <c r="D530" s="204" t="s">
        <v>632</v>
      </c>
      <c r="E530" s="238">
        <v>71000000</v>
      </c>
      <c r="F530" s="200">
        <v>3683483</v>
      </c>
      <c r="G530" s="200">
        <f>'25.企業債（23決算）'!G528+'25.企業債（24決算）'!F530</f>
        <v>7303342</v>
      </c>
      <c r="H530" s="200">
        <f t="shared" si="10"/>
        <v>63696658</v>
      </c>
      <c r="I530" s="201">
        <v>1.75</v>
      </c>
      <c r="J530" s="202" t="s">
        <v>633</v>
      </c>
    </row>
    <row r="531" spans="1:10" ht="14.25" customHeight="1">
      <c r="A531" s="236"/>
      <c r="B531" s="204">
        <v>20</v>
      </c>
      <c r="C531" s="217" t="s">
        <v>695</v>
      </c>
      <c r="D531" s="204" t="s">
        <v>624</v>
      </c>
      <c r="E531" s="238">
        <v>55000000</v>
      </c>
      <c r="F531" s="200">
        <v>2839374</v>
      </c>
      <c r="G531" s="200">
        <f>'25.企業債（23決算）'!G529+'25.企業債（24決算）'!F531</f>
        <v>2839374</v>
      </c>
      <c r="H531" s="200">
        <f t="shared" si="10"/>
        <v>52160626</v>
      </c>
      <c r="I531" s="201">
        <v>1.6</v>
      </c>
      <c r="J531" s="202" t="s">
        <v>296</v>
      </c>
    </row>
    <row r="532" spans="1:10" ht="17.25" customHeight="1" thickBot="1">
      <c r="A532" s="239" t="s">
        <v>376</v>
      </c>
      <c r="B532" s="240" t="s">
        <v>173</v>
      </c>
      <c r="C532" s="241" t="s">
        <v>173</v>
      </c>
      <c r="D532" s="242" t="s">
        <v>173</v>
      </c>
      <c r="E532" s="246">
        <f>SUM(E525:E531)</f>
        <v>446000000</v>
      </c>
      <c r="F532" s="246">
        <f>SUM(F525:F531)</f>
        <v>23962035</v>
      </c>
      <c r="G532" s="246">
        <f>SUM(G525:G531)</f>
        <v>91183991</v>
      </c>
      <c r="H532" s="246">
        <f>SUM(H525:H531)</f>
        <v>354816009</v>
      </c>
      <c r="I532" s="243"/>
      <c r="J532" s="244" t="s">
        <v>173</v>
      </c>
    </row>
    <row r="533" spans="1:10" ht="9.75" customHeight="1" thickBot="1">
      <c r="A533" s="261"/>
      <c r="B533" s="272"/>
      <c r="C533" s="257"/>
      <c r="D533" s="270"/>
      <c r="E533" s="259"/>
      <c r="F533" s="259"/>
      <c r="G533" s="259"/>
      <c r="H533" s="259"/>
      <c r="I533" s="260"/>
      <c r="J533" s="270"/>
    </row>
    <row r="534" spans="1:10" ht="14.25" customHeight="1">
      <c r="A534" s="479" t="s">
        <v>85</v>
      </c>
      <c r="B534" s="481" t="s">
        <v>311</v>
      </c>
      <c r="C534" s="483" t="s">
        <v>86</v>
      </c>
      <c r="D534" s="481" t="s">
        <v>312</v>
      </c>
      <c r="E534" s="485" t="s">
        <v>87</v>
      </c>
      <c r="F534" s="487" t="s">
        <v>88</v>
      </c>
      <c r="G534" s="493"/>
      <c r="H534" s="489" t="s">
        <v>174</v>
      </c>
      <c r="I534" s="491" t="s">
        <v>89</v>
      </c>
      <c r="J534" s="477" t="s">
        <v>313</v>
      </c>
    </row>
    <row r="535" spans="1:10" ht="14.25" customHeight="1">
      <c r="A535" s="480"/>
      <c r="B535" s="482"/>
      <c r="C535" s="484"/>
      <c r="D535" s="482"/>
      <c r="E535" s="486"/>
      <c r="F535" s="207" t="s">
        <v>176</v>
      </c>
      <c r="G535" s="207" t="s">
        <v>305</v>
      </c>
      <c r="H535" s="490"/>
      <c r="I535" s="492"/>
      <c r="J535" s="478"/>
    </row>
    <row r="536" spans="1:10" ht="14.25" customHeight="1">
      <c r="A536" s="247" t="s">
        <v>706</v>
      </c>
      <c r="B536" s="248" t="s">
        <v>320</v>
      </c>
      <c r="C536" s="249" t="s">
        <v>163</v>
      </c>
      <c r="D536" s="211" t="s">
        <v>310</v>
      </c>
      <c r="E536" s="250">
        <v>1006000000</v>
      </c>
      <c r="F536" s="200">
        <v>33297417</v>
      </c>
      <c r="G536" s="200">
        <f>'25.企業債（23決算）'!G534+'25.企業債（24決算）'!F536</f>
        <v>129304578</v>
      </c>
      <c r="H536" s="200">
        <f t="shared" ref="H536:H545" si="11">E536-G536</f>
        <v>876695422</v>
      </c>
      <c r="I536" s="213">
        <v>2</v>
      </c>
      <c r="J536" s="235" t="s">
        <v>129</v>
      </c>
    </row>
    <row r="537" spans="1:10" ht="14.25" customHeight="1">
      <c r="A537" s="236" t="s">
        <v>707</v>
      </c>
      <c r="B537" s="204">
        <v>16</v>
      </c>
      <c r="C537" s="237" t="s">
        <v>189</v>
      </c>
      <c r="D537" s="206" t="s">
        <v>137</v>
      </c>
      <c r="E537" s="200">
        <v>288000000</v>
      </c>
      <c r="F537" s="200">
        <v>10276595</v>
      </c>
      <c r="G537" s="200">
        <f>'25.企業債（23決算）'!G535+'25.企業債（24決算）'!F537</f>
        <v>30196808</v>
      </c>
      <c r="H537" s="200">
        <f t="shared" si="11"/>
        <v>257803192</v>
      </c>
      <c r="I537" s="201">
        <v>2.1</v>
      </c>
      <c r="J537" s="202" t="s">
        <v>159</v>
      </c>
    </row>
    <row r="538" spans="1:10" ht="14.25" customHeight="1">
      <c r="A538" s="232"/>
      <c r="B538" s="204">
        <v>16</v>
      </c>
      <c r="C538" s="205" t="s">
        <v>163</v>
      </c>
      <c r="D538" s="206" t="s">
        <v>138</v>
      </c>
      <c r="E538" s="200">
        <v>2952000000</v>
      </c>
      <c r="F538" s="200">
        <v>94739988</v>
      </c>
      <c r="G538" s="200">
        <f>'25.企業債（23決算）'!G536+'25.企業債（24決算）'!F538</f>
        <v>278384543</v>
      </c>
      <c r="H538" s="200">
        <f t="shared" si="11"/>
        <v>2673615457</v>
      </c>
      <c r="I538" s="201">
        <v>2.1</v>
      </c>
      <c r="J538" s="202" t="s">
        <v>139</v>
      </c>
    </row>
    <row r="539" spans="1:10" ht="14.25" customHeight="1">
      <c r="A539" s="232"/>
      <c r="B539" s="204">
        <v>17</v>
      </c>
      <c r="C539" s="205" t="s">
        <v>163</v>
      </c>
      <c r="D539" s="206" t="s">
        <v>140</v>
      </c>
      <c r="E539" s="200">
        <v>3534000000</v>
      </c>
      <c r="F539" s="200">
        <v>111073609</v>
      </c>
      <c r="G539" s="200">
        <f>'25.企業債（23決算）'!G537+'25.企業債（24決算）'!F539</f>
        <v>219850902</v>
      </c>
      <c r="H539" s="200">
        <f t="shared" si="11"/>
        <v>3314149098</v>
      </c>
      <c r="I539" s="201">
        <v>2.1</v>
      </c>
      <c r="J539" s="202" t="s">
        <v>141</v>
      </c>
    </row>
    <row r="540" spans="1:10" ht="14.25" customHeight="1">
      <c r="A540" s="232"/>
      <c r="B540" s="204">
        <v>18</v>
      </c>
      <c r="C540" s="205" t="s">
        <v>266</v>
      </c>
      <c r="D540" s="204" t="s">
        <v>346</v>
      </c>
      <c r="E540" s="200">
        <v>1500000000</v>
      </c>
      <c r="F540" s="200">
        <v>0</v>
      </c>
      <c r="G540" s="200">
        <f>'25.企業債（23決算）'!G538+'25.企業債（24決算）'!F540</f>
        <v>0</v>
      </c>
      <c r="H540" s="200">
        <f t="shared" si="11"/>
        <v>1500000000</v>
      </c>
      <c r="I540" s="201">
        <v>1.8</v>
      </c>
      <c r="J540" s="202" t="s">
        <v>276</v>
      </c>
    </row>
    <row r="541" spans="1:10" ht="14.25" customHeight="1">
      <c r="A541" s="232"/>
      <c r="B541" s="204">
        <v>18</v>
      </c>
      <c r="C541" s="205" t="s">
        <v>163</v>
      </c>
      <c r="D541" s="204" t="s">
        <v>675</v>
      </c>
      <c r="E541" s="200">
        <v>1800000000</v>
      </c>
      <c r="F541" s="200">
        <v>55404394</v>
      </c>
      <c r="G541" s="200">
        <f>'25.企業債（23決算）'!G539+'25.企業債（24決算）'!F541</f>
        <v>55404394</v>
      </c>
      <c r="H541" s="200">
        <f t="shared" si="11"/>
        <v>1744595606</v>
      </c>
      <c r="I541" s="201">
        <v>2.1</v>
      </c>
      <c r="J541" s="202" t="s">
        <v>662</v>
      </c>
    </row>
    <row r="542" spans="1:10" ht="14.25" customHeight="1">
      <c r="A542" s="232"/>
      <c r="B542" s="204">
        <v>19</v>
      </c>
      <c r="C542" s="205" t="s">
        <v>345</v>
      </c>
      <c r="D542" s="204" t="s">
        <v>632</v>
      </c>
      <c r="E542" s="200">
        <v>3666000000</v>
      </c>
      <c r="F542" s="200">
        <v>0</v>
      </c>
      <c r="G542" s="200">
        <f>'25.企業債（23決算）'!G540+'25.企業債（24決算）'!F542</f>
        <v>0</v>
      </c>
      <c r="H542" s="200">
        <f t="shared" si="11"/>
        <v>3666000000</v>
      </c>
      <c r="I542" s="201">
        <v>2.1</v>
      </c>
      <c r="J542" s="202" t="s">
        <v>677</v>
      </c>
    </row>
    <row r="543" spans="1:10" ht="14.25" customHeight="1">
      <c r="A543" s="232"/>
      <c r="B543" s="204">
        <v>20</v>
      </c>
      <c r="C543" s="205" t="s">
        <v>345</v>
      </c>
      <c r="D543" s="204" t="s">
        <v>624</v>
      </c>
      <c r="E543" s="200">
        <v>3348000000</v>
      </c>
      <c r="F543" s="200">
        <v>0</v>
      </c>
      <c r="G543" s="200">
        <f>'25.企業債（23決算）'!G541+'25.企業債（24決算）'!F543</f>
        <v>0</v>
      </c>
      <c r="H543" s="200">
        <f t="shared" si="11"/>
        <v>3348000000</v>
      </c>
      <c r="I543" s="201">
        <v>1.9</v>
      </c>
      <c r="J543" s="202" t="s">
        <v>636</v>
      </c>
    </row>
    <row r="544" spans="1:10" ht="14.25" customHeight="1">
      <c r="A544" s="232"/>
      <c r="B544" s="204">
        <v>21</v>
      </c>
      <c r="C544" s="237" t="s">
        <v>163</v>
      </c>
      <c r="D544" s="204" t="s">
        <v>808</v>
      </c>
      <c r="E544" s="200">
        <v>1744000000</v>
      </c>
      <c r="F544" s="200">
        <v>0</v>
      </c>
      <c r="G544" s="200">
        <f>'25.企業債（23決算）'!G542+'25.企業債（24決算）'!F544</f>
        <v>0</v>
      </c>
      <c r="H544" s="200">
        <f>E544-G544</f>
        <v>1744000000</v>
      </c>
      <c r="I544" s="201">
        <v>2.1</v>
      </c>
      <c r="J544" s="202" t="s">
        <v>696</v>
      </c>
    </row>
    <row r="545" spans="1:10" ht="14.25" customHeight="1">
      <c r="A545" s="232"/>
      <c r="B545" s="204">
        <v>22</v>
      </c>
      <c r="C545" s="237" t="s">
        <v>163</v>
      </c>
      <c r="D545" s="204" t="s">
        <v>887</v>
      </c>
      <c r="E545" s="200">
        <v>416000000</v>
      </c>
      <c r="F545" s="200">
        <v>0</v>
      </c>
      <c r="G545" s="200">
        <f>'25.企業債（23決算）'!G543+'25.企業債（24決算）'!F545</f>
        <v>0</v>
      </c>
      <c r="H545" s="200">
        <f t="shared" si="11"/>
        <v>416000000</v>
      </c>
      <c r="I545" s="201">
        <v>1.9</v>
      </c>
      <c r="J545" s="202" t="s">
        <v>888</v>
      </c>
    </row>
    <row r="546" spans="1:10">
      <c r="A546" s="219" t="s">
        <v>376</v>
      </c>
      <c r="B546" s="220"/>
      <c r="C546" s="221"/>
      <c r="D546" s="222"/>
      <c r="E546" s="245">
        <f>SUM(E536:E545)</f>
        <v>20254000000</v>
      </c>
      <c r="F546" s="245">
        <f>SUM(F536:F545)</f>
        <v>304792003</v>
      </c>
      <c r="G546" s="245">
        <f>SUM(G536:G545)</f>
        <v>713141225</v>
      </c>
      <c r="H546" s="245">
        <f>SUM(H536:H545)</f>
        <v>19540858775</v>
      </c>
      <c r="I546" s="223"/>
      <c r="J546" s="224"/>
    </row>
    <row r="547" spans="1:10" ht="14.25" thickBot="1">
      <c r="A547" s="239" t="s">
        <v>170</v>
      </c>
      <c r="B547" s="240" t="s">
        <v>173</v>
      </c>
      <c r="C547" s="241" t="s">
        <v>173</v>
      </c>
      <c r="D547" s="242" t="s">
        <v>173</v>
      </c>
      <c r="E547" s="246">
        <f>E24+E43+E78+E161+E195+E287+E385+E389+E427+E493+E496+E499+E502+E524+E532+E546</f>
        <v>525595236889</v>
      </c>
      <c r="F547" s="246">
        <f>F24+F43+F78+F161+F195+F287+F385+F389+F427+F493+F496+F499+F502+F524+F532+F546</f>
        <v>11775575901</v>
      </c>
      <c r="G547" s="246">
        <f>G24+G43+G78+G161+G195+G287+G385+G389+G427+G493+G496+G499+G502+G524+G532+G546</f>
        <v>340220511254</v>
      </c>
      <c r="H547" s="246">
        <f>H24+H43+H78+H161+H195+H287+H385+H389+H427+H493+H496+H499+H502+H524+H532+H546</f>
        <v>185374725635</v>
      </c>
      <c r="I547" s="243"/>
      <c r="J547" s="244" t="s">
        <v>173</v>
      </c>
    </row>
    <row r="548" spans="1:10">
      <c r="H548" s="274"/>
    </row>
    <row r="550" spans="1:10">
      <c r="E550" s="274"/>
    </row>
  </sheetData>
  <mergeCells count="90">
    <mergeCell ref="I2:I3"/>
    <mergeCell ref="J2:J3"/>
    <mergeCell ref="A57:A58"/>
    <mergeCell ref="B57:B58"/>
    <mergeCell ref="C57:C58"/>
    <mergeCell ref="D57:D58"/>
    <mergeCell ref="E57:E58"/>
    <mergeCell ref="F57:G57"/>
    <mergeCell ref="H57:H58"/>
    <mergeCell ref="E2:E3"/>
    <mergeCell ref="F2:G2"/>
    <mergeCell ref="A2:A3"/>
    <mergeCell ref="B2:B3"/>
    <mergeCell ref="C2:C3"/>
    <mergeCell ref="D2:D3"/>
    <mergeCell ref="A113:A114"/>
    <mergeCell ref="B113:B114"/>
    <mergeCell ref="C113:C114"/>
    <mergeCell ref="D113:D114"/>
    <mergeCell ref="H2:H3"/>
    <mergeCell ref="J171:J172"/>
    <mergeCell ref="I57:I58"/>
    <mergeCell ref="J57:J58"/>
    <mergeCell ref="E228:E229"/>
    <mergeCell ref="F228:G228"/>
    <mergeCell ref="J113:J114"/>
    <mergeCell ref="H171:H172"/>
    <mergeCell ref="J228:J229"/>
    <mergeCell ref="E113:E114"/>
    <mergeCell ref="F113:G113"/>
    <mergeCell ref="H113:H114"/>
    <mergeCell ref="I113:I114"/>
    <mergeCell ref="I228:I229"/>
    <mergeCell ref="F171:G171"/>
    <mergeCell ref="I171:I172"/>
    <mergeCell ref="H228:H229"/>
    <mergeCell ref="A171:A172"/>
    <mergeCell ref="B171:B172"/>
    <mergeCell ref="C171:C172"/>
    <mergeCell ref="D171:D172"/>
    <mergeCell ref="E171:E172"/>
    <mergeCell ref="F289:G289"/>
    <mergeCell ref="A228:A229"/>
    <mergeCell ref="B228:B229"/>
    <mergeCell ref="C228:C229"/>
    <mergeCell ref="D228:D229"/>
    <mergeCell ref="A289:A290"/>
    <mergeCell ref="B289:B290"/>
    <mergeCell ref="C289:C290"/>
    <mergeCell ref="D289:D290"/>
    <mergeCell ref="E289:E290"/>
    <mergeCell ref="I468:I469"/>
    <mergeCell ref="J468:J469"/>
    <mergeCell ref="H289:H290"/>
    <mergeCell ref="I289:I290"/>
    <mergeCell ref="J289:J290"/>
    <mergeCell ref="I346:I347"/>
    <mergeCell ref="J346:J347"/>
    <mergeCell ref="H346:H347"/>
    <mergeCell ref="F408:G408"/>
    <mergeCell ref="H408:H409"/>
    <mergeCell ref="I408:I409"/>
    <mergeCell ref="J408:J409"/>
    <mergeCell ref="A346:A347"/>
    <mergeCell ref="B346:B347"/>
    <mergeCell ref="C346:C347"/>
    <mergeCell ref="D346:D347"/>
    <mergeCell ref="E346:E347"/>
    <mergeCell ref="A408:A409"/>
    <mergeCell ref="B408:B409"/>
    <mergeCell ref="C408:C409"/>
    <mergeCell ref="D408:D409"/>
    <mergeCell ref="E408:E409"/>
    <mergeCell ref="F346:G346"/>
    <mergeCell ref="J534:J535"/>
    <mergeCell ref="E534:E535"/>
    <mergeCell ref="F534:G534"/>
    <mergeCell ref="H534:H535"/>
    <mergeCell ref="A468:A469"/>
    <mergeCell ref="B468:B469"/>
    <mergeCell ref="C468:C469"/>
    <mergeCell ref="D468:D469"/>
    <mergeCell ref="E468:E469"/>
    <mergeCell ref="A534:A535"/>
    <mergeCell ref="B534:B535"/>
    <mergeCell ref="C534:C535"/>
    <mergeCell ref="D534:D535"/>
    <mergeCell ref="I534:I535"/>
    <mergeCell ref="F468:G468"/>
    <mergeCell ref="H468:H469"/>
  </mergeCells>
  <phoneticPr fontId="2"/>
  <pageMargins left="0.98425196850393704" right="0.39370078740157483" top="0.98425196850393704" bottom="0.74803149606299213" header="0.31496062992125984" footer="0.31496062992125984"/>
  <pageSetup paperSize="9" scale="82" firstPageNumber="100" orientation="portrait" useFirstPageNumber="1" r:id="rId1"/>
  <headerFooter>
    <oddFooter>&amp;C&amp;P</oddFooter>
  </headerFooter>
  <rowBreaks count="9" manualBreakCount="9">
    <brk id="56" max="16383" man="1"/>
    <brk id="112" max="16383" man="1"/>
    <brk id="170" max="16383" man="1"/>
    <brk id="227" max="16383" man="1"/>
    <brk id="288" max="16383" man="1"/>
    <brk id="345" max="16383" man="1"/>
    <brk id="407" max="16383" man="1"/>
    <brk id="467" max="16383" man="1"/>
    <brk id="5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48"/>
  <sheetViews>
    <sheetView view="pageBreakPreview" topLeftCell="A46" zoomScale="115" zoomScaleNormal="100" zoomScaleSheetLayoutView="115" workbookViewId="0">
      <selection activeCell="A2" sqref="A2:A3"/>
    </sheetView>
  </sheetViews>
  <sheetFormatPr defaultColWidth="9" defaultRowHeight="13.5"/>
  <cols>
    <col min="1" max="1" width="10.875" style="256" customWidth="1"/>
    <col min="2" max="2" width="4.5" style="256" customWidth="1"/>
    <col min="3" max="3" width="12.75" style="256" customWidth="1"/>
    <col min="4" max="4" width="8.875" style="256" customWidth="1"/>
    <col min="5" max="5" width="12.75" style="273" customWidth="1"/>
    <col min="6" max="6" width="11.875" style="273" customWidth="1"/>
    <col min="7" max="8" width="12.75" style="273" customWidth="1"/>
    <col min="9" max="9" width="5" style="256" customWidth="1"/>
    <col min="10" max="10" width="4.25" style="256" customWidth="1"/>
    <col min="11" max="12" width="14" style="256" bestFit="1" customWidth="1"/>
    <col min="13" max="16384" width="9" style="256"/>
  </cols>
  <sheetData>
    <row r="1" spans="1:10" ht="20.25" customHeight="1" thickBot="1">
      <c r="A1" s="275" t="s">
        <v>637</v>
      </c>
      <c r="B1" s="251"/>
      <c r="C1" s="252"/>
      <c r="D1" s="251"/>
      <c r="E1" s="253"/>
      <c r="F1" s="254"/>
      <c r="G1" s="253"/>
      <c r="H1" s="253"/>
      <c r="I1" s="255"/>
      <c r="J1" s="252"/>
    </row>
    <row r="2" spans="1:10">
      <c r="A2" s="479" t="s">
        <v>403</v>
      </c>
      <c r="B2" s="481" t="s">
        <v>311</v>
      </c>
      <c r="C2" s="483" t="s">
        <v>404</v>
      </c>
      <c r="D2" s="481" t="s">
        <v>312</v>
      </c>
      <c r="E2" s="485" t="s">
        <v>352</v>
      </c>
      <c r="F2" s="487" t="s">
        <v>353</v>
      </c>
      <c r="G2" s="493"/>
      <c r="H2" s="489" t="s">
        <v>174</v>
      </c>
      <c r="I2" s="491" t="s">
        <v>354</v>
      </c>
      <c r="J2" s="477" t="s">
        <v>313</v>
      </c>
    </row>
    <row r="3" spans="1:10">
      <c r="A3" s="480"/>
      <c r="B3" s="482"/>
      <c r="C3" s="484"/>
      <c r="D3" s="482"/>
      <c r="E3" s="486"/>
      <c r="F3" s="207" t="s">
        <v>176</v>
      </c>
      <c r="G3" s="207" t="s">
        <v>305</v>
      </c>
      <c r="H3" s="490"/>
      <c r="I3" s="492"/>
      <c r="J3" s="478"/>
    </row>
    <row r="4" spans="1:10" ht="14.25" customHeight="1">
      <c r="A4" s="209"/>
      <c r="B4" s="210"/>
      <c r="C4" s="210"/>
      <c r="D4" s="211" t="s">
        <v>177</v>
      </c>
      <c r="E4" s="212" t="s">
        <v>178</v>
      </c>
      <c r="F4" s="212" t="s">
        <v>172</v>
      </c>
      <c r="G4" s="212" t="s">
        <v>178</v>
      </c>
      <c r="H4" s="212" t="s">
        <v>178</v>
      </c>
      <c r="I4" s="213" t="s">
        <v>355</v>
      </c>
      <c r="J4" s="214" t="s">
        <v>175</v>
      </c>
    </row>
    <row r="5" spans="1:10" ht="14.25" customHeight="1">
      <c r="A5" s="215" t="s">
        <v>179</v>
      </c>
      <c r="B5" s="206" t="s">
        <v>356</v>
      </c>
      <c r="C5" s="263" t="s">
        <v>180</v>
      </c>
      <c r="D5" s="206" t="s">
        <v>357</v>
      </c>
      <c r="E5" s="200">
        <v>40000000</v>
      </c>
      <c r="F5" s="200">
        <v>0</v>
      </c>
      <c r="G5" s="200">
        <v>40000000</v>
      </c>
      <c r="H5" s="200">
        <f t="shared" ref="H5:H55" si="0">E5-G5</f>
        <v>0</v>
      </c>
      <c r="I5" s="201">
        <v>7.8</v>
      </c>
      <c r="J5" s="216" t="s">
        <v>358</v>
      </c>
    </row>
    <row r="6" spans="1:10" ht="14.25" customHeight="1">
      <c r="A6" s="203" t="s">
        <v>182</v>
      </c>
      <c r="B6" s="204" t="s">
        <v>183</v>
      </c>
      <c r="C6" s="263" t="s">
        <v>184</v>
      </c>
      <c r="D6" s="206" t="s">
        <v>1397</v>
      </c>
      <c r="E6" s="200">
        <v>10000000</v>
      </c>
      <c r="F6" s="200">
        <v>0</v>
      </c>
      <c r="G6" s="200">
        <v>10000000</v>
      </c>
      <c r="H6" s="200">
        <f t="shared" si="0"/>
        <v>0</v>
      </c>
      <c r="I6" s="201">
        <v>7.8</v>
      </c>
      <c r="J6" s="216" t="s">
        <v>181</v>
      </c>
    </row>
    <row r="7" spans="1:10" ht="14.25" customHeight="1">
      <c r="A7" s="203"/>
      <c r="B7" s="204" t="s">
        <v>183</v>
      </c>
      <c r="C7" s="205" t="s">
        <v>185</v>
      </c>
      <c r="D7" s="206" t="s">
        <v>1398</v>
      </c>
      <c r="E7" s="200">
        <v>50000000</v>
      </c>
      <c r="F7" s="200">
        <v>0</v>
      </c>
      <c r="G7" s="200">
        <v>50000000</v>
      </c>
      <c r="H7" s="200">
        <f t="shared" si="0"/>
        <v>0</v>
      </c>
      <c r="I7" s="201">
        <v>6.5</v>
      </c>
      <c r="J7" s="216" t="s">
        <v>186</v>
      </c>
    </row>
    <row r="8" spans="1:10" ht="14.25" customHeight="1">
      <c r="A8" s="203"/>
      <c r="B8" s="204" t="s">
        <v>187</v>
      </c>
      <c r="C8" s="205" t="s">
        <v>185</v>
      </c>
      <c r="D8" s="206" t="s">
        <v>1399</v>
      </c>
      <c r="E8" s="200">
        <v>150000000</v>
      </c>
      <c r="F8" s="200">
        <v>0</v>
      </c>
      <c r="G8" s="200">
        <v>150000000</v>
      </c>
      <c r="H8" s="200">
        <f t="shared" si="0"/>
        <v>0</v>
      </c>
      <c r="I8" s="201">
        <v>6.5</v>
      </c>
      <c r="J8" s="216" t="s">
        <v>188</v>
      </c>
    </row>
    <row r="9" spans="1:10" ht="14.25" customHeight="1">
      <c r="A9" s="203"/>
      <c r="B9" s="204" t="s">
        <v>187</v>
      </c>
      <c r="C9" s="205" t="s">
        <v>189</v>
      </c>
      <c r="D9" s="206" t="s">
        <v>1400</v>
      </c>
      <c r="E9" s="200">
        <v>200000000</v>
      </c>
      <c r="F9" s="200">
        <v>0</v>
      </c>
      <c r="G9" s="200">
        <v>200000000</v>
      </c>
      <c r="H9" s="200">
        <f t="shared" si="0"/>
        <v>0</v>
      </c>
      <c r="I9" s="201">
        <v>7.6</v>
      </c>
      <c r="J9" s="216" t="s">
        <v>190</v>
      </c>
    </row>
    <row r="10" spans="1:10" ht="14.25" customHeight="1">
      <c r="A10" s="203"/>
      <c r="B10" s="204" t="s">
        <v>191</v>
      </c>
      <c r="C10" s="205" t="s">
        <v>189</v>
      </c>
      <c r="D10" s="206" t="s">
        <v>1401</v>
      </c>
      <c r="E10" s="200">
        <v>200000000</v>
      </c>
      <c r="F10" s="200">
        <v>0</v>
      </c>
      <c r="G10" s="200">
        <v>200000000</v>
      </c>
      <c r="H10" s="200">
        <f t="shared" si="0"/>
        <v>0</v>
      </c>
      <c r="I10" s="201">
        <v>7.6</v>
      </c>
      <c r="J10" s="216" t="s">
        <v>192</v>
      </c>
    </row>
    <row r="11" spans="1:10" ht="14.25" customHeight="1">
      <c r="A11" s="203"/>
      <c r="B11" s="204" t="s">
        <v>191</v>
      </c>
      <c r="C11" s="205" t="s">
        <v>193</v>
      </c>
      <c r="D11" s="206" t="s">
        <v>1402</v>
      </c>
      <c r="E11" s="200">
        <v>200000000</v>
      </c>
      <c r="F11" s="200">
        <v>0</v>
      </c>
      <c r="G11" s="200">
        <v>200000000</v>
      </c>
      <c r="H11" s="200">
        <f t="shared" si="0"/>
        <v>0</v>
      </c>
      <c r="I11" s="201">
        <v>6.5</v>
      </c>
      <c r="J11" s="216" t="s">
        <v>194</v>
      </c>
    </row>
    <row r="12" spans="1:10" ht="14.25" customHeight="1">
      <c r="A12" s="203"/>
      <c r="B12" s="204" t="s">
        <v>195</v>
      </c>
      <c r="C12" s="205" t="s">
        <v>189</v>
      </c>
      <c r="D12" s="206" t="s">
        <v>1403</v>
      </c>
      <c r="E12" s="200">
        <v>250000000</v>
      </c>
      <c r="F12" s="200">
        <v>0</v>
      </c>
      <c r="G12" s="200">
        <v>250000000</v>
      </c>
      <c r="H12" s="200">
        <f t="shared" si="0"/>
        <v>0</v>
      </c>
      <c r="I12" s="201">
        <v>7.6</v>
      </c>
      <c r="J12" s="216" t="s">
        <v>196</v>
      </c>
    </row>
    <row r="13" spans="1:10" ht="14.25" customHeight="1">
      <c r="A13" s="203"/>
      <c r="B13" s="204" t="s">
        <v>195</v>
      </c>
      <c r="C13" s="263" t="s">
        <v>180</v>
      </c>
      <c r="D13" s="206" t="s">
        <v>1404</v>
      </c>
      <c r="E13" s="200">
        <v>100000000</v>
      </c>
      <c r="F13" s="200">
        <v>0</v>
      </c>
      <c r="G13" s="200">
        <v>100000000</v>
      </c>
      <c r="H13" s="200">
        <f t="shared" si="0"/>
        <v>0</v>
      </c>
      <c r="I13" s="201">
        <v>7.3</v>
      </c>
      <c r="J13" s="216" t="s">
        <v>197</v>
      </c>
    </row>
    <row r="14" spans="1:10" ht="14.25" customHeight="1">
      <c r="A14" s="203"/>
      <c r="B14" s="204" t="s">
        <v>195</v>
      </c>
      <c r="C14" s="205" t="s">
        <v>193</v>
      </c>
      <c r="D14" s="206" t="s">
        <v>1405</v>
      </c>
      <c r="E14" s="200">
        <v>250000000</v>
      </c>
      <c r="F14" s="200">
        <v>0</v>
      </c>
      <c r="G14" s="200">
        <v>250000000</v>
      </c>
      <c r="H14" s="200">
        <f t="shared" si="0"/>
        <v>0</v>
      </c>
      <c r="I14" s="201">
        <v>6.5</v>
      </c>
      <c r="J14" s="216" t="s">
        <v>198</v>
      </c>
    </row>
    <row r="15" spans="1:10" ht="14.25" customHeight="1">
      <c r="A15" s="203"/>
      <c r="B15" s="204" t="s">
        <v>199</v>
      </c>
      <c r="C15" s="205" t="s">
        <v>189</v>
      </c>
      <c r="D15" s="206" t="s">
        <v>1406</v>
      </c>
      <c r="E15" s="200">
        <v>100000000</v>
      </c>
      <c r="F15" s="200">
        <v>0</v>
      </c>
      <c r="G15" s="200">
        <v>100000000</v>
      </c>
      <c r="H15" s="200">
        <f t="shared" si="0"/>
        <v>0</v>
      </c>
      <c r="I15" s="201">
        <v>7.6</v>
      </c>
      <c r="J15" s="216" t="s">
        <v>186</v>
      </c>
    </row>
    <row r="16" spans="1:10" ht="14.25" customHeight="1">
      <c r="A16" s="203"/>
      <c r="B16" s="204" t="s">
        <v>199</v>
      </c>
      <c r="C16" s="205" t="s">
        <v>189</v>
      </c>
      <c r="D16" s="206" t="s">
        <v>1407</v>
      </c>
      <c r="E16" s="200">
        <v>170000000</v>
      </c>
      <c r="F16" s="200">
        <v>0</v>
      </c>
      <c r="G16" s="200">
        <v>170000000</v>
      </c>
      <c r="H16" s="200">
        <f t="shared" si="0"/>
        <v>0</v>
      </c>
      <c r="I16" s="201">
        <v>7.6</v>
      </c>
      <c r="J16" s="216" t="s">
        <v>186</v>
      </c>
    </row>
    <row r="17" spans="1:10" ht="14.25" customHeight="1">
      <c r="A17" s="203"/>
      <c r="B17" s="204" t="s">
        <v>199</v>
      </c>
      <c r="C17" s="263" t="s">
        <v>180</v>
      </c>
      <c r="D17" s="206" t="s">
        <v>1408</v>
      </c>
      <c r="E17" s="200">
        <v>60000000</v>
      </c>
      <c r="F17" s="200">
        <v>0</v>
      </c>
      <c r="G17" s="200">
        <v>60000000</v>
      </c>
      <c r="H17" s="200">
        <f t="shared" si="0"/>
        <v>0</v>
      </c>
      <c r="I17" s="201">
        <v>7.3</v>
      </c>
      <c r="J17" s="216" t="s">
        <v>200</v>
      </c>
    </row>
    <row r="18" spans="1:10" ht="14.25" customHeight="1">
      <c r="A18" s="203"/>
      <c r="B18" s="204" t="s">
        <v>199</v>
      </c>
      <c r="C18" s="205" t="s">
        <v>193</v>
      </c>
      <c r="D18" s="206" t="s">
        <v>1409</v>
      </c>
      <c r="E18" s="200">
        <v>270000000</v>
      </c>
      <c r="F18" s="200">
        <v>0</v>
      </c>
      <c r="G18" s="200">
        <v>270000000</v>
      </c>
      <c r="H18" s="200">
        <f t="shared" si="0"/>
        <v>0</v>
      </c>
      <c r="I18" s="201">
        <v>6.5</v>
      </c>
      <c r="J18" s="216" t="s">
        <v>201</v>
      </c>
    </row>
    <row r="19" spans="1:10" ht="14.25" customHeight="1">
      <c r="A19" s="203"/>
      <c r="B19" s="204" t="s">
        <v>202</v>
      </c>
      <c r="C19" s="205" t="s">
        <v>189</v>
      </c>
      <c r="D19" s="206" t="s">
        <v>1410</v>
      </c>
      <c r="E19" s="200">
        <v>160000000</v>
      </c>
      <c r="F19" s="200">
        <v>0</v>
      </c>
      <c r="G19" s="200">
        <v>160000000</v>
      </c>
      <c r="H19" s="200">
        <f t="shared" si="0"/>
        <v>0</v>
      </c>
      <c r="I19" s="201">
        <v>7.4</v>
      </c>
      <c r="J19" s="216" t="s">
        <v>203</v>
      </c>
    </row>
    <row r="20" spans="1:10" ht="14.25" customHeight="1">
      <c r="A20" s="203"/>
      <c r="B20" s="204" t="s">
        <v>202</v>
      </c>
      <c r="C20" s="205" t="s">
        <v>193</v>
      </c>
      <c r="D20" s="206" t="s">
        <v>1411</v>
      </c>
      <c r="E20" s="200">
        <v>200000000</v>
      </c>
      <c r="F20" s="200">
        <v>0</v>
      </c>
      <c r="G20" s="200">
        <v>200000000</v>
      </c>
      <c r="H20" s="200">
        <f t="shared" si="0"/>
        <v>0</v>
      </c>
      <c r="I20" s="201">
        <v>6.5</v>
      </c>
      <c r="J20" s="216" t="s">
        <v>204</v>
      </c>
    </row>
    <row r="21" spans="1:10" ht="14.25" customHeight="1">
      <c r="A21" s="203"/>
      <c r="B21" s="204" t="s">
        <v>205</v>
      </c>
      <c r="C21" s="263" t="s">
        <v>180</v>
      </c>
      <c r="D21" s="206" t="s">
        <v>1412</v>
      </c>
      <c r="E21" s="200">
        <v>30000000</v>
      </c>
      <c r="F21" s="200">
        <v>0</v>
      </c>
      <c r="G21" s="200">
        <v>30000000</v>
      </c>
      <c r="H21" s="200">
        <f t="shared" si="0"/>
        <v>0</v>
      </c>
      <c r="I21" s="201">
        <v>7.1</v>
      </c>
      <c r="J21" s="216" t="s">
        <v>206</v>
      </c>
    </row>
    <row r="22" spans="1:10" ht="14.25" customHeight="1">
      <c r="A22" s="203"/>
      <c r="B22" s="204" t="s">
        <v>205</v>
      </c>
      <c r="C22" s="263" t="s">
        <v>184</v>
      </c>
      <c r="D22" s="206" t="s">
        <v>1413</v>
      </c>
      <c r="E22" s="200">
        <v>50000000</v>
      </c>
      <c r="F22" s="200">
        <v>0</v>
      </c>
      <c r="G22" s="200">
        <v>50000000</v>
      </c>
      <c r="H22" s="200">
        <f t="shared" si="0"/>
        <v>0</v>
      </c>
      <c r="I22" s="201">
        <v>7.1</v>
      </c>
      <c r="J22" s="216" t="s">
        <v>171</v>
      </c>
    </row>
    <row r="23" spans="1:10" ht="14.25" customHeight="1">
      <c r="A23" s="276"/>
      <c r="B23" s="277" t="s">
        <v>205</v>
      </c>
      <c r="C23" s="278" t="s">
        <v>207</v>
      </c>
      <c r="D23" s="279" t="s">
        <v>1414</v>
      </c>
      <c r="E23" s="280">
        <v>50000000</v>
      </c>
      <c r="F23" s="200">
        <v>0</v>
      </c>
      <c r="G23" s="200">
        <v>50000000</v>
      </c>
      <c r="H23" s="200">
        <f t="shared" si="0"/>
        <v>0</v>
      </c>
      <c r="I23" s="208">
        <v>7.1</v>
      </c>
      <c r="J23" s="281" t="s">
        <v>171</v>
      </c>
    </row>
    <row r="24" spans="1:10" ht="17.25" customHeight="1">
      <c r="A24" s="219" t="s">
        <v>1415</v>
      </c>
      <c r="B24" s="220" t="s">
        <v>173</v>
      </c>
      <c r="C24" s="221" t="s">
        <v>173</v>
      </c>
      <c r="D24" s="222" t="s">
        <v>173</v>
      </c>
      <c r="E24" s="245">
        <f>SUM(E5:E23)</f>
        <v>2540000000</v>
      </c>
      <c r="F24" s="245">
        <f>SUM(F5:F23)</f>
        <v>0</v>
      </c>
      <c r="G24" s="245">
        <f>SUM(G5:G23)</f>
        <v>2540000000</v>
      </c>
      <c r="H24" s="245">
        <f>SUM(H5:H23)</f>
        <v>0</v>
      </c>
      <c r="I24" s="223"/>
      <c r="J24" s="224" t="s">
        <v>173</v>
      </c>
    </row>
    <row r="25" spans="1:10" ht="14.25" customHeight="1">
      <c r="A25" s="209" t="s">
        <v>208</v>
      </c>
      <c r="B25" s="265" t="s">
        <v>1416</v>
      </c>
      <c r="C25" s="249" t="s">
        <v>189</v>
      </c>
      <c r="D25" s="211" t="s">
        <v>1417</v>
      </c>
      <c r="E25" s="250">
        <v>340000000</v>
      </c>
      <c r="F25" s="200">
        <v>0</v>
      </c>
      <c r="G25" s="200">
        <v>340000000</v>
      </c>
      <c r="H25" s="200">
        <f t="shared" si="0"/>
        <v>0</v>
      </c>
      <c r="I25" s="213">
        <v>7.4</v>
      </c>
      <c r="J25" s="235" t="s">
        <v>209</v>
      </c>
    </row>
    <row r="26" spans="1:10" ht="14.25" customHeight="1">
      <c r="A26" s="203" t="s">
        <v>182</v>
      </c>
      <c r="B26" s="282" t="s">
        <v>205</v>
      </c>
      <c r="C26" s="263" t="s">
        <v>180</v>
      </c>
      <c r="D26" s="206" t="s">
        <v>1418</v>
      </c>
      <c r="E26" s="200">
        <v>200000000</v>
      </c>
      <c r="F26" s="200">
        <v>0</v>
      </c>
      <c r="G26" s="200">
        <v>200000000</v>
      </c>
      <c r="H26" s="200">
        <f t="shared" si="0"/>
        <v>0</v>
      </c>
      <c r="I26" s="201">
        <v>7.1</v>
      </c>
      <c r="J26" s="216" t="s">
        <v>171</v>
      </c>
    </row>
    <row r="27" spans="1:10" ht="14.25" customHeight="1">
      <c r="A27" s="203"/>
      <c r="B27" s="282" t="s">
        <v>205</v>
      </c>
      <c r="C27" s="205" t="s">
        <v>193</v>
      </c>
      <c r="D27" s="206" t="s">
        <v>1419</v>
      </c>
      <c r="E27" s="200">
        <v>370000000</v>
      </c>
      <c r="F27" s="200">
        <v>0</v>
      </c>
      <c r="G27" s="200">
        <v>370000000</v>
      </c>
      <c r="H27" s="200">
        <f t="shared" si="0"/>
        <v>0</v>
      </c>
      <c r="I27" s="201">
        <v>6.5</v>
      </c>
      <c r="J27" s="216" t="s">
        <v>210</v>
      </c>
    </row>
    <row r="28" spans="1:10" ht="14.25" customHeight="1">
      <c r="A28" s="203"/>
      <c r="B28" s="282" t="s">
        <v>211</v>
      </c>
      <c r="C28" s="205" t="s">
        <v>189</v>
      </c>
      <c r="D28" s="206" t="s">
        <v>1420</v>
      </c>
      <c r="E28" s="200">
        <v>200000000</v>
      </c>
      <c r="F28" s="200">
        <v>0</v>
      </c>
      <c r="G28" s="200">
        <v>200000000</v>
      </c>
      <c r="H28" s="200">
        <f t="shared" si="0"/>
        <v>0</v>
      </c>
      <c r="I28" s="201">
        <v>7.3</v>
      </c>
      <c r="J28" s="216" t="s">
        <v>212</v>
      </c>
    </row>
    <row r="29" spans="1:10" ht="14.25" customHeight="1">
      <c r="A29" s="203"/>
      <c r="B29" s="282" t="s">
        <v>211</v>
      </c>
      <c r="C29" s="205" t="s">
        <v>213</v>
      </c>
      <c r="D29" s="206" t="s">
        <v>1421</v>
      </c>
      <c r="E29" s="200">
        <v>300000000</v>
      </c>
      <c r="F29" s="200">
        <v>0</v>
      </c>
      <c r="G29" s="200">
        <v>300000000</v>
      </c>
      <c r="H29" s="200">
        <f t="shared" si="0"/>
        <v>0</v>
      </c>
      <c r="I29" s="201">
        <v>6.5</v>
      </c>
      <c r="J29" s="216" t="s">
        <v>214</v>
      </c>
    </row>
    <row r="30" spans="1:10" ht="14.25" customHeight="1">
      <c r="A30" s="203"/>
      <c r="B30" s="282" t="s">
        <v>211</v>
      </c>
      <c r="C30" s="205" t="s">
        <v>189</v>
      </c>
      <c r="D30" s="206" t="s">
        <v>1422</v>
      </c>
      <c r="E30" s="200">
        <v>220000000</v>
      </c>
      <c r="F30" s="200">
        <v>0</v>
      </c>
      <c r="G30" s="200">
        <v>220000000</v>
      </c>
      <c r="H30" s="200">
        <f t="shared" si="0"/>
        <v>0</v>
      </c>
      <c r="I30" s="201">
        <v>7.3</v>
      </c>
      <c r="J30" s="216" t="s">
        <v>212</v>
      </c>
    </row>
    <row r="31" spans="1:10" ht="14.25" customHeight="1">
      <c r="A31" s="203"/>
      <c r="B31" s="282" t="s">
        <v>211</v>
      </c>
      <c r="C31" s="263" t="s">
        <v>180</v>
      </c>
      <c r="D31" s="206" t="s">
        <v>1423</v>
      </c>
      <c r="E31" s="200">
        <v>100000000</v>
      </c>
      <c r="F31" s="200">
        <v>0</v>
      </c>
      <c r="G31" s="200">
        <v>100000000</v>
      </c>
      <c r="H31" s="200">
        <f t="shared" si="0"/>
        <v>0</v>
      </c>
      <c r="I31" s="201">
        <v>7.3</v>
      </c>
      <c r="J31" s="216" t="s">
        <v>171</v>
      </c>
    </row>
    <row r="32" spans="1:10" ht="14.25" customHeight="1">
      <c r="A32" s="203"/>
      <c r="B32" s="282" t="s">
        <v>211</v>
      </c>
      <c r="C32" s="205" t="s">
        <v>193</v>
      </c>
      <c r="D32" s="206" t="s">
        <v>1424</v>
      </c>
      <c r="E32" s="200">
        <v>480000000</v>
      </c>
      <c r="F32" s="200">
        <v>0</v>
      </c>
      <c r="G32" s="200">
        <v>480000000</v>
      </c>
      <c r="H32" s="200">
        <f t="shared" si="0"/>
        <v>0</v>
      </c>
      <c r="I32" s="201">
        <v>6.5</v>
      </c>
      <c r="J32" s="216" t="s">
        <v>214</v>
      </c>
    </row>
    <row r="33" spans="1:10" ht="14.25" customHeight="1">
      <c r="A33" s="203"/>
      <c r="B33" s="282" t="s">
        <v>215</v>
      </c>
      <c r="C33" s="205" t="s">
        <v>189</v>
      </c>
      <c r="D33" s="206" t="s">
        <v>1425</v>
      </c>
      <c r="E33" s="200">
        <v>300000000</v>
      </c>
      <c r="F33" s="200">
        <v>0</v>
      </c>
      <c r="G33" s="200">
        <v>300000000</v>
      </c>
      <c r="H33" s="200">
        <f t="shared" si="0"/>
        <v>0</v>
      </c>
      <c r="I33" s="201">
        <v>7.3</v>
      </c>
      <c r="J33" s="216" t="s">
        <v>188</v>
      </c>
    </row>
    <row r="34" spans="1:10" ht="14.25" customHeight="1">
      <c r="A34" s="203"/>
      <c r="B34" s="282" t="s">
        <v>215</v>
      </c>
      <c r="C34" s="205" t="s">
        <v>189</v>
      </c>
      <c r="D34" s="206" t="s">
        <v>1426</v>
      </c>
      <c r="E34" s="200">
        <v>620000000</v>
      </c>
      <c r="F34" s="200">
        <v>0</v>
      </c>
      <c r="G34" s="200">
        <v>620000000</v>
      </c>
      <c r="H34" s="200">
        <f t="shared" si="0"/>
        <v>0</v>
      </c>
      <c r="I34" s="201">
        <v>7.3</v>
      </c>
      <c r="J34" s="216" t="s">
        <v>188</v>
      </c>
    </row>
    <row r="35" spans="1:10" ht="14.25" customHeight="1">
      <c r="A35" s="203"/>
      <c r="B35" s="282" t="s">
        <v>215</v>
      </c>
      <c r="C35" s="263" t="s">
        <v>180</v>
      </c>
      <c r="D35" s="206" t="s">
        <v>1427</v>
      </c>
      <c r="E35" s="200">
        <v>100000000</v>
      </c>
      <c r="F35" s="200">
        <v>0</v>
      </c>
      <c r="G35" s="200">
        <v>100000000</v>
      </c>
      <c r="H35" s="200">
        <f t="shared" si="0"/>
        <v>0</v>
      </c>
      <c r="I35" s="201">
        <v>7.1</v>
      </c>
      <c r="J35" s="216" t="s">
        <v>216</v>
      </c>
    </row>
    <row r="36" spans="1:10" ht="14.25" customHeight="1">
      <c r="A36" s="203"/>
      <c r="B36" s="282" t="s">
        <v>215</v>
      </c>
      <c r="C36" s="205" t="s">
        <v>193</v>
      </c>
      <c r="D36" s="206" t="s">
        <v>1428</v>
      </c>
      <c r="E36" s="200">
        <v>280000000</v>
      </c>
      <c r="F36" s="200">
        <v>0</v>
      </c>
      <c r="G36" s="200">
        <v>280000000</v>
      </c>
      <c r="H36" s="200">
        <f t="shared" si="0"/>
        <v>0</v>
      </c>
      <c r="I36" s="201">
        <v>6.5</v>
      </c>
      <c r="J36" s="202" t="s">
        <v>217</v>
      </c>
    </row>
    <row r="37" spans="1:10" ht="14.25" customHeight="1">
      <c r="A37" s="203"/>
      <c r="B37" s="282" t="s">
        <v>218</v>
      </c>
      <c r="C37" s="205" t="s">
        <v>189</v>
      </c>
      <c r="D37" s="206" t="s">
        <v>1429</v>
      </c>
      <c r="E37" s="200">
        <v>350000000</v>
      </c>
      <c r="F37" s="200">
        <v>0</v>
      </c>
      <c r="G37" s="200">
        <v>350000000</v>
      </c>
      <c r="H37" s="200">
        <f t="shared" si="0"/>
        <v>0</v>
      </c>
      <c r="I37" s="201">
        <v>7.3</v>
      </c>
      <c r="J37" s="202" t="s">
        <v>214</v>
      </c>
    </row>
    <row r="38" spans="1:10" ht="14.25" customHeight="1">
      <c r="A38" s="203"/>
      <c r="B38" s="282" t="s">
        <v>218</v>
      </c>
      <c r="C38" s="205" t="s">
        <v>185</v>
      </c>
      <c r="D38" s="206" t="s">
        <v>1430</v>
      </c>
      <c r="E38" s="200">
        <v>780000000</v>
      </c>
      <c r="F38" s="200">
        <v>0</v>
      </c>
      <c r="G38" s="200">
        <v>780000000</v>
      </c>
      <c r="H38" s="200">
        <f t="shared" si="0"/>
        <v>0</v>
      </c>
      <c r="I38" s="201">
        <v>6.5</v>
      </c>
      <c r="J38" s="202" t="s">
        <v>219</v>
      </c>
    </row>
    <row r="39" spans="1:10" ht="14.25" customHeight="1">
      <c r="A39" s="203"/>
      <c r="B39" s="282" t="s">
        <v>218</v>
      </c>
      <c r="C39" s="205" t="s">
        <v>189</v>
      </c>
      <c r="D39" s="206" t="s">
        <v>1431</v>
      </c>
      <c r="E39" s="200">
        <v>210000000</v>
      </c>
      <c r="F39" s="200">
        <v>0</v>
      </c>
      <c r="G39" s="200">
        <v>210000000</v>
      </c>
      <c r="H39" s="200">
        <f t="shared" si="0"/>
        <v>0</v>
      </c>
      <c r="I39" s="201">
        <v>7.3</v>
      </c>
      <c r="J39" s="202" t="s">
        <v>214</v>
      </c>
    </row>
    <row r="40" spans="1:10" ht="14.25" customHeight="1">
      <c r="A40" s="203"/>
      <c r="B40" s="282" t="s">
        <v>220</v>
      </c>
      <c r="C40" s="205" t="s">
        <v>189</v>
      </c>
      <c r="D40" s="206" t="s">
        <v>1432</v>
      </c>
      <c r="E40" s="200">
        <v>200000000</v>
      </c>
      <c r="F40" s="200">
        <v>0</v>
      </c>
      <c r="G40" s="200">
        <v>200000000</v>
      </c>
      <c r="H40" s="200">
        <f t="shared" si="0"/>
        <v>0</v>
      </c>
      <c r="I40" s="201">
        <v>7</v>
      </c>
      <c r="J40" s="202" t="s">
        <v>217</v>
      </c>
    </row>
    <row r="41" spans="1:10" ht="14.25" customHeight="1">
      <c r="A41" s="203"/>
      <c r="B41" s="282" t="s">
        <v>220</v>
      </c>
      <c r="C41" s="205" t="s">
        <v>193</v>
      </c>
      <c r="D41" s="206" t="s">
        <v>1433</v>
      </c>
      <c r="E41" s="200">
        <v>230000000</v>
      </c>
      <c r="F41" s="200">
        <v>0</v>
      </c>
      <c r="G41" s="200">
        <v>230000000</v>
      </c>
      <c r="H41" s="200">
        <f t="shared" si="0"/>
        <v>0</v>
      </c>
      <c r="I41" s="201">
        <v>6.5</v>
      </c>
      <c r="J41" s="202" t="s">
        <v>221</v>
      </c>
    </row>
    <row r="42" spans="1:10" ht="14.25" customHeight="1">
      <c r="A42" s="276"/>
      <c r="B42" s="282" t="s">
        <v>218</v>
      </c>
      <c r="C42" s="205" t="s">
        <v>180</v>
      </c>
      <c r="D42" s="206" t="s">
        <v>1434</v>
      </c>
      <c r="E42" s="200">
        <v>60000000</v>
      </c>
      <c r="F42" s="200">
        <v>0</v>
      </c>
      <c r="G42" s="200">
        <v>60000000</v>
      </c>
      <c r="H42" s="200">
        <f t="shared" si="0"/>
        <v>0</v>
      </c>
      <c r="I42" s="201">
        <v>7.1</v>
      </c>
      <c r="J42" s="202" t="s">
        <v>196</v>
      </c>
    </row>
    <row r="43" spans="1:10" ht="17.25" customHeight="1">
      <c r="A43" s="219" t="s">
        <v>1435</v>
      </c>
      <c r="B43" s="220" t="s">
        <v>173</v>
      </c>
      <c r="C43" s="221" t="s">
        <v>173</v>
      </c>
      <c r="D43" s="222" t="s">
        <v>173</v>
      </c>
      <c r="E43" s="245">
        <f>SUM(E25:E42)</f>
        <v>5340000000</v>
      </c>
      <c r="F43" s="245">
        <f>SUM(F25:F42)</f>
        <v>0</v>
      </c>
      <c r="G43" s="245">
        <f>SUM(G25:G42)</f>
        <v>5340000000</v>
      </c>
      <c r="H43" s="245">
        <f>SUM(H25:H42)</f>
        <v>0</v>
      </c>
      <c r="I43" s="223"/>
      <c r="J43" s="224" t="s">
        <v>173</v>
      </c>
    </row>
    <row r="44" spans="1:10" ht="14.25" customHeight="1">
      <c r="A44" s="215" t="s">
        <v>222</v>
      </c>
      <c r="B44" s="204" t="s">
        <v>1436</v>
      </c>
      <c r="C44" s="205" t="s">
        <v>189</v>
      </c>
      <c r="D44" s="206" t="s">
        <v>1437</v>
      </c>
      <c r="E44" s="200">
        <v>40000000</v>
      </c>
      <c r="F44" s="200">
        <v>0</v>
      </c>
      <c r="G44" s="200">
        <v>40000000</v>
      </c>
      <c r="H44" s="200">
        <f t="shared" si="0"/>
        <v>0</v>
      </c>
      <c r="I44" s="201">
        <v>7.3</v>
      </c>
      <c r="J44" s="202" t="s">
        <v>214</v>
      </c>
    </row>
    <row r="45" spans="1:10" ht="14.25" customHeight="1">
      <c r="A45" s="203" t="s">
        <v>182</v>
      </c>
      <c r="B45" s="204" t="s">
        <v>218</v>
      </c>
      <c r="C45" s="205" t="s">
        <v>185</v>
      </c>
      <c r="D45" s="206" t="s">
        <v>1438</v>
      </c>
      <c r="E45" s="200">
        <v>25000000</v>
      </c>
      <c r="F45" s="200">
        <v>0</v>
      </c>
      <c r="G45" s="200">
        <v>25000000</v>
      </c>
      <c r="H45" s="200">
        <f t="shared" si="0"/>
        <v>0</v>
      </c>
      <c r="I45" s="201">
        <v>6.5</v>
      </c>
      <c r="J45" s="202" t="s">
        <v>219</v>
      </c>
    </row>
    <row r="46" spans="1:10" ht="14.25" customHeight="1">
      <c r="A46" s="203"/>
      <c r="B46" s="204" t="s">
        <v>220</v>
      </c>
      <c r="C46" s="205" t="s">
        <v>189</v>
      </c>
      <c r="D46" s="206" t="s">
        <v>1439</v>
      </c>
      <c r="E46" s="200">
        <v>300000000</v>
      </c>
      <c r="F46" s="200">
        <v>0</v>
      </c>
      <c r="G46" s="200">
        <v>300000000</v>
      </c>
      <c r="H46" s="200">
        <f t="shared" si="0"/>
        <v>0</v>
      </c>
      <c r="I46" s="201">
        <v>7</v>
      </c>
      <c r="J46" s="202" t="s">
        <v>217</v>
      </c>
    </row>
    <row r="47" spans="1:10" ht="14.25" customHeight="1">
      <c r="A47" s="203"/>
      <c r="B47" s="204" t="s">
        <v>220</v>
      </c>
      <c r="C47" s="205" t="s">
        <v>189</v>
      </c>
      <c r="D47" s="206" t="s">
        <v>1440</v>
      </c>
      <c r="E47" s="200">
        <v>570000000</v>
      </c>
      <c r="F47" s="200">
        <v>0</v>
      </c>
      <c r="G47" s="200">
        <v>570000000</v>
      </c>
      <c r="H47" s="200">
        <f t="shared" si="0"/>
        <v>0</v>
      </c>
      <c r="I47" s="201">
        <v>7</v>
      </c>
      <c r="J47" s="202" t="s">
        <v>217</v>
      </c>
    </row>
    <row r="48" spans="1:10" ht="14.25" customHeight="1">
      <c r="A48" s="215"/>
      <c r="B48" s="204" t="s">
        <v>220</v>
      </c>
      <c r="C48" s="205" t="s">
        <v>180</v>
      </c>
      <c r="D48" s="206" t="s">
        <v>1441</v>
      </c>
      <c r="E48" s="200">
        <v>300000000</v>
      </c>
      <c r="F48" s="200">
        <v>0</v>
      </c>
      <c r="G48" s="200">
        <v>300000000</v>
      </c>
      <c r="H48" s="200">
        <f t="shared" si="0"/>
        <v>0</v>
      </c>
      <c r="I48" s="201">
        <v>7.1</v>
      </c>
      <c r="J48" s="202" t="s">
        <v>203</v>
      </c>
    </row>
    <row r="49" spans="1:10" ht="14.25" customHeight="1">
      <c r="A49" s="215"/>
      <c r="B49" s="204" t="s">
        <v>218</v>
      </c>
      <c r="C49" s="205" t="s">
        <v>180</v>
      </c>
      <c r="D49" s="206" t="s">
        <v>1442</v>
      </c>
      <c r="E49" s="200">
        <v>650000000</v>
      </c>
      <c r="F49" s="200">
        <v>0</v>
      </c>
      <c r="G49" s="200">
        <v>650000000</v>
      </c>
      <c r="H49" s="200">
        <f t="shared" si="0"/>
        <v>0</v>
      </c>
      <c r="I49" s="201">
        <v>7.1</v>
      </c>
      <c r="J49" s="202" t="s">
        <v>196</v>
      </c>
    </row>
    <row r="50" spans="1:10" ht="14.25" customHeight="1">
      <c r="A50" s="215"/>
      <c r="B50" s="206" t="s">
        <v>1443</v>
      </c>
      <c r="C50" s="205" t="s">
        <v>185</v>
      </c>
      <c r="D50" s="206" t="s">
        <v>1444</v>
      </c>
      <c r="E50" s="200">
        <v>1330000000</v>
      </c>
      <c r="F50" s="200">
        <v>0</v>
      </c>
      <c r="G50" s="200">
        <v>1330000000</v>
      </c>
      <c r="H50" s="200">
        <f t="shared" si="0"/>
        <v>0</v>
      </c>
      <c r="I50" s="201">
        <v>6.5</v>
      </c>
      <c r="J50" s="202" t="s">
        <v>221</v>
      </c>
    </row>
    <row r="51" spans="1:10" ht="14.25" customHeight="1">
      <c r="A51" s="215"/>
      <c r="B51" s="204">
        <v>42</v>
      </c>
      <c r="C51" s="205" t="s">
        <v>189</v>
      </c>
      <c r="D51" s="206" t="s">
        <v>1445</v>
      </c>
      <c r="E51" s="200">
        <v>480000000</v>
      </c>
      <c r="F51" s="200">
        <v>0</v>
      </c>
      <c r="G51" s="200">
        <v>480000000</v>
      </c>
      <c r="H51" s="200">
        <f t="shared" si="0"/>
        <v>0</v>
      </c>
      <c r="I51" s="201">
        <v>7</v>
      </c>
      <c r="J51" s="202" t="s">
        <v>223</v>
      </c>
    </row>
    <row r="52" spans="1:10" ht="14.25" customHeight="1">
      <c r="A52" s="203"/>
      <c r="B52" s="204" t="s">
        <v>224</v>
      </c>
      <c r="C52" s="205" t="s">
        <v>185</v>
      </c>
      <c r="D52" s="206" t="s">
        <v>1446</v>
      </c>
      <c r="E52" s="200">
        <v>990000000</v>
      </c>
      <c r="F52" s="200">
        <v>0</v>
      </c>
      <c r="G52" s="200">
        <v>990000000</v>
      </c>
      <c r="H52" s="200">
        <f t="shared" si="0"/>
        <v>0</v>
      </c>
      <c r="I52" s="201">
        <v>6.5</v>
      </c>
      <c r="J52" s="202" t="s">
        <v>225</v>
      </c>
    </row>
    <row r="53" spans="1:10" ht="14.25" customHeight="1">
      <c r="A53" s="218"/>
      <c r="B53" s="204">
        <v>42</v>
      </c>
      <c r="C53" s="205" t="s">
        <v>180</v>
      </c>
      <c r="D53" s="206" t="s">
        <v>1447</v>
      </c>
      <c r="E53" s="200">
        <v>230000000</v>
      </c>
      <c r="F53" s="200">
        <v>0</v>
      </c>
      <c r="G53" s="200">
        <v>230000000</v>
      </c>
      <c r="H53" s="200">
        <f t="shared" si="0"/>
        <v>0</v>
      </c>
      <c r="I53" s="201">
        <v>7.1</v>
      </c>
      <c r="J53" s="283" t="s">
        <v>203</v>
      </c>
    </row>
    <row r="54" spans="1:10" ht="14.25" customHeight="1">
      <c r="A54" s="218"/>
      <c r="B54" s="204" t="s">
        <v>226</v>
      </c>
      <c r="C54" s="205" t="s">
        <v>189</v>
      </c>
      <c r="D54" s="206" t="s">
        <v>322</v>
      </c>
      <c r="E54" s="200">
        <v>300000000</v>
      </c>
      <c r="F54" s="200">
        <v>0</v>
      </c>
      <c r="G54" s="200">
        <v>300000000</v>
      </c>
      <c r="H54" s="200">
        <f t="shared" si="0"/>
        <v>0</v>
      </c>
      <c r="I54" s="201">
        <v>7</v>
      </c>
      <c r="J54" s="283" t="s">
        <v>227</v>
      </c>
    </row>
    <row r="55" spans="1:10" ht="14.25" customHeight="1" thickBot="1">
      <c r="A55" s="284"/>
      <c r="B55" s="285">
        <v>43</v>
      </c>
      <c r="C55" s="286" t="s">
        <v>189</v>
      </c>
      <c r="D55" s="287" t="s">
        <v>323</v>
      </c>
      <c r="E55" s="268">
        <v>500000000</v>
      </c>
      <c r="F55" s="268">
        <v>0</v>
      </c>
      <c r="G55" s="268">
        <v>500000000</v>
      </c>
      <c r="H55" s="268">
        <f t="shared" si="0"/>
        <v>0</v>
      </c>
      <c r="I55" s="288">
        <v>7</v>
      </c>
      <c r="J55" s="289" t="s">
        <v>227</v>
      </c>
    </row>
    <row r="56" spans="1:10" ht="9.75" customHeight="1" thickBot="1">
      <c r="A56" s="252"/>
      <c r="B56" s="282"/>
      <c r="C56" s="252"/>
      <c r="D56" s="265"/>
      <c r="E56" s="253"/>
      <c r="F56" s="253"/>
      <c r="G56" s="253"/>
      <c r="H56" s="253"/>
      <c r="I56" s="255"/>
      <c r="J56" s="251"/>
    </row>
    <row r="57" spans="1:10">
      <c r="A57" s="479" t="s">
        <v>1448</v>
      </c>
      <c r="B57" s="481" t="s">
        <v>311</v>
      </c>
      <c r="C57" s="483" t="s">
        <v>1449</v>
      </c>
      <c r="D57" s="481" t="s">
        <v>312</v>
      </c>
      <c r="E57" s="485" t="s">
        <v>1450</v>
      </c>
      <c r="F57" s="487" t="s">
        <v>1451</v>
      </c>
      <c r="G57" s="488"/>
      <c r="H57" s="489" t="s">
        <v>174</v>
      </c>
      <c r="I57" s="491" t="s">
        <v>1452</v>
      </c>
      <c r="J57" s="477" t="s">
        <v>313</v>
      </c>
    </row>
    <row r="58" spans="1:10">
      <c r="A58" s="480"/>
      <c r="B58" s="482"/>
      <c r="C58" s="484"/>
      <c r="D58" s="482"/>
      <c r="E58" s="486"/>
      <c r="F58" s="207" t="s">
        <v>176</v>
      </c>
      <c r="G58" s="290" t="s">
        <v>305</v>
      </c>
      <c r="H58" s="490"/>
      <c r="I58" s="492"/>
      <c r="J58" s="478"/>
    </row>
    <row r="59" spans="1:10">
      <c r="A59" s="209"/>
      <c r="B59" s="210"/>
      <c r="C59" s="210"/>
      <c r="D59" s="211" t="s">
        <v>177</v>
      </c>
      <c r="E59" s="212" t="s">
        <v>178</v>
      </c>
      <c r="F59" s="212" t="s">
        <v>172</v>
      </c>
      <c r="G59" s="291" t="s">
        <v>178</v>
      </c>
      <c r="H59" s="212" t="s">
        <v>178</v>
      </c>
      <c r="I59" s="213" t="s">
        <v>1453</v>
      </c>
      <c r="J59" s="214" t="s">
        <v>175</v>
      </c>
    </row>
    <row r="60" spans="1:10" ht="14.25" customHeight="1">
      <c r="A60" s="215" t="s">
        <v>222</v>
      </c>
      <c r="B60" s="204" t="s">
        <v>330</v>
      </c>
      <c r="C60" s="205" t="s">
        <v>189</v>
      </c>
      <c r="D60" s="206" t="s">
        <v>690</v>
      </c>
      <c r="E60" s="200">
        <v>310000000</v>
      </c>
      <c r="F60" s="200">
        <v>0</v>
      </c>
      <c r="G60" s="292">
        <v>310000000</v>
      </c>
      <c r="H60" s="200">
        <f t="shared" ref="H60:H111" si="1">E60-G60</f>
        <v>0</v>
      </c>
      <c r="I60" s="201">
        <v>7</v>
      </c>
      <c r="J60" s="202" t="s">
        <v>227</v>
      </c>
    </row>
    <row r="61" spans="1:10" ht="14.25" customHeight="1">
      <c r="A61" s="203" t="s">
        <v>182</v>
      </c>
      <c r="B61" s="204" t="s">
        <v>226</v>
      </c>
      <c r="C61" s="205" t="s">
        <v>180</v>
      </c>
      <c r="D61" s="206" t="s">
        <v>1454</v>
      </c>
      <c r="E61" s="200">
        <v>260000000</v>
      </c>
      <c r="F61" s="200">
        <v>0</v>
      </c>
      <c r="G61" s="292">
        <v>260000000</v>
      </c>
      <c r="H61" s="200">
        <f t="shared" si="1"/>
        <v>0</v>
      </c>
      <c r="I61" s="201">
        <v>7.1</v>
      </c>
      <c r="J61" s="202" t="s">
        <v>209</v>
      </c>
    </row>
    <row r="62" spans="1:10" ht="14.25" customHeight="1">
      <c r="A62" s="203"/>
      <c r="B62" s="204" t="s">
        <v>226</v>
      </c>
      <c r="C62" s="205" t="s">
        <v>185</v>
      </c>
      <c r="D62" s="206" t="s">
        <v>1455</v>
      </c>
      <c r="E62" s="200">
        <v>2130000000</v>
      </c>
      <c r="F62" s="200">
        <v>0</v>
      </c>
      <c r="G62" s="292">
        <v>2130000000</v>
      </c>
      <c r="H62" s="200">
        <f t="shared" si="1"/>
        <v>0</v>
      </c>
      <c r="I62" s="201">
        <v>6.5</v>
      </c>
      <c r="J62" s="202" t="s">
        <v>228</v>
      </c>
    </row>
    <row r="63" spans="1:10" ht="14.25" customHeight="1">
      <c r="A63" s="203"/>
      <c r="B63" s="204" t="s">
        <v>229</v>
      </c>
      <c r="C63" s="205" t="s">
        <v>189</v>
      </c>
      <c r="D63" s="206" t="s">
        <v>1456</v>
      </c>
      <c r="E63" s="200">
        <v>300000000</v>
      </c>
      <c r="F63" s="200">
        <v>0</v>
      </c>
      <c r="G63" s="292">
        <v>300000000</v>
      </c>
      <c r="H63" s="200">
        <f t="shared" si="1"/>
        <v>0</v>
      </c>
      <c r="I63" s="201">
        <v>7</v>
      </c>
      <c r="J63" s="202" t="s">
        <v>230</v>
      </c>
    </row>
    <row r="64" spans="1:10" ht="14.25" customHeight="1">
      <c r="A64" s="203"/>
      <c r="B64" s="204" t="s">
        <v>229</v>
      </c>
      <c r="C64" s="205" t="s">
        <v>189</v>
      </c>
      <c r="D64" s="206" t="s">
        <v>1457</v>
      </c>
      <c r="E64" s="200">
        <v>520000000</v>
      </c>
      <c r="F64" s="200">
        <v>0</v>
      </c>
      <c r="G64" s="292">
        <v>520000000</v>
      </c>
      <c r="H64" s="200">
        <f t="shared" si="1"/>
        <v>0</v>
      </c>
      <c r="I64" s="201">
        <v>7</v>
      </c>
      <c r="J64" s="202" t="s">
        <v>230</v>
      </c>
    </row>
    <row r="65" spans="1:10" ht="14.25" customHeight="1">
      <c r="A65" s="203"/>
      <c r="B65" s="204" t="s">
        <v>229</v>
      </c>
      <c r="C65" s="205" t="s">
        <v>189</v>
      </c>
      <c r="D65" s="206" t="s">
        <v>1458</v>
      </c>
      <c r="E65" s="200">
        <v>130000000</v>
      </c>
      <c r="F65" s="200">
        <v>0</v>
      </c>
      <c r="G65" s="292">
        <v>130000000</v>
      </c>
      <c r="H65" s="200">
        <f t="shared" si="1"/>
        <v>0</v>
      </c>
      <c r="I65" s="201">
        <v>7</v>
      </c>
      <c r="J65" s="202" t="s">
        <v>230</v>
      </c>
    </row>
    <row r="66" spans="1:10" ht="14.25" customHeight="1">
      <c r="A66" s="203"/>
      <c r="B66" s="204" t="s">
        <v>229</v>
      </c>
      <c r="C66" s="205" t="s">
        <v>180</v>
      </c>
      <c r="D66" s="206" t="s">
        <v>1459</v>
      </c>
      <c r="E66" s="200">
        <v>150000000</v>
      </c>
      <c r="F66" s="200">
        <v>0</v>
      </c>
      <c r="G66" s="292">
        <v>150000000</v>
      </c>
      <c r="H66" s="200">
        <f t="shared" si="1"/>
        <v>0</v>
      </c>
      <c r="I66" s="201">
        <v>7.1</v>
      </c>
      <c r="J66" s="202" t="s">
        <v>231</v>
      </c>
    </row>
    <row r="67" spans="1:10" ht="14.25" customHeight="1">
      <c r="A67" s="203"/>
      <c r="B67" s="204" t="s">
        <v>229</v>
      </c>
      <c r="C67" s="205" t="s">
        <v>185</v>
      </c>
      <c r="D67" s="206" t="s">
        <v>1460</v>
      </c>
      <c r="E67" s="200">
        <v>1700000000</v>
      </c>
      <c r="F67" s="200">
        <v>0</v>
      </c>
      <c r="G67" s="292">
        <v>1700000000</v>
      </c>
      <c r="H67" s="200">
        <f t="shared" si="1"/>
        <v>0</v>
      </c>
      <c r="I67" s="201">
        <v>6.5</v>
      </c>
      <c r="J67" s="202" t="s">
        <v>232</v>
      </c>
    </row>
    <row r="68" spans="1:10" ht="14.25" customHeight="1">
      <c r="A68" s="203"/>
      <c r="B68" s="204" t="s">
        <v>233</v>
      </c>
      <c r="C68" s="205" t="s">
        <v>189</v>
      </c>
      <c r="D68" s="206" t="s">
        <v>1461</v>
      </c>
      <c r="E68" s="200">
        <v>200000000</v>
      </c>
      <c r="F68" s="200">
        <v>0</v>
      </c>
      <c r="G68" s="292">
        <v>200000000</v>
      </c>
      <c r="H68" s="200">
        <f t="shared" si="1"/>
        <v>0</v>
      </c>
      <c r="I68" s="201">
        <v>6.7</v>
      </c>
      <c r="J68" s="202" t="s">
        <v>234</v>
      </c>
    </row>
    <row r="69" spans="1:10" ht="14.25" customHeight="1">
      <c r="A69" s="203"/>
      <c r="B69" s="204" t="s">
        <v>233</v>
      </c>
      <c r="C69" s="205" t="s">
        <v>189</v>
      </c>
      <c r="D69" s="206" t="s">
        <v>1462</v>
      </c>
      <c r="E69" s="200">
        <v>600000000</v>
      </c>
      <c r="F69" s="200">
        <v>0</v>
      </c>
      <c r="G69" s="292">
        <v>600000000</v>
      </c>
      <c r="H69" s="200">
        <f t="shared" si="1"/>
        <v>0</v>
      </c>
      <c r="I69" s="201">
        <v>6.7</v>
      </c>
      <c r="J69" s="202" t="s">
        <v>234</v>
      </c>
    </row>
    <row r="70" spans="1:10" ht="14.25" customHeight="1">
      <c r="A70" s="203"/>
      <c r="B70" s="204" t="s">
        <v>233</v>
      </c>
      <c r="C70" s="205" t="s">
        <v>185</v>
      </c>
      <c r="D70" s="206" t="s">
        <v>1463</v>
      </c>
      <c r="E70" s="200">
        <v>1560000000</v>
      </c>
      <c r="F70" s="200">
        <v>0</v>
      </c>
      <c r="G70" s="292">
        <v>1560000000</v>
      </c>
      <c r="H70" s="200">
        <f t="shared" si="1"/>
        <v>0</v>
      </c>
      <c r="I70" s="201">
        <v>6.5</v>
      </c>
      <c r="J70" s="202" t="s">
        <v>235</v>
      </c>
    </row>
    <row r="71" spans="1:10" ht="14.25" customHeight="1">
      <c r="A71" s="203"/>
      <c r="B71" s="204" t="s">
        <v>233</v>
      </c>
      <c r="C71" s="205" t="s">
        <v>180</v>
      </c>
      <c r="D71" s="206" t="s">
        <v>1464</v>
      </c>
      <c r="E71" s="200">
        <v>240000000</v>
      </c>
      <c r="F71" s="200">
        <v>0</v>
      </c>
      <c r="G71" s="292">
        <v>240000000</v>
      </c>
      <c r="H71" s="200">
        <f t="shared" si="1"/>
        <v>0</v>
      </c>
      <c r="I71" s="201">
        <v>7.1</v>
      </c>
      <c r="J71" s="202" t="s">
        <v>209</v>
      </c>
    </row>
    <row r="72" spans="1:10" ht="14.25" customHeight="1">
      <c r="A72" s="203"/>
      <c r="B72" s="204" t="s">
        <v>236</v>
      </c>
      <c r="C72" s="205" t="s">
        <v>189</v>
      </c>
      <c r="D72" s="206" t="s">
        <v>1465</v>
      </c>
      <c r="E72" s="200">
        <v>108000000</v>
      </c>
      <c r="F72" s="200">
        <v>0</v>
      </c>
      <c r="G72" s="292">
        <v>108000000</v>
      </c>
      <c r="H72" s="200">
        <f t="shared" si="1"/>
        <v>0</v>
      </c>
      <c r="I72" s="201">
        <v>6.7</v>
      </c>
      <c r="J72" s="202" t="s">
        <v>237</v>
      </c>
    </row>
    <row r="73" spans="1:10" ht="14.25" customHeight="1">
      <c r="A73" s="203"/>
      <c r="B73" s="204" t="s">
        <v>236</v>
      </c>
      <c r="C73" s="205" t="s">
        <v>189</v>
      </c>
      <c r="D73" s="206" t="s">
        <v>1466</v>
      </c>
      <c r="E73" s="200">
        <v>90000000</v>
      </c>
      <c r="F73" s="200">
        <v>0</v>
      </c>
      <c r="G73" s="292">
        <v>90000000</v>
      </c>
      <c r="H73" s="200">
        <f t="shared" si="1"/>
        <v>0</v>
      </c>
      <c r="I73" s="201">
        <v>6.7</v>
      </c>
      <c r="J73" s="202" t="s">
        <v>237</v>
      </c>
    </row>
    <row r="74" spans="1:10" ht="14.25" customHeight="1">
      <c r="A74" s="203"/>
      <c r="B74" s="204" t="s">
        <v>236</v>
      </c>
      <c r="C74" s="205" t="s">
        <v>180</v>
      </c>
      <c r="D74" s="206" t="s">
        <v>1466</v>
      </c>
      <c r="E74" s="200">
        <v>50000000</v>
      </c>
      <c r="F74" s="200">
        <v>0</v>
      </c>
      <c r="G74" s="292">
        <v>50000000</v>
      </c>
      <c r="H74" s="200">
        <f t="shared" si="1"/>
        <v>0</v>
      </c>
      <c r="I74" s="201">
        <v>7.1</v>
      </c>
      <c r="J74" s="202" t="s">
        <v>238</v>
      </c>
    </row>
    <row r="75" spans="1:10" ht="14.25" customHeight="1">
      <c r="A75" s="203"/>
      <c r="B75" s="204" t="s">
        <v>236</v>
      </c>
      <c r="C75" s="205" t="s">
        <v>180</v>
      </c>
      <c r="D75" s="206" t="s">
        <v>1467</v>
      </c>
      <c r="E75" s="200">
        <v>100000000</v>
      </c>
      <c r="F75" s="200">
        <v>0</v>
      </c>
      <c r="G75" s="292">
        <v>100000000</v>
      </c>
      <c r="H75" s="200">
        <f t="shared" si="1"/>
        <v>0</v>
      </c>
      <c r="I75" s="201">
        <v>6.9</v>
      </c>
      <c r="J75" s="202" t="s">
        <v>238</v>
      </c>
    </row>
    <row r="76" spans="1:10" ht="14.25" customHeight="1">
      <c r="A76" s="203"/>
      <c r="B76" s="204" t="s">
        <v>236</v>
      </c>
      <c r="C76" s="205" t="s">
        <v>185</v>
      </c>
      <c r="D76" s="206" t="s">
        <v>1468</v>
      </c>
      <c r="E76" s="200">
        <v>232000000</v>
      </c>
      <c r="F76" s="200">
        <v>0</v>
      </c>
      <c r="G76" s="292">
        <v>232000000</v>
      </c>
      <c r="H76" s="200">
        <f t="shared" si="1"/>
        <v>0</v>
      </c>
      <c r="I76" s="201">
        <v>6.5</v>
      </c>
      <c r="J76" s="202" t="s">
        <v>239</v>
      </c>
    </row>
    <row r="77" spans="1:10" ht="14.25" customHeight="1">
      <c r="A77" s="276"/>
      <c r="B77" s="277" t="s">
        <v>236</v>
      </c>
      <c r="C77" s="293" t="s">
        <v>180</v>
      </c>
      <c r="D77" s="279" t="s">
        <v>1469</v>
      </c>
      <c r="E77" s="280">
        <v>100000000</v>
      </c>
      <c r="F77" s="200">
        <v>0</v>
      </c>
      <c r="G77" s="292">
        <v>100000000</v>
      </c>
      <c r="H77" s="200">
        <f t="shared" si="1"/>
        <v>0</v>
      </c>
      <c r="I77" s="208">
        <v>6.8</v>
      </c>
      <c r="J77" s="294" t="s">
        <v>212</v>
      </c>
    </row>
    <row r="78" spans="1:10" ht="17.25" customHeight="1">
      <c r="A78" s="219" t="s">
        <v>1346</v>
      </c>
      <c r="B78" s="220" t="s">
        <v>173</v>
      </c>
      <c r="C78" s="221" t="s">
        <v>173</v>
      </c>
      <c r="D78" s="222" t="s">
        <v>173</v>
      </c>
      <c r="E78" s="245">
        <f>SUM(E44:E55,E60:E77)</f>
        <v>14495000000</v>
      </c>
      <c r="F78" s="245">
        <f>SUM(F44:F55,F60:F77)</f>
        <v>0</v>
      </c>
      <c r="G78" s="245">
        <f>SUM(G44:G55,G60:G77)</f>
        <v>14495000000</v>
      </c>
      <c r="H78" s="245">
        <f>SUM(H44:H55,H60:H77)</f>
        <v>0</v>
      </c>
      <c r="I78" s="223"/>
      <c r="J78" s="224" t="s">
        <v>173</v>
      </c>
    </row>
    <row r="79" spans="1:10" ht="14.25" customHeight="1">
      <c r="A79" s="209" t="s">
        <v>240</v>
      </c>
      <c r="B79" s="211" t="s">
        <v>1470</v>
      </c>
      <c r="C79" s="249" t="s">
        <v>189</v>
      </c>
      <c r="D79" s="211" t="s">
        <v>1471</v>
      </c>
      <c r="E79" s="250">
        <v>150000000</v>
      </c>
      <c r="F79" s="200">
        <v>0</v>
      </c>
      <c r="G79" s="292">
        <v>150000000</v>
      </c>
      <c r="H79" s="200">
        <f t="shared" si="1"/>
        <v>0</v>
      </c>
      <c r="I79" s="213">
        <v>6.7</v>
      </c>
      <c r="J79" s="214" t="s">
        <v>237</v>
      </c>
    </row>
    <row r="80" spans="1:10" ht="14.25" customHeight="1">
      <c r="A80" s="203" t="s">
        <v>182</v>
      </c>
      <c r="B80" s="204" t="s">
        <v>236</v>
      </c>
      <c r="C80" s="205" t="s">
        <v>189</v>
      </c>
      <c r="D80" s="206" t="s">
        <v>1472</v>
      </c>
      <c r="E80" s="200">
        <v>482714000</v>
      </c>
      <c r="F80" s="200">
        <v>0</v>
      </c>
      <c r="G80" s="292">
        <v>482714000</v>
      </c>
      <c r="H80" s="200">
        <f t="shared" si="1"/>
        <v>0</v>
      </c>
      <c r="I80" s="201">
        <v>6.7</v>
      </c>
      <c r="J80" s="202" t="s">
        <v>237</v>
      </c>
    </row>
    <row r="81" spans="1:10" ht="14.25" customHeight="1">
      <c r="A81" s="203"/>
      <c r="B81" s="204" t="s">
        <v>236</v>
      </c>
      <c r="C81" s="263" t="s">
        <v>180</v>
      </c>
      <c r="D81" s="206" t="s">
        <v>1473</v>
      </c>
      <c r="E81" s="200">
        <v>200000000</v>
      </c>
      <c r="F81" s="200">
        <v>0</v>
      </c>
      <c r="G81" s="292">
        <v>200000000</v>
      </c>
      <c r="H81" s="200">
        <f t="shared" si="1"/>
        <v>0</v>
      </c>
      <c r="I81" s="201">
        <v>6.9</v>
      </c>
      <c r="J81" s="202" t="s">
        <v>238</v>
      </c>
    </row>
    <row r="82" spans="1:10" ht="14.25" customHeight="1">
      <c r="A82" s="203"/>
      <c r="B82" s="204" t="s">
        <v>236</v>
      </c>
      <c r="C82" s="205" t="s">
        <v>189</v>
      </c>
      <c r="D82" s="206" t="s">
        <v>1474</v>
      </c>
      <c r="E82" s="200">
        <v>125000000</v>
      </c>
      <c r="F82" s="200">
        <v>0</v>
      </c>
      <c r="G82" s="292">
        <v>125000000</v>
      </c>
      <c r="H82" s="200">
        <f t="shared" si="1"/>
        <v>0</v>
      </c>
      <c r="I82" s="201">
        <v>6.7</v>
      </c>
      <c r="J82" s="202" t="s">
        <v>237</v>
      </c>
    </row>
    <row r="83" spans="1:10" ht="14.25" customHeight="1">
      <c r="A83" s="203"/>
      <c r="B83" s="204" t="s">
        <v>236</v>
      </c>
      <c r="C83" s="263" t="s">
        <v>180</v>
      </c>
      <c r="D83" s="206" t="s">
        <v>1475</v>
      </c>
      <c r="E83" s="200">
        <v>500000000</v>
      </c>
      <c r="F83" s="200">
        <v>0</v>
      </c>
      <c r="G83" s="292">
        <v>500000000</v>
      </c>
      <c r="H83" s="200">
        <f t="shared" si="1"/>
        <v>0</v>
      </c>
      <c r="I83" s="201">
        <v>6.8</v>
      </c>
      <c r="J83" s="202" t="s">
        <v>238</v>
      </c>
    </row>
    <row r="84" spans="1:10" ht="14.25" customHeight="1">
      <c r="A84" s="203"/>
      <c r="B84" s="204" t="s">
        <v>236</v>
      </c>
      <c r="C84" s="263" t="s">
        <v>180</v>
      </c>
      <c r="D84" s="206" t="s">
        <v>1476</v>
      </c>
      <c r="E84" s="200">
        <v>200000000</v>
      </c>
      <c r="F84" s="200">
        <v>0</v>
      </c>
      <c r="G84" s="292">
        <v>200000000</v>
      </c>
      <c r="H84" s="200">
        <f t="shared" si="1"/>
        <v>0</v>
      </c>
      <c r="I84" s="201">
        <v>6.8</v>
      </c>
      <c r="J84" s="202" t="s">
        <v>212</v>
      </c>
    </row>
    <row r="85" spans="1:10" ht="14.25" customHeight="1">
      <c r="A85" s="203"/>
      <c r="B85" s="204" t="s">
        <v>236</v>
      </c>
      <c r="C85" s="205" t="s">
        <v>185</v>
      </c>
      <c r="D85" s="206" t="s">
        <v>1477</v>
      </c>
      <c r="E85" s="200">
        <v>2114870889</v>
      </c>
      <c r="F85" s="200">
        <v>0</v>
      </c>
      <c r="G85" s="292">
        <v>2114870889</v>
      </c>
      <c r="H85" s="200">
        <f t="shared" si="1"/>
        <v>0</v>
      </c>
      <c r="I85" s="201">
        <v>6.5</v>
      </c>
      <c r="J85" s="202" t="s">
        <v>239</v>
      </c>
    </row>
    <row r="86" spans="1:10" ht="14.25" customHeight="1">
      <c r="A86" s="203"/>
      <c r="B86" s="204" t="s">
        <v>236</v>
      </c>
      <c r="C86" s="263" t="s">
        <v>180</v>
      </c>
      <c r="D86" s="206" t="s">
        <v>1478</v>
      </c>
      <c r="E86" s="200">
        <v>300000000</v>
      </c>
      <c r="F86" s="200">
        <v>0</v>
      </c>
      <c r="G86" s="292">
        <v>300000000</v>
      </c>
      <c r="H86" s="200">
        <f t="shared" si="1"/>
        <v>0</v>
      </c>
      <c r="I86" s="201">
        <v>6.8</v>
      </c>
      <c r="J86" s="202" t="s">
        <v>212</v>
      </c>
    </row>
    <row r="87" spans="1:10" ht="14.25" customHeight="1">
      <c r="A87" s="203"/>
      <c r="B87" s="204" t="s">
        <v>241</v>
      </c>
      <c r="C87" s="205" t="s">
        <v>189</v>
      </c>
      <c r="D87" s="206" t="s">
        <v>1479</v>
      </c>
      <c r="E87" s="200">
        <v>700000000</v>
      </c>
      <c r="F87" s="200">
        <v>0</v>
      </c>
      <c r="G87" s="292">
        <v>700000000</v>
      </c>
      <c r="H87" s="200">
        <f t="shared" si="1"/>
        <v>0</v>
      </c>
      <c r="I87" s="201">
        <v>6.4</v>
      </c>
      <c r="J87" s="202" t="s">
        <v>219</v>
      </c>
    </row>
    <row r="88" spans="1:10" ht="14.25" customHeight="1">
      <c r="A88" s="215"/>
      <c r="B88" s="206">
        <v>47</v>
      </c>
      <c r="C88" s="205" t="s">
        <v>189</v>
      </c>
      <c r="D88" s="206" t="s">
        <v>1480</v>
      </c>
      <c r="E88" s="200">
        <v>1361276000</v>
      </c>
      <c r="F88" s="200">
        <v>0</v>
      </c>
      <c r="G88" s="292">
        <v>1361276000</v>
      </c>
      <c r="H88" s="200">
        <f t="shared" si="1"/>
        <v>0</v>
      </c>
      <c r="I88" s="201">
        <v>6.4</v>
      </c>
      <c r="J88" s="202" t="s">
        <v>219</v>
      </c>
    </row>
    <row r="89" spans="1:10" ht="14.25" customHeight="1">
      <c r="A89" s="203"/>
      <c r="B89" s="204" t="s">
        <v>241</v>
      </c>
      <c r="C89" s="263" t="s">
        <v>180</v>
      </c>
      <c r="D89" s="206" t="s">
        <v>1481</v>
      </c>
      <c r="E89" s="200">
        <v>130000000</v>
      </c>
      <c r="F89" s="200">
        <v>0</v>
      </c>
      <c r="G89" s="292">
        <v>130000000</v>
      </c>
      <c r="H89" s="200">
        <f t="shared" si="1"/>
        <v>0</v>
      </c>
      <c r="I89" s="201">
        <v>6.8</v>
      </c>
      <c r="J89" s="202" t="s">
        <v>212</v>
      </c>
    </row>
    <row r="90" spans="1:10" ht="14.25" customHeight="1">
      <c r="A90" s="203"/>
      <c r="B90" s="204" t="s">
        <v>241</v>
      </c>
      <c r="C90" s="263" t="s">
        <v>180</v>
      </c>
      <c r="D90" s="206" t="s">
        <v>1482</v>
      </c>
      <c r="E90" s="200">
        <v>1280000000</v>
      </c>
      <c r="F90" s="200">
        <v>0</v>
      </c>
      <c r="G90" s="292">
        <v>1280000000</v>
      </c>
      <c r="H90" s="200">
        <f t="shared" si="1"/>
        <v>0</v>
      </c>
      <c r="I90" s="201">
        <v>7</v>
      </c>
      <c r="J90" s="202" t="s">
        <v>188</v>
      </c>
    </row>
    <row r="91" spans="1:10" ht="14.25" customHeight="1">
      <c r="A91" s="203"/>
      <c r="B91" s="204" t="s">
        <v>241</v>
      </c>
      <c r="C91" s="205" t="s">
        <v>185</v>
      </c>
      <c r="D91" s="206" t="s">
        <v>1483</v>
      </c>
      <c r="E91" s="200">
        <v>3053639000</v>
      </c>
      <c r="F91" s="200">
        <v>0</v>
      </c>
      <c r="G91" s="292">
        <v>3053639000</v>
      </c>
      <c r="H91" s="200">
        <f t="shared" si="1"/>
        <v>0</v>
      </c>
      <c r="I91" s="201">
        <v>6.75</v>
      </c>
      <c r="J91" s="202" t="s">
        <v>242</v>
      </c>
    </row>
    <row r="92" spans="1:10" ht="14.25" customHeight="1">
      <c r="A92" s="203"/>
      <c r="B92" s="204" t="s">
        <v>243</v>
      </c>
      <c r="C92" s="205" t="s">
        <v>189</v>
      </c>
      <c r="D92" s="206" t="s">
        <v>1484</v>
      </c>
      <c r="E92" s="200">
        <v>921935000</v>
      </c>
      <c r="F92" s="200">
        <v>0</v>
      </c>
      <c r="G92" s="292">
        <v>921935000</v>
      </c>
      <c r="H92" s="200">
        <f t="shared" si="1"/>
        <v>0</v>
      </c>
      <c r="I92" s="201">
        <v>7.7</v>
      </c>
      <c r="J92" s="202" t="s">
        <v>228</v>
      </c>
    </row>
    <row r="93" spans="1:10" ht="14.25" customHeight="1">
      <c r="A93" s="203"/>
      <c r="B93" s="204" t="s">
        <v>243</v>
      </c>
      <c r="C93" s="205" t="s">
        <v>189</v>
      </c>
      <c r="D93" s="206" t="s">
        <v>1485</v>
      </c>
      <c r="E93" s="200">
        <v>565354000</v>
      </c>
      <c r="F93" s="200">
        <v>0</v>
      </c>
      <c r="G93" s="292">
        <v>565354000</v>
      </c>
      <c r="H93" s="200">
        <f t="shared" si="1"/>
        <v>0</v>
      </c>
      <c r="I93" s="201">
        <v>7.7</v>
      </c>
      <c r="J93" s="202" t="s">
        <v>228</v>
      </c>
    </row>
    <row r="94" spans="1:10" ht="14.25" customHeight="1">
      <c r="A94" s="203"/>
      <c r="B94" s="204" t="s">
        <v>243</v>
      </c>
      <c r="C94" s="205" t="s">
        <v>189</v>
      </c>
      <c r="D94" s="206" t="s">
        <v>1486</v>
      </c>
      <c r="E94" s="200">
        <v>500000000</v>
      </c>
      <c r="F94" s="200">
        <v>0</v>
      </c>
      <c r="G94" s="292">
        <v>500000000</v>
      </c>
      <c r="H94" s="200">
        <f t="shared" si="1"/>
        <v>0</v>
      </c>
      <c r="I94" s="201">
        <v>7.7</v>
      </c>
      <c r="J94" s="202" t="s">
        <v>228</v>
      </c>
    </row>
    <row r="95" spans="1:10" ht="14.25" customHeight="1">
      <c r="A95" s="203"/>
      <c r="B95" s="204" t="s">
        <v>243</v>
      </c>
      <c r="C95" s="263" t="s">
        <v>180</v>
      </c>
      <c r="D95" s="206" t="s">
        <v>1487</v>
      </c>
      <c r="E95" s="200">
        <v>1546000000</v>
      </c>
      <c r="F95" s="200">
        <v>0</v>
      </c>
      <c r="G95" s="292">
        <v>1546000000</v>
      </c>
      <c r="H95" s="200">
        <f t="shared" si="1"/>
        <v>0</v>
      </c>
      <c r="I95" s="201">
        <v>8.5</v>
      </c>
      <c r="J95" s="202" t="s">
        <v>194</v>
      </c>
    </row>
    <row r="96" spans="1:10" ht="14.25" customHeight="1">
      <c r="A96" s="203"/>
      <c r="B96" s="204" t="s">
        <v>243</v>
      </c>
      <c r="C96" s="205" t="s">
        <v>185</v>
      </c>
      <c r="D96" s="206" t="s">
        <v>1488</v>
      </c>
      <c r="E96" s="200">
        <v>4283722000</v>
      </c>
      <c r="F96" s="200">
        <v>0</v>
      </c>
      <c r="G96" s="292">
        <v>4283722000</v>
      </c>
      <c r="H96" s="200">
        <f t="shared" si="1"/>
        <v>0</v>
      </c>
      <c r="I96" s="201">
        <v>8</v>
      </c>
      <c r="J96" s="202" t="s">
        <v>244</v>
      </c>
    </row>
    <row r="97" spans="1:10" ht="14.25" customHeight="1">
      <c r="A97" s="203"/>
      <c r="B97" s="204" t="s">
        <v>245</v>
      </c>
      <c r="C97" s="205" t="s">
        <v>189</v>
      </c>
      <c r="D97" s="206" t="s">
        <v>1489</v>
      </c>
      <c r="E97" s="200">
        <v>1341938000</v>
      </c>
      <c r="F97" s="200">
        <v>0</v>
      </c>
      <c r="G97" s="292">
        <v>1341938000</v>
      </c>
      <c r="H97" s="200">
        <f t="shared" si="1"/>
        <v>0</v>
      </c>
      <c r="I97" s="201">
        <v>8.1999999999999993</v>
      </c>
      <c r="J97" s="202" t="s">
        <v>242</v>
      </c>
    </row>
    <row r="98" spans="1:10" ht="14.25" customHeight="1">
      <c r="A98" s="215"/>
      <c r="B98" s="204" t="s">
        <v>245</v>
      </c>
      <c r="C98" s="263" t="s">
        <v>180</v>
      </c>
      <c r="D98" s="206" t="s">
        <v>1490</v>
      </c>
      <c r="E98" s="200">
        <v>1000000000</v>
      </c>
      <c r="F98" s="200">
        <v>0</v>
      </c>
      <c r="G98" s="292">
        <v>1000000000</v>
      </c>
      <c r="H98" s="200">
        <f t="shared" si="1"/>
        <v>0</v>
      </c>
      <c r="I98" s="201">
        <v>9.1</v>
      </c>
      <c r="J98" s="202" t="s">
        <v>198</v>
      </c>
    </row>
    <row r="99" spans="1:10" ht="14.25" customHeight="1">
      <c r="A99" s="203"/>
      <c r="B99" s="204" t="s">
        <v>245</v>
      </c>
      <c r="C99" s="205" t="s">
        <v>189</v>
      </c>
      <c r="D99" s="206" t="s">
        <v>1491</v>
      </c>
      <c r="E99" s="200">
        <v>1030000000</v>
      </c>
      <c r="F99" s="200">
        <v>0</v>
      </c>
      <c r="G99" s="292">
        <v>1030000000</v>
      </c>
      <c r="H99" s="200">
        <f t="shared" si="1"/>
        <v>0</v>
      </c>
      <c r="I99" s="201">
        <v>8.1999999999999993</v>
      </c>
      <c r="J99" s="202" t="s">
        <v>242</v>
      </c>
    </row>
    <row r="100" spans="1:10" ht="14.25" customHeight="1">
      <c r="A100" s="215"/>
      <c r="B100" s="206" t="s">
        <v>1492</v>
      </c>
      <c r="C100" s="263" t="s">
        <v>180</v>
      </c>
      <c r="D100" s="206" t="s">
        <v>142</v>
      </c>
      <c r="E100" s="200">
        <v>600000000</v>
      </c>
      <c r="F100" s="200">
        <v>0</v>
      </c>
      <c r="G100" s="292">
        <v>600000000</v>
      </c>
      <c r="H100" s="200">
        <f t="shared" si="1"/>
        <v>0</v>
      </c>
      <c r="I100" s="201">
        <v>9.1</v>
      </c>
      <c r="J100" s="202" t="s">
        <v>198</v>
      </c>
    </row>
    <row r="101" spans="1:10" ht="14.25" customHeight="1">
      <c r="A101" s="215"/>
      <c r="B101" s="204">
        <v>49</v>
      </c>
      <c r="C101" s="205" t="s">
        <v>189</v>
      </c>
      <c r="D101" s="206" t="s">
        <v>1493</v>
      </c>
      <c r="E101" s="200">
        <v>416040000</v>
      </c>
      <c r="F101" s="200">
        <v>0</v>
      </c>
      <c r="G101" s="292">
        <v>416040000</v>
      </c>
      <c r="H101" s="200">
        <f t="shared" si="1"/>
        <v>0</v>
      </c>
      <c r="I101" s="201">
        <v>8.1999999999999993</v>
      </c>
      <c r="J101" s="202" t="s">
        <v>242</v>
      </c>
    </row>
    <row r="102" spans="1:10" ht="14.25" customHeight="1">
      <c r="A102" s="203"/>
      <c r="B102" s="204" t="s">
        <v>245</v>
      </c>
      <c r="C102" s="263" t="s">
        <v>180</v>
      </c>
      <c r="D102" s="206" t="s">
        <v>1494</v>
      </c>
      <c r="E102" s="200">
        <v>310000000</v>
      </c>
      <c r="F102" s="200">
        <v>0</v>
      </c>
      <c r="G102" s="292">
        <v>310000000</v>
      </c>
      <c r="H102" s="200">
        <f t="shared" si="1"/>
        <v>0</v>
      </c>
      <c r="I102" s="201">
        <v>9.1</v>
      </c>
      <c r="J102" s="202" t="s">
        <v>201</v>
      </c>
    </row>
    <row r="103" spans="1:10" ht="14.25" customHeight="1">
      <c r="A103" s="203"/>
      <c r="B103" s="204" t="s">
        <v>245</v>
      </c>
      <c r="C103" s="263" t="s">
        <v>180</v>
      </c>
      <c r="D103" s="206" t="s">
        <v>1495</v>
      </c>
      <c r="E103" s="200">
        <v>2000000000</v>
      </c>
      <c r="F103" s="200">
        <v>0</v>
      </c>
      <c r="G103" s="292">
        <v>2000000000</v>
      </c>
      <c r="H103" s="200">
        <f t="shared" si="1"/>
        <v>0</v>
      </c>
      <c r="I103" s="201">
        <v>8.6</v>
      </c>
      <c r="J103" s="202" t="s">
        <v>201</v>
      </c>
    </row>
    <row r="104" spans="1:10" ht="14.25" customHeight="1">
      <c r="A104" s="203"/>
      <c r="B104" s="204" t="s">
        <v>245</v>
      </c>
      <c r="C104" s="263" t="s">
        <v>180</v>
      </c>
      <c r="D104" s="206" t="s">
        <v>1496</v>
      </c>
      <c r="E104" s="200">
        <v>1000000000</v>
      </c>
      <c r="F104" s="200">
        <v>0</v>
      </c>
      <c r="G104" s="292">
        <v>1000000000</v>
      </c>
      <c r="H104" s="200">
        <f t="shared" si="1"/>
        <v>0</v>
      </c>
      <c r="I104" s="201">
        <v>8.6</v>
      </c>
      <c r="J104" s="202" t="s">
        <v>201</v>
      </c>
    </row>
    <row r="105" spans="1:10" ht="14.25" customHeight="1">
      <c r="A105" s="203"/>
      <c r="B105" s="204">
        <v>50</v>
      </c>
      <c r="C105" s="205" t="s">
        <v>189</v>
      </c>
      <c r="D105" s="206" t="s">
        <v>1497</v>
      </c>
      <c r="E105" s="200">
        <v>1422752000</v>
      </c>
      <c r="F105" s="200">
        <v>0</v>
      </c>
      <c r="G105" s="292">
        <v>1422752000</v>
      </c>
      <c r="H105" s="200">
        <f t="shared" si="1"/>
        <v>0</v>
      </c>
      <c r="I105" s="201">
        <v>7.7</v>
      </c>
      <c r="J105" s="216" t="s">
        <v>246</v>
      </c>
    </row>
    <row r="106" spans="1:10" ht="14.25" customHeight="1">
      <c r="A106" s="218"/>
      <c r="B106" s="204">
        <v>49</v>
      </c>
      <c r="C106" s="205" t="s">
        <v>185</v>
      </c>
      <c r="D106" s="206" t="s">
        <v>1498</v>
      </c>
      <c r="E106" s="200">
        <v>13759150000</v>
      </c>
      <c r="F106" s="200">
        <v>0</v>
      </c>
      <c r="G106" s="200">
        <v>13759150000</v>
      </c>
      <c r="H106" s="200">
        <f t="shared" si="1"/>
        <v>0</v>
      </c>
      <c r="I106" s="201">
        <v>7.5</v>
      </c>
      <c r="J106" s="295" t="s">
        <v>247</v>
      </c>
    </row>
    <row r="107" spans="1:10" ht="14.25" customHeight="1">
      <c r="A107" s="218"/>
      <c r="B107" s="204">
        <v>50</v>
      </c>
      <c r="C107" s="205" t="s">
        <v>189</v>
      </c>
      <c r="D107" s="206" t="s">
        <v>324</v>
      </c>
      <c r="E107" s="200">
        <v>1878457000</v>
      </c>
      <c r="F107" s="200">
        <v>0</v>
      </c>
      <c r="G107" s="200">
        <v>1878457000</v>
      </c>
      <c r="H107" s="200">
        <f t="shared" si="1"/>
        <v>0</v>
      </c>
      <c r="I107" s="201">
        <v>7.7</v>
      </c>
      <c r="J107" s="295" t="s">
        <v>246</v>
      </c>
    </row>
    <row r="108" spans="1:10" ht="14.25" customHeight="1">
      <c r="A108" s="218"/>
      <c r="B108" s="204" t="s">
        <v>248</v>
      </c>
      <c r="C108" s="205" t="s">
        <v>189</v>
      </c>
      <c r="D108" s="206" t="s">
        <v>325</v>
      </c>
      <c r="E108" s="200">
        <v>2740000000</v>
      </c>
      <c r="F108" s="200">
        <v>0</v>
      </c>
      <c r="G108" s="200">
        <v>2740000000</v>
      </c>
      <c r="H108" s="200">
        <f t="shared" si="1"/>
        <v>0</v>
      </c>
      <c r="I108" s="201">
        <v>7.7</v>
      </c>
      <c r="J108" s="295" t="s">
        <v>246</v>
      </c>
    </row>
    <row r="109" spans="1:10" ht="14.25" customHeight="1">
      <c r="A109" s="218"/>
      <c r="B109" s="204" t="s">
        <v>248</v>
      </c>
      <c r="C109" s="205" t="s">
        <v>185</v>
      </c>
      <c r="D109" s="206" t="s">
        <v>326</v>
      </c>
      <c r="E109" s="200">
        <v>7512771000</v>
      </c>
      <c r="F109" s="200">
        <v>0</v>
      </c>
      <c r="G109" s="200">
        <v>7512771000</v>
      </c>
      <c r="H109" s="200">
        <f t="shared" si="1"/>
        <v>0</v>
      </c>
      <c r="I109" s="201">
        <v>7.5</v>
      </c>
      <c r="J109" s="295" t="s">
        <v>249</v>
      </c>
    </row>
    <row r="110" spans="1:10" ht="14.25" customHeight="1">
      <c r="A110" s="218"/>
      <c r="B110" s="204" t="s">
        <v>250</v>
      </c>
      <c r="C110" s="205" t="s">
        <v>189</v>
      </c>
      <c r="D110" s="206" t="s">
        <v>327</v>
      </c>
      <c r="E110" s="200">
        <v>2103702000</v>
      </c>
      <c r="F110" s="200">
        <v>0</v>
      </c>
      <c r="G110" s="200">
        <v>2103702000</v>
      </c>
      <c r="H110" s="200">
        <f t="shared" si="1"/>
        <v>0</v>
      </c>
      <c r="I110" s="201">
        <v>7.7</v>
      </c>
      <c r="J110" s="295" t="s">
        <v>244</v>
      </c>
    </row>
    <row r="111" spans="1:10" ht="14.25" customHeight="1" thickBot="1">
      <c r="A111" s="284"/>
      <c r="B111" s="285" t="s">
        <v>250</v>
      </c>
      <c r="C111" s="286" t="s">
        <v>189</v>
      </c>
      <c r="D111" s="287" t="s">
        <v>328</v>
      </c>
      <c r="E111" s="268">
        <v>1485841000</v>
      </c>
      <c r="F111" s="268">
        <v>0</v>
      </c>
      <c r="G111" s="268">
        <v>1485841000</v>
      </c>
      <c r="H111" s="200">
        <f t="shared" si="1"/>
        <v>0</v>
      </c>
      <c r="I111" s="288">
        <v>7.7</v>
      </c>
      <c r="J111" s="296" t="s">
        <v>244</v>
      </c>
    </row>
    <row r="112" spans="1:10" ht="9.75" customHeight="1" thickBot="1">
      <c r="A112" s="297"/>
      <c r="B112" s="272"/>
      <c r="C112" s="257"/>
      <c r="D112" s="258"/>
      <c r="E112" s="259"/>
      <c r="F112" s="259"/>
      <c r="G112" s="259"/>
      <c r="H112" s="259"/>
      <c r="I112" s="260"/>
      <c r="J112" s="270"/>
    </row>
    <row r="113" spans="1:10">
      <c r="A113" s="479" t="s">
        <v>1499</v>
      </c>
      <c r="B113" s="481" t="s">
        <v>311</v>
      </c>
      <c r="C113" s="483" t="s">
        <v>1500</v>
      </c>
      <c r="D113" s="481" t="s">
        <v>312</v>
      </c>
      <c r="E113" s="485" t="s">
        <v>1501</v>
      </c>
      <c r="F113" s="487" t="s">
        <v>1502</v>
      </c>
      <c r="G113" s="493"/>
      <c r="H113" s="489" t="s">
        <v>174</v>
      </c>
      <c r="I113" s="491" t="s">
        <v>1503</v>
      </c>
      <c r="J113" s="477" t="s">
        <v>313</v>
      </c>
    </row>
    <row r="114" spans="1:10">
      <c r="A114" s="480"/>
      <c r="B114" s="482"/>
      <c r="C114" s="484"/>
      <c r="D114" s="482"/>
      <c r="E114" s="486"/>
      <c r="F114" s="207" t="s">
        <v>176</v>
      </c>
      <c r="G114" s="207" t="s">
        <v>305</v>
      </c>
      <c r="H114" s="490"/>
      <c r="I114" s="492"/>
      <c r="J114" s="478"/>
    </row>
    <row r="115" spans="1:10">
      <c r="A115" s="209"/>
      <c r="B115" s="210"/>
      <c r="C115" s="210"/>
      <c r="D115" s="211" t="s">
        <v>177</v>
      </c>
      <c r="E115" s="212" t="s">
        <v>178</v>
      </c>
      <c r="F115" s="212" t="s">
        <v>172</v>
      </c>
      <c r="G115" s="212" t="s">
        <v>178</v>
      </c>
      <c r="H115" s="212" t="s">
        <v>178</v>
      </c>
      <c r="I115" s="213" t="s">
        <v>1504</v>
      </c>
      <c r="J115" s="214" t="s">
        <v>175</v>
      </c>
    </row>
    <row r="116" spans="1:10" ht="14.25" customHeight="1">
      <c r="A116" s="215" t="s">
        <v>240</v>
      </c>
      <c r="B116" s="204" t="s">
        <v>329</v>
      </c>
      <c r="C116" s="205" t="s">
        <v>189</v>
      </c>
      <c r="D116" s="206" t="s">
        <v>691</v>
      </c>
      <c r="E116" s="200">
        <v>4952879000</v>
      </c>
      <c r="F116" s="200">
        <v>0</v>
      </c>
      <c r="G116" s="200">
        <v>4952879000</v>
      </c>
      <c r="H116" s="200">
        <f t="shared" ref="H116:H169" si="2">E116-G116</f>
        <v>0</v>
      </c>
      <c r="I116" s="201">
        <v>7.7</v>
      </c>
      <c r="J116" s="202" t="s">
        <v>244</v>
      </c>
    </row>
    <row r="117" spans="1:10" ht="14.25" customHeight="1">
      <c r="A117" s="203" t="s">
        <v>182</v>
      </c>
      <c r="B117" s="204" t="s">
        <v>250</v>
      </c>
      <c r="C117" s="205" t="s">
        <v>189</v>
      </c>
      <c r="D117" s="206" t="s">
        <v>1505</v>
      </c>
      <c r="E117" s="200">
        <v>700000000</v>
      </c>
      <c r="F117" s="200">
        <v>0</v>
      </c>
      <c r="G117" s="200">
        <v>700000000</v>
      </c>
      <c r="H117" s="200">
        <f t="shared" si="2"/>
        <v>0</v>
      </c>
      <c r="I117" s="201">
        <v>6.95</v>
      </c>
      <c r="J117" s="202" t="s">
        <v>244</v>
      </c>
    </row>
    <row r="118" spans="1:10" ht="14.25" customHeight="1">
      <c r="A118" s="203"/>
      <c r="B118" s="204" t="s">
        <v>250</v>
      </c>
      <c r="C118" s="205" t="s">
        <v>189</v>
      </c>
      <c r="D118" s="206" t="s">
        <v>1506</v>
      </c>
      <c r="E118" s="200">
        <v>700000000</v>
      </c>
      <c r="F118" s="200">
        <v>0</v>
      </c>
      <c r="G118" s="200">
        <v>700000000</v>
      </c>
      <c r="H118" s="200">
        <f t="shared" si="2"/>
        <v>0</v>
      </c>
      <c r="I118" s="201">
        <v>6.95</v>
      </c>
      <c r="J118" s="202" t="s">
        <v>244</v>
      </c>
    </row>
    <row r="119" spans="1:10" ht="14.25" customHeight="1">
      <c r="A119" s="203"/>
      <c r="B119" s="204" t="s">
        <v>250</v>
      </c>
      <c r="C119" s="205" t="s">
        <v>189</v>
      </c>
      <c r="D119" s="206" t="s">
        <v>1507</v>
      </c>
      <c r="E119" s="200">
        <v>2000000000</v>
      </c>
      <c r="F119" s="200">
        <v>0</v>
      </c>
      <c r="G119" s="200">
        <v>2000000000</v>
      </c>
      <c r="H119" s="200">
        <f t="shared" si="2"/>
        <v>0</v>
      </c>
      <c r="I119" s="201">
        <v>6.95</v>
      </c>
      <c r="J119" s="202" t="s">
        <v>244</v>
      </c>
    </row>
    <row r="120" spans="1:10" ht="14.25" customHeight="1">
      <c r="A120" s="203"/>
      <c r="B120" s="204" t="s">
        <v>250</v>
      </c>
      <c r="C120" s="205" t="s">
        <v>189</v>
      </c>
      <c r="D120" s="206" t="s">
        <v>1508</v>
      </c>
      <c r="E120" s="200">
        <v>410000000</v>
      </c>
      <c r="F120" s="200">
        <v>0</v>
      </c>
      <c r="G120" s="200">
        <v>410000000</v>
      </c>
      <c r="H120" s="200">
        <f t="shared" si="2"/>
        <v>0</v>
      </c>
      <c r="I120" s="201">
        <v>6.95</v>
      </c>
      <c r="J120" s="202" t="s">
        <v>247</v>
      </c>
    </row>
    <row r="121" spans="1:10" ht="14.25" customHeight="1">
      <c r="A121" s="203"/>
      <c r="B121" s="204">
        <v>52</v>
      </c>
      <c r="C121" s="205" t="s">
        <v>189</v>
      </c>
      <c r="D121" s="206" t="s">
        <v>1509</v>
      </c>
      <c r="E121" s="200">
        <v>906331000</v>
      </c>
      <c r="F121" s="200">
        <v>0</v>
      </c>
      <c r="G121" s="200">
        <v>906331000</v>
      </c>
      <c r="H121" s="200">
        <f t="shared" si="2"/>
        <v>0</v>
      </c>
      <c r="I121" s="201">
        <v>6.7</v>
      </c>
      <c r="J121" s="216" t="s">
        <v>247</v>
      </c>
    </row>
    <row r="122" spans="1:10" ht="14.25" customHeight="1">
      <c r="A122" s="203"/>
      <c r="B122" s="204" t="s">
        <v>250</v>
      </c>
      <c r="C122" s="205" t="s">
        <v>185</v>
      </c>
      <c r="D122" s="206" t="s">
        <v>1510</v>
      </c>
      <c r="E122" s="200">
        <v>3969362000</v>
      </c>
      <c r="F122" s="200">
        <v>0</v>
      </c>
      <c r="G122" s="200">
        <v>3969362000</v>
      </c>
      <c r="H122" s="200">
        <f t="shared" si="2"/>
        <v>0</v>
      </c>
      <c r="I122" s="201">
        <v>6.5</v>
      </c>
      <c r="J122" s="202" t="s">
        <v>251</v>
      </c>
    </row>
    <row r="123" spans="1:10" ht="14.25" customHeight="1">
      <c r="A123" s="203"/>
      <c r="B123" s="204" t="s">
        <v>252</v>
      </c>
      <c r="C123" s="205" t="s">
        <v>189</v>
      </c>
      <c r="D123" s="206" t="s">
        <v>1511</v>
      </c>
      <c r="E123" s="200">
        <v>1480274000</v>
      </c>
      <c r="F123" s="200">
        <v>0</v>
      </c>
      <c r="G123" s="200">
        <v>1480274000</v>
      </c>
      <c r="H123" s="200">
        <f t="shared" si="2"/>
        <v>0</v>
      </c>
      <c r="I123" s="201">
        <v>6.7</v>
      </c>
      <c r="J123" s="202" t="s">
        <v>247</v>
      </c>
    </row>
    <row r="124" spans="1:10" ht="14.25" customHeight="1">
      <c r="A124" s="203"/>
      <c r="B124" s="204" t="s">
        <v>252</v>
      </c>
      <c r="C124" s="205" t="s">
        <v>189</v>
      </c>
      <c r="D124" s="206" t="s">
        <v>1512</v>
      </c>
      <c r="E124" s="200">
        <v>700000000</v>
      </c>
      <c r="F124" s="200">
        <v>0</v>
      </c>
      <c r="G124" s="200">
        <v>700000000</v>
      </c>
      <c r="H124" s="200">
        <f t="shared" si="2"/>
        <v>0</v>
      </c>
      <c r="I124" s="201">
        <v>6.25</v>
      </c>
      <c r="J124" s="202" t="s">
        <v>247</v>
      </c>
    </row>
    <row r="125" spans="1:10" ht="14.25" customHeight="1">
      <c r="A125" s="203"/>
      <c r="B125" s="204" t="s">
        <v>252</v>
      </c>
      <c r="C125" s="205" t="s">
        <v>189</v>
      </c>
      <c r="D125" s="206" t="s">
        <v>1513</v>
      </c>
      <c r="E125" s="200">
        <v>2000000000</v>
      </c>
      <c r="F125" s="200">
        <v>0</v>
      </c>
      <c r="G125" s="200">
        <v>2000000000</v>
      </c>
      <c r="H125" s="200">
        <f t="shared" si="2"/>
        <v>0</v>
      </c>
      <c r="I125" s="201">
        <v>6.25</v>
      </c>
      <c r="J125" s="202" t="s">
        <v>247</v>
      </c>
    </row>
    <row r="126" spans="1:10" ht="14.25" customHeight="1">
      <c r="A126" s="203"/>
      <c r="B126" s="204" t="s">
        <v>252</v>
      </c>
      <c r="C126" s="205" t="s">
        <v>189</v>
      </c>
      <c r="D126" s="206" t="s">
        <v>1514</v>
      </c>
      <c r="E126" s="200">
        <v>800000000</v>
      </c>
      <c r="F126" s="200">
        <v>0</v>
      </c>
      <c r="G126" s="200">
        <v>800000000</v>
      </c>
      <c r="H126" s="200">
        <f t="shared" si="2"/>
        <v>0</v>
      </c>
      <c r="I126" s="201">
        <v>6.25</v>
      </c>
      <c r="J126" s="202" t="s">
        <v>247</v>
      </c>
    </row>
    <row r="127" spans="1:10" ht="14.25" customHeight="1">
      <c r="A127" s="203"/>
      <c r="B127" s="204" t="s">
        <v>252</v>
      </c>
      <c r="C127" s="205" t="s">
        <v>189</v>
      </c>
      <c r="D127" s="206" t="s">
        <v>1515</v>
      </c>
      <c r="E127" s="200">
        <v>2100000000</v>
      </c>
      <c r="F127" s="200">
        <v>0</v>
      </c>
      <c r="G127" s="200">
        <v>2100000000</v>
      </c>
      <c r="H127" s="200">
        <f t="shared" si="2"/>
        <v>0</v>
      </c>
      <c r="I127" s="201">
        <v>6.25</v>
      </c>
      <c r="J127" s="202" t="s">
        <v>249</v>
      </c>
    </row>
    <row r="128" spans="1:10" ht="14.25" customHeight="1">
      <c r="A128" s="203"/>
      <c r="B128" s="204" t="s">
        <v>252</v>
      </c>
      <c r="C128" s="205" t="s">
        <v>189</v>
      </c>
      <c r="D128" s="206" t="s">
        <v>1516</v>
      </c>
      <c r="E128" s="200">
        <v>800000000</v>
      </c>
      <c r="F128" s="200">
        <v>0</v>
      </c>
      <c r="G128" s="200">
        <v>800000000</v>
      </c>
      <c r="H128" s="200">
        <f t="shared" si="2"/>
        <v>0</v>
      </c>
      <c r="I128" s="201">
        <v>6.25</v>
      </c>
      <c r="J128" s="202" t="s">
        <v>249</v>
      </c>
    </row>
    <row r="129" spans="1:10" ht="14.25" customHeight="1">
      <c r="A129" s="203"/>
      <c r="B129" s="204" t="s">
        <v>252</v>
      </c>
      <c r="C129" s="205" t="s">
        <v>185</v>
      </c>
      <c r="D129" s="206" t="s">
        <v>1517</v>
      </c>
      <c r="E129" s="200">
        <v>1257999000</v>
      </c>
      <c r="F129" s="200">
        <v>0</v>
      </c>
      <c r="G129" s="200">
        <v>1257999000</v>
      </c>
      <c r="H129" s="200">
        <f t="shared" si="2"/>
        <v>0</v>
      </c>
      <c r="I129" s="201">
        <v>6.05</v>
      </c>
      <c r="J129" s="202" t="s">
        <v>253</v>
      </c>
    </row>
    <row r="130" spans="1:10" ht="14.25" customHeight="1">
      <c r="A130" s="203"/>
      <c r="B130" s="204" t="s">
        <v>252</v>
      </c>
      <c r="C130" s="205" t="s">
        <v>189</v>
      </c>
      <c r="D130" s="206" t="s">
        <v>1518</v>
      </c>
      <c r="E130" s="200">
        <v>1525000000</v>
      </c>
      <c r="F130" s="200">
        <v>0</v>
      </c>
      <c r="G130" s="200">
        <v>1525000000</v>
      </c>
      <c r="H130" s="200">
        <f t="shared" si="2"/>
        <v>0</v>
      </c>
      <c r="I130" s="201">
        <v>6.25</v>
      </c>
      <c r="J130" s="202" t="s">
        <v>249</v>
      </c>
    </row>
    <row r="131" spans="1:10" ht="14.25" customHeight="1">
      <c r="A131" s="203"/>
      <c r="B131" s="204" t="s">
        <v>254</v>
      </c>
      <c r="C131" s="205" t="s">
        <v>189</v>
      </c>
      <c r="D131" s="206" t="s">
        <v>1519</v>
      </c>
      <c r="E131" s="200">
        <v>1000000000</v>
      </c>
      <c r="F131" s="200">
        <v>0</v>
      </c>
      <c r="G131" s="200">
        <v>1000000000</v>
      </c>
      <c r="H131" s="200">
        <f t="shared" si="2"/>
        <v>0</v>
      </c>
      <c r="I131" s="201">
        <v>6.25</v>
      </c>
      <c r="J131" s="202" t="s">
        <v>249</v>
      </c>
    </row>
    <row r="132" spans="1:10" ht="14.25" customHeight="1">
      <c r="A132" s="215"/>
      <c r="B132" s="206" t="s">
        <v>255</v>
      </c>
      <c r="C132" s="205" t="s">
        <v>189</v>
      </c>
      <c r="D132" s="206" t="s">
        <v>1520</v>
      </c>
      <c r="E132" s="200">
        <v>1000000000</v>
      </c>
      <c r="F132" s="200">
        <v>0</v>
      </c>
      <c r="G132" s="200">
        <v>1000000000</v>
      </c>
      <c r="H132" s="200">
        <f t="shared" si="2"/>
        <v>0</v>
      </c>
      <c r="I132" s="201">
        <v>6.25</v>
      </c>
      <c r="J132" s="202" t="s">
        <v>249</v>
      </c>
    </row>
    <row r="133" spans="1:10" ht="14.25" customHeight="1">
      <c r="A133" s="203"/>
      <c r="B133" s="204" t="s">
        <v>254</v>
      </c>
      <c r="C133" s="205" t="s">
        <v>189</v>
      </c>
      <c r="D133" s="206" t="s">
        <v>1521</v>
      </c>
      <c r="E133" s="200">
        <v>1000000000</v>
      </c>
      <c r="F133" s="200">
        <v>0</v>
      </c>
      <c r="G133" s="200">
        <v>1000000000</v>
      </c>
      <c r="H133" s="200">
        <f t="shared" si="2"/>
        <v>0</v>
      </c>
      <c r="I133" s="201">
        <v>6.15</v>
      </c>
      <c r="J133" s="202" t="s">
        <v>249</v>
      </c>
    </row>
    <row r="134" spans="1:10" ht="14.25" customHeight="1">
      <c r="A134" s="203"/>
      <c r="B134" s="204" t="s">
        <v>254</v>
      </c>
      <c r="C134" s="205" t="s">
        <v>189</v>
      </c>
      <c r="D134" s="206" t="s">
        <v>1522</v>
      </c>
      <c r="E134" s="200">
        <v>1000000000</v>
      </c>
      <c r="F134" s="200">
        <v>0</v>
      </c>
      <c r="G134" s="200">
        <v>1000000000</v>
      </c>
      <c r="H134" s="200">
        <f t="shared" si="2"/>
        <v>0</v>
      </c>
      <c r="I134" s="201">
        <v>6.75</v>
      </c>
      <c r="J134" s="202" t="s">
        <v>249</v>
      </c>
    </row>
    <row r="135" spans="1:10" ht="14.25" customHeight="1">
      <c r="A135" s="203"/>
      <c r="B135" s="204" t="s">
        <v>254</v>
      </c>
      <c r="C135" s="205" t="s">
        <v>189</v>
      </c>
      <c r="D135" s="206" t="s">
        <v>1523</v>
      </c>
      <c r="E135" s="200">
        <v>3722000000</v>
      </c>
      <c r="F135" s="200">
        <v>0</v>
      </c>
      <c r="G135" s="200">
        <v>3722000000</v>
      </c>
      <c r="H135" s="200">
        <f t="shared" si="2"/>
        <v>0</v>
      </c>
      <c r="I135" s="201">
        <v>7.25</v>
      </c>
      <c r="J135" s="202" t="s">
        <v>251</v>
      </c>
    </row>
    <row r="136" spans="1:10" ht="14.25" customHeight="1">
      <c r="A136" s="203"/>
      <c r="B136" s="204" t="s">
        <v>254</v>
      </c>
      <c r="C136" s="205" t="s">
        <v>185</v>
      </c>
      <c r="D136" s="206" t="s">
        <v>1524</v>
      </c>
      <c r="E136" s="200">
        <v>2078000000</v>
      </c>
      <c r="F136" s="200">
        <v>0</v>
      </c>
      <c r="G136" s="200">
        <v>2078000000</v>
      </c>
      <c r="H136" s="200">
        <f t="shared" si="2"/>
        <v>0</v>
      </c>
      <c r="I136" s="201">
        <v>7.15</v>
      </c>
      <c r="J136" s="202" t="s">
        <v>256</v>
      </c>
    </row>
    <row r="137" spans="1:10" ht="14.25" customHeight="1">
      <c r="A137" s="203"/>
      <c r="B137" s="204" t="s">
        <v>257</v>
      </c>
      <c r="C137" s="205" t="s">
        <v>189</v>
      </c>
      <c r="D137" s="206" t="s">
        <v>1525</v>
      </c>
      <c r="E137" s="200">
        <v>3300000000</v>
      </c>
      <c r="F137" s="200">
        <v>0</v>
      </c>
      <c r="G137" s="200">
        <v>3300000000</v>
      </c>
      <c r="H137" s="200">
        <f t="shared" si="2"/>
        <v>0</v>
      </c>
      <c r="I137" s="201">
        <v>7.25</v>
      </c>
      <c r="J137" s="202" t="s">
        <v>251</v>
      </c>
    </row>
    <row r="138" spans="1:10" ht="14.25" customHeight="1">
      <c r="A138" s="203"/>
      <c r="B138" s="204" t="s">
        <v>257</v>
      </c>
      <c r="C138" s="205" t="s">
        <v>189</v>
      </c>
      <c r="D138" s="206" t="s">
        <v>1526</v>
      </c>
      <c r="E138" s="200">
        <v>1000000000</v>
      </c>
      <c r="F138" s="200">
        <v>0</v>
      </c>
      <c r="G138" s="200">
        <v>1000000000</v>
      </c>
      <c r="H138" s="200">
        <f t="shared" si="2"/>
        <v>0</v>
      </c>
      <c r="I138" s="201">
        <v>8.6</v>
      </c>
      <c r="J138" s="202" t="s">
        <v>1527</v>
      </c>
    </row>
    <row r="139" spans="1:10" ht="14.25" customHeight="1">
      <c r="A139" s="203"/>
      <c r="B139" s="204" t="s">
        <v>257</v>
      </c>
      <c r="C139" s="205" t="s">
        <v>189</v>
      </c>
      <c r="D139" s="206" t="s">
        <v>1528</v>
      </c>
      <c r="E139" s="200">
        <v>2500000000</v>
      </c>
      <c r="F139" s="200">
        <v>0</v>
      </c>
      <c r="G139" s="200">
        <v>2500000000</v>
      </c>
      <c r="H139" s="200">
        <f t="shared" si="2"/>
        <v>0</v>
      </c>
      <c r="I139" s="201">
        <v>8.6</v>
      </c>
      <c r="J139" s="202" t="s">
        <v>143</v>
      </c>
    </row>
    <row r="140" spans="1:10" ht="14.25" customHeight="1">
      <c r="A140" s="203"/>
      <c r="B140" s="204" t="s">
        <v>257</v>
      </c>
      <c r="C140" s="205" t="s">
        <v>185</v>
      </c>
      <c r="D140" s="206" t="s">
        <v>1529</v>
      </c>
      <c r="E140" s="200">
        <v>1550704816</v>
      </c>
      <c r="F140" s="200">
        <v>0</v>
      </c>
      <c r="G140" s="200">
        <v>1550704816</v>
      </c>
      <c r="H140" s="200">
        <f t="shared" si="2"/>
        <v>0</v>
      </c>
      <c r="I140" s="201">
        <v>8</v>
      </c>
      <c r="J140" s="202" t="s">
        <v>1530</v>
      </c>
    </row>
    <row r="141" spans="1:10" ht="14.25" customHeight="1">
      <c r="A141" s="203"/>
      <c r="B141" s="204" t="s">
        <v>257</v>
      </c>
      <c r="C141" s="205" t="s">
        <v>189</v>
      </c>
      <c r="D141" s="206" t="s">
        <v>1531</v>
      </c>
      <c r="E141" s="200">
        <v>2579000000</v>
      </c>
      <c r="F141" s="200">
        <v>0</v>
      </c>
      <c r="G141" s="200">
        <v>2579000000</v>
      </c>
      <c r="H141" s="200">
        <f t="shared" si="2"/>
        <v>0</v>
      </c>
      <c r="I141" s="201">
        <v>8.1</v>
      </c>
      <c r="J141" s="202" t="s">
        <v>253</v>
      </c>
    </row>
    <row r="142" spans="1:10" ht="14.25" customHeight="1">
      <c r="A142" s="203"/>
      <c r="B142" s="204" t="s">
        <v>258</v>
      </c>
      <c r="C142" s="205" t="s">
        <v>189</v>
      </c>
      <c r="D142" s="206" t="s">
        <v>1532</v>
      </c>
      <c r="E142" s="200">
        <v>3500000000</v>
      </c>
      <c r="F142" s="200">
        <v>0</v>
      </c>
      <c r="G142" s="200">
        <v>3500000000</v>
      </c>
      <c r="H142" s="200">
        <f t="shared" si="2"/>
        <v>0</v>
      </c>
      <c r="I142" s="201">
        <v>8.1</v>
      </c>
      <c r="J142" s="202" t="s">
        <v>1533</v>
      </c>
    </row>
    <row r="143" spans="1:10" ht="14.25" customHeight="1">
      <c r="A143" s="203"/>
      <c r="B143" s="204" t="s">
        <v>258</v>
      </c>
      <c r="C143" s="205" t="s">
        <v>189</v>
      </c>
      <c r="D143" s="206" t="s">
        <v>1534</v>
      </c>
      <c r="E143" s="200">
        <v>1000000000</v>
      </c>
      <c r="F143" s="200">
        <v>0</v>
      </c>
      <c r="G143" s="200">
        <v>1000000000</v>
      </c>
      <c r="H143" s="200">
        <f t="shared" si="2"/>
        <v>0</v>
      </c>
      <c r="I143" s="201">
        <v>7.6</v>
      </c>
      <c r="J143" s="202" t="s">
        <v>253</v>
      </c>
    </row>
    <row r="144" spans="1:10" ht="14.25" customHeight="1">
      <c r="A144" s="203"/>
      <c r="B144" s="204" t="s">
        <v>258</v>
      </c>
      <c r="C144" s="205" t="s">
        <v>189</v>
      </c>
      <c r="D144" s="206" t="s">
        <v>1535</v>
      </c>
      <c r="E144" s="200">
        <v>882000000</v>
      </c>
      <c r="F144" s="200">
        <v>0</v>
      </c>
      <c r="G144" s="200">
        <v>882000000</v>
      </c>
      <c r="H144" s="200">
        <f t="shared" si="2"/>
        <v>0</v>
      </c>
      <c r="I144" s="201">
        <v>7.6</v>
      </c>
      <c r="J144" s="202" t="s">
        <v>256</v>
      </c>
    </row>
    <row r="145" spans="1:10" ht="14.25" customHeight="1">
      <c r="A145" s="203"/>
      <c r="B145" s="204" t="s">
        <v>258</v>
      </c>
      <c r="C145" s="205" t="s">
        <v>185</v>
      </c>
      <c r="D145" s="206" t="s">
        <v>1536</v>
      </c>
      <c r="E145" s="200">
        <v>2385295998</v>
      </c>
      <c r="F145" s="200">
        <v>0</v>
      </c>
      <c r="G145" s="200">
        <v>2385295998</v>
      </c>
      <c r="H145" s="200">
        <f t="shared" si="2"/>
        <v>0</v>
      </c>
      <c r="I145" s="201">
        <v>7.5</v>
      </c>
      <c r="J145" s="202" t="s">
        <v>1530</v>
      </c>
    </row>
    <row r="146" spans="1:10" ht="14.25" customHeight="1">
      <c r="A146" s="203"/>
      <c r="B146" s="204" t="s">
        <v>259</v>
      </c>
      <c r="C146" s="205" t="s">
        <v>189</v>
      </c>
      <c r="D146" s="206" t="s">
        <v>1537</v>
      </c>
      <c r="E146" s="200">
        <v>3800000000</v>
      </c>
      <c r="F146" s="200">
        <v>0</v>
      </c>
      <c r="G146" s="200">
        <v>3800000000</v>
      </c>
      <c r="H146" s="200">
        <f t="shared" si="2"/>
        <v>0</v>
      </c>
      <c r="I146" s="201">
        <v>7.4</v>
      </c>
      <c r="J146" s="202" t="s">
        <v>144</v>
      </c>
    </row>
    <row r="147" spans="1:10" ht="14.25" customHeight="1">
      <c r="A147" s="215"/>
      <c r="B147" s="206" t="s">
        <v>145</v>
      </c>
      <c r="C147" s="205" t="s">
        <v>189</v>
      </c>
      <c r="D147" s="206" t="s">
        <v>146</v>
      </c>
      <c r="E147" s="200">
        <v>527000000</v>
      </c>
      <c r="F147" s="200">
        <v>0</v>
      </c>
      <c r="G147" s="200">
        <v>527000000</v>
      </c>
      <c r="H147" s="200">
        <f t="shared" si="2"/>
        <v>0</v>
      </c>
      <c r="I147" s="201">
        <v>7.4</v>
      </c>
      <c r="J147" s="202" t="s">
        <v>1544</v>
      </c>
    </row>
    <row r="148" spans="1:10" ht="14.25" customHeight="1">
      <c r="A148" s="203"/>
      <c r="B148" s="204" t="s">
        <v>259</v>
      </c>
      <c r="C148" s="205" t="s">
        <v>185</v>
      </c>
      <c r="D148" s="206" t="s">
        <v>1538</v>
      </c>
      <c r="E148" s="200">
        <v>2101596178</v>
      </c>
      <c r="F148" s="200">
        <v>0</v>
      </c>
      <c r="G148" s="200">
        <v>2101596178</v>
      </c>
      <c r="H148" s="200">
        <f t="shared" si="2"/>
        <v>0</v>
      </c>
      <c r="I148" s="201">
        <v>7.3</v>
      </c>
      <c r="J148" s="202" t="s">
        <v>1530</v>
      </c>
    </row>
    <row r="149" spans="1:10" ht="14.25" customHeight="1">
      <c r="A149" s="203"/>
      <c r="B149" s="301">
        <v>54</v>
      </c>
      <c r="C149" s="205" t="s">
        <v>163</v>
      </c>
      <c r="D149" s="206" t="s">
        <v>321</v>
      </c>
      <c r="E149" s="200">
        <v>1020295184</v>
      </c>
      <c r="F149" s="200">
        <v>0</v>
      </c>
      <c r="G149" s="200">
        <v>1020295184</v>
      </c>
      <c r="H149" s="200">
        <f t="shared" si="2"/>
        <v>0</v>
      </c>
      <c r="I149" s="201">
        <v>8</v>
      </c>
      <c r="J149" s="202" t="s">
        <v>1539</v>
      </c>
    </row>
    <row r="150" spans="1:10" ht="14.25" customHeight="1">
      <c r="A150" s="203"/>
      <c r="B150" s="301">
        <v>55</v>
      </c>
      <c r="C150" s="205" t="s">
        <v>163</v>
      </c>
      <c r="D150" s="206" t="s">
        <v>1540</v>
      </c>
      <c r="E150" s="200">
        <v>1862704002</v>
      </c>
      <c r="F150" s="200">
        <v>0</v>
      </c>
      <c r="G150" s="200">
        <v>1862704002</v>
      </c>
      <c r="H150" s="200">
        <f t="shared" si="2"/>
        <v>0</v>
      </c>
      <c r="I150" s="201">
        <v>7.5</v>
      </c>
      <c r="J150" s="202" t="s">
        <v>1539</v>
      </c>
    </row>
    <row r="151" spans="1:10" ht="14.25" customHeight="1">
      <c r="A151" s="215"/>
      <c r="B151" s="204">
        <v>56</v>
      </c>
      <c r="C151" s="205" t="s">
        <v>163</v>
      </c>
      <c r="D151" s="204" t="s">
        <v>1540</v>
      </c>
      <c r="E151" s="200">
        <v>1944403822</v>
      </c>
      <c r="F151" s="200">
        <v>0</v>
      </c>
      <c r="G151" s="200">
        <v>1944403822</v>
      </c>
      <c r="H151" s="200">
        <f t="shared" si="2"/>
        <v>0</v>
      </c>
      <c r="I151" s="201">
        <v>7.3</v>
      </c>
      <c r="J151" s="202" t="s">
        <v>1539</v>
      </c>
    </row>
    <row r="152" spans="1:10" ht="14.25" customHeight="1">
      <c r="A152" s="203"/>
      <c r="B152" s="302" t="s">
        <v>1541</v>
      </c>
      <c r="C152" s="205" t="s">
        <v>189</v>
      </c>
      <c r="D152" s="204" t="s">
        <v>1542</v>
      </c>
      <c r="E152" s="200">
        <v>215000000</v>
      </c>
      <c r="F152" s="200">
        <v>0</v>
      </c>
      <c r="G152" s="200">
        <v>215000000</v>
      </c>
      <c r="H152" s="200">
        <f t="shared" si="2"/>
        <v>0</v>
      </c>
      <c r="I152" s="201">
        <v>2.0499999999999998</v>
      </c>
      <c r="J152" s="202" t="s">
        <v>1543</v>
      </c>
    </row>
    <row r="153" spans="1:10" ht="14.25" customHeight="1">
      <c r="A153" s="203"/>
      <c r="B153" s="206">
        <v>17</v>
      </c>
      <c r="C153" s="205" t="s">
        <v>189</v>
      </c>
      <c r="D153" s="204" t="s">
        <v>1542</v>
      </c>
      <c r="E153" s="200">
        <v>634000000</v>
      </c>
      <c r="F153" s="200">
        <v>0</v>
      </c>
      <c r="G153" s="200">
        <v>634000000</v>
      </c>
      <c r="H153" s="200">
        <f t="shared" si="2"/>
        <v>0</v>
      </c>
      <c r="I153" s="201">
        <v>2.0499999999999998</v>
      </c>
      <c r="J153" s="202" t="s">
        <v>1543</v>
      </c>
    </row>
    <row r="154" spans="1:10" ht="14.25" customHeight="1">
      <c r="A154" s="203"/>
      <c r="B154" s="206">
        <v>17</v>
      </c>
      <c r="C154" s="205" t="s">
        <v>189</v>
      </c>
      <c r="D154" s="204" t="s">
        <v>1542</v>
      </c>
      <c r="E154" s="200">
        <v>596000000</v>
      </c>
      <c r="F154" s="200">
        <v>0</v>
      </c>
      <c r="G154" s="200">
        <v>596000000</v>
      </c>
      <c r="H154" s="200">
        <f t="shared" si="2"/>
        <v>0</v>
      </c>
      <c r="I154" s="201">
        <v>2.0499999999999998</v>
      </c>
      <c r="J154" s="202" t="s">
        <v>1543</v>
      </c>
    </row>
    <row r="155" spans="1:10" ht="14.25" customHeight="1">
      <c r="A155" s="203"/>
      <c r="B155" s="206">
        <v>17</v>
      </c>
      <c r="C155" s="205" t="s">
        <v>189</v>
      </c>
      <c r="D155" s="204" t="s">
        <v>1542</v>
      </c>
      <c r="E155" s="200">
        <v>981000000</v>
      </c>
      <c r="F155" s="200">
        <v>0</v>
      </c>
      <c r="G155" s="200">
        <v>981000000</v>
      </c>
      <c r="H155" s="200">
        <f t="shared" si="2"/>
        <v>0</v>
      </c>
      <c r="I155" s="201">
        <v>2.0499999999999998</v>
      </c>
      <c r="J155" s="202" t="s">
        <v>1544</v>
      </c>
    </row>
    <row r="156" spans="1:10" ht="14.25" customHeight="1">
      <c r="A156" s="203"/>
      <c r="B156" s="206">
        <v>18</v>
      </c>
      <c r="C156" s="205" t="s">
        <v>189</v>
      </c>
      <c r="D156" s="204" t="s">
        <v>1545</v>
      </c>
      <c r="E156" s="200">
        <v>26300000</v>
      </c>
      <c r="F156" s="200">
        <v>0</v>
      </c>
      <c r="G156" s="200">
        <v>26300000</v>
      </c>
      <c r="H156" s="200">
        <f t="shared" si="2"/>
        <v>0</v>
      </c>
      <c r="I156" s="201">
        <v>2.5499999999999998</v>
      </c>
      <c r="J156" s="202" t="s">
        <v>1546</v>
      </c>
    </row>
    <row r="157" spans="1:10" ht="14.25" customHeight="1">
      <c r="A157" s="203"/>
      <c r="B157" s="206">
        <v>18</v>
      </c>
      <c r="C157" s="205" t="s">
        <v>189</v>
      </c>
      <c r="D157" s="204" t="s">
        <v>1545</v>
      </c>
      <c r="E157" s="200">
        <v>201100000</v>
      </c>
      <c r="F157" s="200">
        <v>0</v>
      </c>
      <c r="G157" s="200">
        <v>201100000</v>
      </c>
      <c r="H157" s="200">
        <f t="shared" si="2"/>
        <v>0</v>
      </c>
      <c r="I157" s="201">
        <v>2.5499999999999998</v>
      </c>
      <c r="J157" s="202" t="s">
        <v>1546</v>
      </c>
    </row>
    <row r="158" spans="1:10" ht="14.25" customHeight="1">
      <c r="A158" s="203"/>
      <c r="B158" s="206">
        <v>18</v>
      </c>
      <c r="C158" s="205" t="s">
        <v>189</v>
      </c>
      <c r="D158" s="204" t="s">
        <v>351</v>
      </c>
      <c r="E158" s="200">
        <v>209100000</v>
      </c>
      <c r="F158" s="200">
        <v>0</v>
      </c>
      <c r="G158" s="200">
        <v>209100000</v>
      </c>
      <c r="H158" s="200">
        <f t="shared" si="2"/>
        <v>0</v>
      </c>
      <c r="I158" s="201">
        <v>2.5499999999999998</v>
      </c>
      <c r="J158" s="202" t="s">
        <v>256</v>
      </c>
    </row>
    <row r="159" spans="1:10" ht="14.25" customHeight="1">
      <c r="A159" s="203"/>
      <c r="B159" s="206">
        <v>19</v>
      </c>
      <c r="C159" s="205" t="s">
        <v>1547</v>
      </c>
      <c r="D159" s="204" t="s">
        <v>1548</v>
      </c>
      <c r="E159" s="200">
        <v>544100000</v>
      </c>
      <c r="F159" s="200">
        <v>0</v>
      </c>
      <c r="G159" s="200">
        <v>544100000</v>
      </c>
      <c r="H159" s="200">
        <f t="shared" si="2"/>
        <v>0</v>
      </c>
      <c r="I159" s="201">
        <v>2.4</v>
      </c>
      <c r="J159" s="202" t="s">
        <v>1549</v>
      </c>
    </row>
    <row r="160" spans="1:10" ht="14.25" customHeight="1">
      <c r="A160" s="203"/>
      <c r="B160" s="206">
        <v>19</v>
      </c>
      <c r="C160" s="205" t="s">
        <v>1547</v>
      </c>
      <c r="D160" s="204" t="s">
        <v>1548</v>
      </c>
      <c r="E160" s="200">
        <v>92100000</v>
      </c>
      <c r="F160" s="200">
        <v>0</v>
      </c>
      <c r="G160" s="200">
        <v>92100000</v>
      </c>
      <c r="H160" s="200">
        <f t="shared" si="2"/>
        <v>0</v>
      </c>
      <c r="I160" s="201">
        <v>2.4</v>
      </c>
      <c r="J160" s="202" t="s">
        <v>1550</v>
      </c>
    </row>
    <row r="161" spans="1:10" ht="17.25" customHeight="1">
      <c r="A161" s="219" t="s">
        <v>1341</v>
      </c>
      <c r="B161" s="220"/>
      <c r="C161" s="221"/>
      <c r="D161" s="222"/>
      <c r="E161" s="245">
        <f>SUM(E79:E111,E116:E160)</f>
        <v>124568706889</v>
      </c>
      <c r="F161" s="245">
        <f>SUM(F79:F111,F116:F160)</f>
        <v>0</v>
      </c>
      <c r="G161" s="245">
        <f>SUM(G79:G111,G116:G160)</f>
        <v>124568706889</v>
      </c>
      <c r="H161" s="245">
        <f>SUM(H79:H111,H116:H160)</f>
        <v>0</v>
      </c>
      <c r="I161" s="223"/>
      <c r="J161" s="224"/>
    </row>
    <row r="162" spans="1:10" ht="14.25" customHeight="1">
      <c r="A162" s="215" t="s">
        <v>1551</v>
      </c>
      <c r="B162" s="206" t="s">
        <v>1552</v>
      </c>
      <c r="C162" s="263" t="s">
        <v>184</v>
      </c>
      <c r="D162" s="206" t="s">
        <v>1553</v>
      </c>
      <c r="E162" s="200">
        <v>60000000</v>
      </c>
      <c r="F162" s="200">
        <v>0</v>
      </c>
      <c r="G162" s="200">
        <v>60000000</v>
      </c>
      <c r="H162" s="200">
        <f t="shared" si="2"/>
        <v>0</v>
      </c>
      <c r="I162" s="201">
        <v>7.1</v>
      </c>
      <c r="J162" s="202" t="s">
        <v>209</v>
      </c>
    </row>
    <row r="163" spans="1:10" ht="14.25" customHeight="1">
      <c r="A163" s="203" t="s">
        <v>1554</v>
      </c>
      <c r="B163" s="204">
        <v>45</v>
      </c>
      <c r="C163" s="205" t="s">
        <v>185</v>
      </c>
      <c r="D163" s="206" t="s">
        <v>1555</v>
      </c>
      <c r="E163" s="200">
        <v>340000000</v>
      </c>
      <c r="F163" s="200">
        <v>0</v>
      </c>
      <c r="G163" s="200">
        <v>340000000</v>
      </c>
      <c r="H163" s="200">
        <f t="shared" si="2"/>
        <v>0</v>
      </c>
      <c r="I163" s="201">
        <v>6.5</v>
      </c>
      <c r="J163" s="202" t="s">
        <v>235</v>
      </c>
    </row>
    <row r="164" spans="1:10" ht="14.25" customHeight="1">
      <c r="A164" s="203"/>
      <c r="B164" s="204">
        <v>46</v>
      </c>
      <c r="C164" s="205" t="s">
        <v>189</v>
      </c>
      <c r="D164" s="206" t="s">
        <v>1556</v>
      </c>
      <c r="E164" s="200">
        <v>100000000</v>
      </c>
      <c r="F164" s="200">
        <v>0</v>
      </c>
      <c r="G164" s="200">
        <v>100000000</v>
      </c>
      <c r="H164" s="200">
        <f t="shared" si="2"/>
        <v>0</v>
      </c>
      <c r="I164" s="201">
        <v>6.7</v>
      </c>
      <c r="J164" s="202" t="s">
        <v>237</v>
      </c>
    </row>
    <row r="165" spans="1:10" ht="14.25" customHeight="1">
      <c r="A165" s="203"/>
      <c r="B165" s="204">
        <v>46</v>
      </c>
      <c r="C165" s="205" t="s">
        <v>189</v>
      </c>
      <c r="D165" s="206" t="s">
        <v>1557</v>
      </c>
      <c r="E165" s="200">
        <v>107000000</v>
      </c>
      <c r="F165" s="200">
        <v>0</v>
      </c>
      <c r="G165" s="200">
        <v>107000000</v>
      </c>
      <c r="H165" s="200">
        <f t="shared" si="2"/>
        <v>0</v>
      </c>
      <c r="I165" s="201">
        <v>6.7</v>
      </c>
      <c r="J165" s="202" t="s">
        <v>237</v>
      </c>
    </row>
    <row r="166" spans="1:10" ht="14.25" customHeight="1">
      <c r="A166" s="203"/>
      <c r="B166" s="204">
        <v>46</v>
      </c>
      <c r="C166" s="205" t="s">
        <v>185</v>
      </c>
      <c r="D166" s="206" t="s">
        <v>331</v>
      </c>
      <c r="E166" s="200">
        <v>238000000</v>
      </c>
      <c r="F166" s="200">
        <v>0</v>
      </c>
      <c r="G166" s="200">
        <v>238000000</v>
      </c>
      <c r="H166" s="200">
        <f t="shared" si="2"/>
        <v>0</v>
      </c>
      <c r="I166" s="201">
        <v>6.5</v>
      </c>
      <c r="J166" s="202" t="s">
        <v>239</v>
      </c>
    </row>
    <row r="167" spans="1:10" ht="14.25" customHeight="1">
      <c r="A167" s="203"/>
      <c r="B167" s="204">
        <v>46</v>
      </c>
      <c r="C167" s="205" t="s">
        <v>180</v>
      </c>
      <c r="D167" s="206" t="s">
        <v>331</v>
      </c>
      <c r="E167" s="200">
        <v>250000000</v>
      </c>
      <c r="F167" s="200">
        <v>0</v>
      </c>
      <c r="G167" s="200">
        <v>250000000</v>
      </c>
      <c r="H167" s="200">
        <f t="shared" si="2"/>
        <v>0</v>
      </c>
      <c r="I167" s="201">
        <v>6.8</v>
      </c>
      <c r="J167" s="202" t="s">
        <v>212</v>
      </c>
    </row>
    <row r="168" spans="1:10" ht="14.25" customHeight="1">
      <c r="A168" s="203"/>
      <c r="B168" s="204">
        <v>47</v>
      </c>
      <c r="C168" s="205" t="s">
        <v>189</v>
      </c>
      <c r="D168" s="206" t="s">
        <v>332</v>
      </c>
      <c r="E168" s="200">
        <v>280000000</v>
      </c>
      <c r="F168" s="200">
        <v>0</v>
      </c>
      <c r="G168" s="200">
        <v>280000000</v>
      </c>
      <c r="H168" s="200">
        <f t="shared" si="2"/>
        <v>0</v>
      </c>
      <c r="I168" s="201">
        <v>6.4</v>
      </c>
      <c r="J168" s="202" t="s">
        <v>219</v>
      </c>
    </row>
    <row r="169" spans="1:10" ht="14.25" customHeight="1" thickBot="1">
      <c r="A169" s="269"/>
      <c r="B169" s="285">
        <v>47</v>
      </c>
      <c r="C169" s="286" t="s">
        <v>180</v>
      </c>
      <c r="D169" s="287" t="s">
        <v>333</v>
      </c>
      <c r="E169" s="268">
        <v>340000000</v>
      </c>
      <c r="F169" s="268">
        <v>0</v>
      </c>
      <c r="G169" s="268">
        <v>340000000</v>
      </c>
      <c r="H169" s="200">
        <f t="shared" si="2"/>
        <v>0</v>
      </c>
      <c r="I169" s="288">
        <v>7</v>
      </c>
      <c r="J169" s="298" t="s">
        <v>188</v>
      </c>
    </row>
    <row r="170" spans="1:10" ht="9.75" customHeight="1" thickBot="1">
      <c r="A170" s="257"/>
      <c r="B170" s="272"/>
      <c r="C170" s="257"/>
      <c r="D170" s="258"/>
      <c r="E170" s="259"/>
      <c r="F170" s="259"/>
      <c r="G170" s="259"/>
      <c r="H170" s="259"/>
      <c r="I170" s="260"/>
      <c r="J170" s="270"/>
    </row>
    <row r="171" spans="1:10">
      <c r="A171" s="479" t="s">
        <v>1558</v>
      </c>
      <c r="B171" s="481" t="s">
        <v>311</v>
      </c>
      <c r="C171" s="483" t="s">
        <v>1559</v>
      </c>
      <c r="D171" s="481" t="s">
        <v>312</v>
      </c>
      <c r="E171" s="485" t="s">
        <v>1560</v>
      </c>
      <c r="F171" s="487" t="s">
        <v>1561</v>
      </c>
      <c r="G171" s="493"/>
      <c r="H171" s="489" t="s">
        <v>174</v>
      </c>
      <c r="I171" s="491" t="s">
        <v>1562</v>
      </c>
      <c r="J171" s="477" t="s">
        <v>313</v>
      </c>
    </row>
    <row r="172" spans="1:10">
      <c r="A172" s="480"/>
      <c r="B172" s="482"/>
      <c r="C172" s="484"/>
      <c r="D172" s="482"/>
      <c r="E172" s="486"/>
      <c r="F172" s="207" t="s">
        <v>176</v>
      </c>
      <c r="G172" s="207" t="s">
        <v>305</v>
      </c>
      <c r="H172" s="490"/>
      <c r="I172" s="492"/>
      <c r="J172" s="478"/>
    </row>
    <row r="173" spans="1:10">
      <c r="A173" s="209"/>
      <c r="B173" s="210"/>
      <c r="C173" s="210"/>
      <c r="D173" s="211" t="s">
        <v>177</v>
      </c>
      <c r="E173" s="212" t="s">
        <v>178</v>
      </c>
      <c r="F173" s="212" t="s">
        <v>172</v>
      </c>
      <c r="G173" s="212" t="s">
        <v>178</v>
      </c>
      <c r="H173" s="212" t="s">
        <v>178</v>
      </c>
      <c r="I173" s="213" t="s">
        <v>1563</v>
      </c>
      <c r="J173" s="214" t="s">
        <v>175</v>
      </c>
    </row>
    <row r="174" spans="1:10" ht="14.25" customHeight="1">
      <c r="A174" s="215" t="s">
        <v>1564</v>
      </c>
      <c r="B174" s="204" t="s">
        <v>340</v>
      </c>
      <c r="C174" s="205" t="s">
        <v>185</v>
      </c>
      <c r="D174" s="206" t="s">
        <v>692</v>
      </c>
      <c r="E174" s="200">
        <v>500000000</v>
      </c>
      <c r="F174" s="200">
        <v>0</v>
      </c>
      <c r="G174" s="200">
        <v>500000000</v>
      </c>
      <c r="H174" s="200">
        <f t="shared" ref="H174:H226" si="3">E174-G174</f>
        <v>0</v>
      </c>
      <c r="I174" s="201">
        <v>6.75</v>
      </c>
      <c r="J174" s="202" t="s">
        <v>242</v>
      </c>
    </row>
    <row r="175" spans="1:10" ht="14.25" customHeight="1">
      <c r="A175" s="203" t="s">
        <v>1565</v>
      </c>
      <c r="B175" s="204">
        <v>48</v>
      </c>
      <c r="C175" s="205" t="s">
        <v>189</v>
      </c>
      <c r="D175" s="206" t="s">
        <v>1566</v>
      </c>
      <c r="E175" s="200">
        <v>300000000</v>
      </c>
      <c r="F175" s="200">
        <v>0</v>
      </c>
      <c r="G175" s="200">
        <v>300000000</v>
      </c>
      <c r="H175" s="200">
        <f t="shared" si="3"/>
        <v>0</v>
      </c>
      <c r="I175" s="201">
        <v>7.7</v>
      </c>
      <c r="J175" s="202" t="s">
        <v>228</v>
      </c>
    </row>
    <row r="176" spans="1:10" ht="14.25" customHeight="1">
      <c r="A176" s="203"/>
      <c r="B176" s="204">
        <v>48</v>
      </c>
      <c r="C176" s="205" t="s">
        <v>189</v>
      </c>
      <c r="D176" s="206" t="s">
        <v>1485</v>
      </c>
      <c r="E176" s="200">
        <v>140000000</v>
      </c>
      <c r="F176" s="200">
        <v>0</v>
      </c>
      <c r="G176" s="200">
        <v>140000000</v>
      </c>
      <c r="H176" s="200">
        <f t="shared" si="3"/>
        <v>0</v>
      </c>
      <c r="I176" s="201">
        <v>7.7</v>
      </c>
      <c r="J176" s="202" t="s">
        <v>228</v>
      </c>
    </row>
    <row r="177" spans="1:10" ht="14.25" customHeight="1">
      <c r="A177" s="203"/>
      <c r="B177" s="204">
        <v>48</v>
      </c>
      <c r="C177" s="263" t="s">
        <v>180</v>
      </c>
      <c r="D177" s="206" t="s">
        <v>1567</v>
      </c>
      <c r="E177" s="200">
        <v>379000000</v>
      </c>
      <c r="F177" s="200">
        <v>0</v>
      </c>
      <c r="G177" s="200">
        <v>379000000</v>
      </c>
      <c r="H177" s="200">
        <f t="shared" si="3"/>
        <v>0</v>
      </c>
      <c r="I177" s="201">
        <v>8.5</v>
      </c>
      <c r="J177" s="202" t="s">
        <v>194</v>
      </c>
    </row>
    <row r="178" spans="1:10" ht="14.25" customHeight="1">
      <c r="A178" s="203"/>
      <c r="B178" s="204">
        <v>48</v>
      </c>
      <c r="C178" s="205" t="s">
        <v>185</v>
      </c>
      <c r="D178" s="206" t="s">
        <v>1488</v>
      </c>
      <c r="E178" s="200">
        <v>981000000</v>
      </c>
      <c r="F178" s="200">
        <v>0</v>
      </c>
      <c r="G178" s="200">
        <v>981000000</v>
      </c>
      <c r="H178" s="200">
        <f t="shared" si="3"/>
        <v>0</v>
      </c>
      <c r="I178" s="201">
        <v>8</v>
      </c>
      <c r="J178" s="202" t="s">
        <v>244</v>
      </c>
    </row>
    <row r="179" spans="1:10" ht="14.25" customHeight="1">
      <c r="A179" s="203"/>
      <c r="B179" s="204">
        <v>49</v>
      </c>
      <c r="C179" s="205" t="s">
        <v>189</v>
      </c>
      <c r="D179" s="206" t="s">
        <v>1568</v>
      </c>
      <c r="E179" s="200">
        <v>150000000</v>
      </c>
      <c r="F179" s="200">
        <v>0</v>
      </c>
      <c r="G179" s="200">
        <v>150000000</v>
      </c>
      <c r="H179" s="200">
        <f t="shared" si="3"/>
        <v>0</v>
      </c>
      <c r="I179" s="201">
        <v>8.1999999999999993</v>
      </c>
      <c r="J179" s="202" t="s">
        <v>242</v>
      </c>
    </row>
    <row r="180" spans="1:10" ht="14.25" customHeight="1">
      <c r="A180" s="203"/>
      <c r="B180" s="204">
        <v>49</v>
      </c>
      <c r="C180" s="263" t="s">
        <v>180</v>
      </c>
      <c r="D180" s="206" t="s">
        <v>1569</v>
      </c>
      <c r="E180" s="200">
        <v>150000000</v>
      </c>
      <c r="F180" s="200">
        <v>0</v>
      </c>
      <c r="G180" s="200">
        <v>150000000</v>
      </c>
      <c r="H180" s="200">
        <f t="shared" si="3"/>
        <v>0</v>
      </c>
      <c r="I180" s="201">
        <v>9.1</v>
      </c>
      <c r="J180" s="202" t="s">
        <v>198</v>
      </c>
    </row>
    <row r="181" spans="1:10" ht="14.25" customHeight="1">
      <c r="A181" s="203"/>
      <c r="B181" s="204">
        <v>49</v>
      </c>
      <c r="C181" s="205" t="s">
        <v>185</v>
      </c>
      <c r="D181" s="206" t="s">
        <v>1570</v>
      </c>
      <c r="E181" s="200">
        <v>700000000</v>
      </c>
      <c r="F181" s="200">
        <v>0</v>
      </c>
      <c r="G181" s="200">
        <v>700000000</v>
      </c>
      <c r="H181" s="200">
        <f t="shared" si="3"/>
        <v>0</v>
      </c>
      <c r="I181" s="201">
        <v>8</v>
      </c>
      <c r="J181" s="202" t="s">
        <v>244</v>
      </c>
    </row>
    <row r="182" spans="1:10" ht="14.25" customHeight="1">
      <c r="A182" s="203"/>
      <c r="B182" s="204">
        <v>50</v>
      </c>
      <c r="C182" s="205" t="s">
        <v>189</v>
      </c>
      <c r="D182" s="206" t="s">
        <v>1571</v>
      </c>
      <c r="E182" s="200">
        <v>300000000</v>
      </c>
      <c r="F182" s="200">
        <v>0</v>
      </c>
      <c r="G182" s="200">
        <v>300000000</v>
      </c>
      <c r="H182" s="200">
        <f t="shared" si="3"/>
        <v>0</v>
      </c>
      <c r="I182" s="201">
        <v>7.7</v>
      </c>
      <c r="J182" s="202" t="s">
        <v>246</v>
      </c>
    </row>
    <row r="183" spans="1:10" ht="14.25" customHeight="1">
      <c r="A183" s="203"/>
      <c r="B183" s="204">
        <v>50</v>
      </c>
      <c r="C183" s="205" t="s">
        <v>185</v>
      </c>
      <c r="D183" s="206" t="s">
        <v>1572</v>
      </c>
      <c r="E183" s="200">
        <v>700000000</v>
      </c>
      <c r="F183" s="200">
        <v>0</v>
      </c>
      <c r="G183" s="200">
        <v>700000000</v>
      </c>
      <c r="H183" s="200">
        <f t="shared" si="3"/>
        <v>0</v>
      </c>
      <c r="I183" s="201">
        <v>7.5</v>
      </c>
      <c r="J183" s="202" t="s">
        <v>249</v>
      </c>
    </row>
    <row r="184" spans="1:10" ht="14.25" customHeight="1">
      <c r="A184" s="203"/>
      <c r="B184" s="204">
        <v>51</v>
      </c>
      <c r="C184" s="205" t="s">
        <v>189</v>
      </c>
      <c r="D184" s="206" t="s">
        <v>1573</v>
      </c>
      <c r="E184" s="200">
        <v>400000000</v>
      </c>
      <c r="F184" s="200">
        <v>0</v>
      </c>
      <c r="G184" s="200">
        <v>400000000</v>
      </c>
      <c r="H184" s="200">
        <f t="shared" si="3"/>
        <v>0</v>
      </c>
      <c r="I184" s="201">
        <v>6.95</v>
      </c>
      <c r="J184" s="202" t="s">
        <v>244</v>
      </c>
    </row>
    <row r="185" spans="1:10" ht="14.25" customHeight="1">
      <c r="A185" s="203"/>
      <c r="B185" s="204">
        <v>51</v>
      </c>
      <c r="C185" s="205" t="s">
        <v>189</v>
      </c>
      <c r="D185" s="206" t="s">
        <v>1574</v>
      </c>
      <c r="E185" s="200">
        <v>440000000</v>
      </c>
      <c r="F185" s="200">
        <v>0</v>
      </c>
      <c r="G185" s="200">
        <v>440000000</v>
      </c>
      <c r="H185" s="200">
        <f t="shared" si="3"/>
        <v>0</v>
      </c>
      <c r="I185" s="201">
        <v>6.7</v>
      </c>
      <c r="J185" s="202" t="s">
        <v>247</v>
      </c>
    </row>
    <row r="186" spans="1:10" ht="14.25" customHeight="1">
      <c r="A186" s="203"/>
      <c r="B186" s="204">
        <v>52</v>
      </c>
      <c r="C186" s="205" t="s">
        <v>189</v>
      </c>
      <c r="D186" s="206" t="s">
        <v>1575</v>
      </c>
      <c r="E186" s="200">
        <v>400000000</v>
      </c>
      <c r="F186" s="200">
        <v>0</v>
      </c>
      <c r="G186" s="200">
        <v>400000000</v>
      </c>
      <c r="H186" s="200">
        <f t="shared" si="3"/>
        <v>0</v>
      </c>
      <c r="I186" s="201">
        <v>6.25</v>
      </c>
      <c r="J186" s="202" t="s">
        <v>249</v>
      </c>
    </row>
    <row r="187" spans="1:10" ht="14.25" customHeight="1">
      <c r="A187" s="203"/>
      <c r="B187" s="204">
        <v>53</v>
      </c>
      <c r="C187" s="205" t="s">
        <v>189</v>
      </c>
      <c r="D187" s="206" t="s">
        <v>1576</v>
      </c>
      <c r="E187" s="200">
        <v>209000000</v>
      </c>
      <c r="F187" s="200">
        <v>0</v>
      </c>
      <c r="G187" s="200">
        <v>209000000</v>
      </c>
      <c r="H187" s="200">
        <f t="shared" si="3"/>
        <v>0</v>
      </c>
      <c r="I187" s="201">
        <v>7.25</v>
      </c>
      <c r="J187" s="202" t="s">
        <v>251</v>
      </c>
    </row>
    <row r="188" spans="1:10" ht="14.25" customHeight="1">
      <c r="A188" s="203"/>
      <c r="B188" s="204">
        <v>54</v>
      </c>
      <c r="C188" s="205" t="s">
        <v>189</v>
      </c>
      <c r="D188" s="206" t="s">
        <v>1577</v>
      </c>
      <c r="E188" s="200">
        <v>44000000</v>
      </c>
      <c r="F188" s="200">
        <v>0</v>
      </c>
      <c r="G188" s="200">
        <v>44000000</v>
      </c>
      <c r="H188" s="200">
        <f t="shared" si="3"/>
        <v>0</v>
      </c>
      <c r="I188" s="201">
        <v>7.25</v>
      </c>
      <c r="J188" s="202" t="s">
        <v>251</v>
      </c>
    </row>
    <row r="189" spans="1:10" ht="14.25" customHeight="1">
      <c r="A189" s="203"/>
      <c r="B189" s="204">
        <v>54</v>
      </c>
      <c r="C189" s="205" t="s">
        <v>189</v>
      </c>
      <c r="D189" s="206" t="s">
        <v>1526</v>
      </c>
      <c r="E189" s="200">
        <v>40000000</v>
      </c>
      <c r="F189" s="200">
        <v>0</v>
      </c>
      <c r="G189" s="200">
        <v>40000000</v>
      </c>
      <c r="H189" s="200">
        <f t="shared" si="3"/>
        <v>0</v>
      </c>
      <c r="I189" s="201">
        <v>8.6</v>
      </c>
      <c r="J189" s="202" t="s">
        <v>1527</v>
      </c>
    </row>
    <row r="190" spans="1:10" ht="14.25" customHeight="1">
      <c r="A190" s="203"/>
      <c r="B190" s="204">
        <v>55</v>
      </c>
      <c r="C190" s="205" t="s">
        <v>189</v>
      </c>
      <c r="D190" s="206" t="s">
        <v>1578</v>
      </c>
      <c r="E190" s="200">
        <v>30000000</v>
      </c>
      <c r="F190" s="200">
        <v>0</v>
      </c>
      <c r="G190" s="200">
        <v>30000000</v>
      </c>
      <c r="H190" s="200">
        <f t="shared" si="3"/>
        <v>0</v>
      </c>
      <c r="I190" s="201">
        <v>8.1</v>
      </c>
      <c r="J190" s="202" t="s">
        <v>1527</v>
      </c>
    </row>
    <row r="191" spans="1:10" ht="14.25" customHeight="1">
      <c r="A191" s="203"/>
      <c r="B191" s="204">
        <v>55</v>
      </c>
      <c r="C191" s="205" t="s">
        <v>189</v>
      </c>
      <c r="D191" s="206" t="s">
        <v>1690</v>
      </c>
      <c r="E191" s="200">
        <v>20000000</v>
      </c>
      <c r="F191" s="200">
        <v>0</v>
      </c>
      <c r="G191" s="200">
        <v>20000000</v>
      </c>
      <c r="H191" s="200">
        <f t="shared" si="3"/>
        <v>0</v>
      </c>
      <c r="I191" s="201">
        <v>7.4</v>
      </c>
      <c r="J191" s="202" t="s">
        <v>1656</v>
      </c>
    </row>
    <row r="192" spans="1:10" ht="14.25" customHeight="1">
      <c r="A192" s="203"/>
      <c r="B192" s="206" t="s">
        <v>147</v>
      </c>
      <c r="C192" s="205" t="s">
        <v>189</v>
      </c>
      <c r="D192" s="206" t="s">
        <v>148</v>
      </c>
      <c r="E192" s="200">
        <v>8000000</v>
      </c>
      <c r="F192" s="200">
        <v>0</v>
      </c>
      <c r="G192" s="200">
        <v>8000000</v>
      </c>
      <c r="H192" s="200">
        <f t="shared" si="3"/>
        <v>0</v>
      </c>
      <c r="I192" s="201">
        <v>2.0499999999999998</v>
      </c>
      <c r="J192" s="202" t="s">
        <v>1656</v>
      </c>
    </row>
    <row r="193" spans="1:10" ht="14.25" customHeight="1">
      <c r="A193" s="203"/>
      <c r="B193" s="206">
        <v>17</v>
      </c>
      <c r="C193" s="205" t="s">
        <v>189</v>
      </c>
      <c r="D193" s="206" t="s">
        <v>349</v>
      </c>
      <c r="E193" s="200">
        <v>8000000</v>
      </c>
      <c r="F193" s="200">
        <v>0</v>
      </c>
      <c r="G193" s="200">
        <v>8000000</v>
      </c>
      <c r="H193" s="200">
        <f t="shared" si="3"/>
        <v>0</v>
      </c>
      <c r="I193" s="201">
        <v>2.0499999999999998</v>
      </c>
      <c r="J193" s="202" t="s">
        <v>260</v>
      </c>
    </row>
    <row r="194" spans="1:10" ht="14.25" customHeight="1">
      <c r="A194" s="203"/>
      <c r="B194" s="206">
        <v>19</v>
      </c>
      <c r="C194" s="205" t="s">
        <v>1579</v>
      </c>
      <c r="D194" s="204" t="s">
        <v>1580</v>
      </c>
      <c r="E194" s="200">
        <v>2900000</v>
      </c>
      <c r="F194" s="200">
        <v>0</v>
      </c>
      <c r="G194" s="200">
        <v>2900000</v>
      </c>
      <c r="H194" s="200">
        <f t="shared" si="3"/>
        <v>0</v>
      </c>
      <c r="I194" s="201">
        <v>2.4</v>
      </c>
      <c r="J194" s="202" t="s">
        <v>1581</v>
      </c>
    </row>
    <row r="195" spans="1:10" ht="17.25" customHeight="1">
      <c r="A195" s="219" t="s">
        <v>1582</v>
      </c>
      <c r="B195" s="220" t="s">
        <v>173</v>
      </c>
      <c r="C195" s="221" t="s">
        <v>173</v>
      </c>
      <c r="D195" s="222" t="s">
        <v>173</v>
      </c>
      <c r="E195" s="245">
        <f>SUM(E162:E169,E174:E194)</f>
        <v>7616900000</v>
      </c>
      <c r="F195" s="245">
        <f>SUM(F162:F169,F174:F194)</f>
        <v>0</v>
      </c>
      <c r="G195" s="245">
        <f>SUM(G162:G169,G174:G194)</f>
        <v>7616900000</v>
      </c>
      <c r="H195" s="245">
        <f>SUM(H162:H169,H174:H194)</f>
        <v>0</v>
      </c>
      <c r="I195" s="223"/>
      <c r="J195" s="224" t="s">
        <v>173</v>
      </c>
    </row>
    <row r="196" spans="1:10" ht="14.25" customHeight="1">
      <c r="A196" s="215" t="s">
        <v>1583</v>
      </c>
      <c r="B196" s="206" t="s">
        <v>149</v>
      </c>
      <c r="C196" s="205" t="s">
        <v>189</v>
      </c>
      <c r="D196" s="206" t="s">
        <v>150</v>
      </c>
      <c r="E196" s="200">
        <v>1473000000</v>
      </c>
      <c r="F196" s="250">
        <v>0</v>
      </c>
      <c r="G196" s="200">
        <v>1473000000</v>
      </c>
      <c r="H196" s="200">
        <f t="shared" si="3"/>
        <v>0</v>
      </c>
      <c r="I196" s="201">
        <v>7.4</v>
      </c>
      <c r="J196" s="216" t="s">
        <v>260</v>
      </c>
    </row>
    <row r="197" spans="1:10" ht="14.25" customHeight="1">
      <c r="A197" s="203" t="s">
        <v>182</v>
      </c>
      <c r="B197" s="204">
        <v>57</v>
      </c>
      <c r="C197" s="205" t="s">
        <v>189</v>
      </c>
      <c r="D197" s="206" t="s">
        <v>1584</v>
      </c>
      <c r="E197" s="200">
        <v>1848000000</v>
      </c>
      <c r="F197" s="200">
        <v>0</v>
      </c>
      <c r="G197" s="200">
        <v>1848000000</v>
      </c>
      <c r="H197" s="200">
        <f t="shared" si="3"/>
        <v>0</v>
      </c>
      <c r="I197" s="201">
        <v>7.4</v>
      </c>
      <c r="J197" s="216" t="s">
        <v>260</v>
      </c>
    </row>
    <row r="198" spans="1:10" ht="14.25" customHeight="1">
      <c r="A198" s="299"/>
      <c r="B198" s="204">
        <v>57</v>
      </c>
      <c r="C198" s="205" t="s">
        <v>185</v>
      </c>
      <c r="D198" s="206" t="s">
        <v>1585</v>
      </c>
      <c r="E198" s="200">
        <v>2386413639</v>
      </c>
      <c r="F198" s="200">
        <v>0</v>
      </c>
      <c r="G198" s="200">
        <v>2386413639</v>
      </c>
      <c r="H198" s="200">
        <f t="shared" si="3"/>
        <v>0</v>
      </c>
      <c r="I198" s="201">
        <v>7.3</v>
      </c>
      <c r="J198" s="202" t="s">
        <v>1530</v>
      </c>
    </row>
    <row r="199" spans="1:10" ht="14.25" customHeight="1">
      <c r="A199" s="203"/>
      <c r="B199" s="204">
        <v>58</v>
      </c>
      <c r="C199" s="205" t="s">
        <v>189</v>
      </c>
      <c r="D199" s="206" t="s">
        <v>1586</v>
      </c>
      <c r="E199" s="200">
        <v>1485000000</v>
      </c>
      <c r="F199" s="200">
        <v>0</v>
      </c>
      <c r="G199" s="200">
        <v>1485000000</v>
      </c>
      <c r="H199" s="200">
        <f t="shared" si="3"/>
        <v>0</v>
      </c>
      <c r="I199" s="201">
        <v>7.2</v>
      </c>
      <c r="J199" s="202" t="s">
        <v>263</v>
      </c>
    </row>
    <row r="200" spans="1:10" ht="14.25" customHeight="1">
      <c r="A200" s="203"/>
      <c r="B200" s="204">
        <v>58</v>
      </c>
      <c r="C200" s="205" t="s">
        <v>189</v>
      </c>
      <c r="D200" s="206" t="s">
        <v>1587</v>
      </c>
      <c r="E200" s="200">
        <v>1370000000</v>
      </c>
      <c r="F200" s="200">
        <v>0</v>
      </c>
      <c r="G200" s="200">
        <v>1370000000</v>
      </c>
      <c r="H200" s="200">
        <f t="shared" si="3"/>
        <v>0</v>
      </c>
      <c r="I200" s="201">
        <v>7.2</v>
      </c>
      <c r="J200" s="202" t="s">
        <v>1588</v>
      </c>
    </row>
    <row r="201" spans="1:10" ht="14.25" customHeight="1">
      <c r="A201" s="203"/>
      <c r="B201" s="204">
        <v>58</v>
      </c>
      <c r="C201" s="205" t="s">
        <v>189</v>
      </c>
      <c r="D201" s="206" t="s">
        <v>1589</v>
      </c>
      <c r="E201" s="200">
        <v>763000000</v>
      </c>
      <c r="F201" s="200">
        <v>0</v>
      </c>
      <c r="G201" s="200">
        <v>763000000</v>
      </c>
      <c r="H201" s="200">
        <f t="shared" si="3"/>
        <v>0</v>
      </c>
      <c r="I201" s="201">
        <v>7.2</v>
      </c>
      <c r="J201" s="202" t="s">
        <v>264</v>
      </c>
    </row>
    <row r="202" spans="1:10" ht="14.25" customHeight="1">
      <c r="A202" s="203"/>
      <c r="B202" s="204">
        <v>58</v>
      </c>
      <c r="C202" s="205" t="s">
        <v>185</v>
      </c>
      <c r="D202" s="206" t="s">
        <v>1590</v>
      </c>
      <c r="E202" s="200">
        <v>301471</v>
      </c>
      <c r="F202" s="200">
        <v>0</v>
      </c>
      <c r="G202" s="200">
        <v>301471</v>
      </c>
      <c r="H202" s="200">
        <f t="shared" si="3"/>
        <v>0</v>
      </c>
      <c r="I202" s="201">
        <v>7.1</v>
      </c>
      <c r="J202" s="202" t="s">
        <v>210</v>
      </c>
    </row>
    <row r="203" spans="1:10" ht="14.25" customHeight="1">
      <c r="A203" s="203"/>
      <c r="B203" s="204">
        <v>59</v>
      </c>
      <c r="C203" s="205" t="s">
        <v>189</v>
      </c>
      <c r="D203" s="206" t="s">
        <v>1591</v>
      </c>
      <c r="E203" s="200">
        <v>200000000</v>
      </c>
      <c r="F203" s="200">
        <v>0</v>
      </c>
      <c r="G203" s="200">
        <v>200000000</v>
      </c>
      <c r="H203" s="200">
        <f t="shared" si="3"/>
        <v>0</v>
      </c>
      <c r="I203" s="201">
        <v>7.2</v>
      </c>
      <c r="J203" s="202" t="s">
        <v>264</v>
      </c>
    </row>
    <row r="204" spans="1:10" ht="14.25" customHeight="1">
      <c r="A204" s="203"/>
      <c r="B204" s="204">
        <v>59</v>
      </c>
      <c r="C204" s="205" t="s">
        <v>266</v>
      </c>
      <c r="D204" s="206" t="s">
        <v>1592</v>
      </c>
      <c r="E204" s="200">
        <v>1000000000</v>
      </c>
      <c r="F204" s="200">
        <v>0</v>
      </c>
      <c r="G204" s="200">
        <v>1000000000</v>
      </c>
      <c r="H204" s="200">
        <f t="shared" si="3"/>
        <v>0</v>
      </c>
      <c r="I204" s="201">
        <v>6.9</v>
      </c>
      <c r="J204" s="202" t="s">
        <v>237</v>
      </c>
    </row>
    <row r="205" spans="1:10" ht="14.25" customHeight="1">
      <c r="A205" s="203"/>
      <c r="B205" s="204">
        <v>59</v>
      </c>
      <c r="C205" s="205" t="s">
        <v>189</v>
      </c>
      <c r="D205" s="206" t="s">
        <v>1593</v>
      </c>
      <c r="E205" s="200">
        <v>923000000</v>
      </c>
      <c r="F205" s="200">
        <v>0</v>
      </c>
      <c r="G205" s="200">
        <v>923000000</v>
      </c>
      <c r="H205" s="200">
        <f t="shared" si="3"/>
        <v>0</v>
      </c>
      <c r="I205" s="201">
        <v>7.2</v>
      </c>
      <c r="J205" s="202" t="s">
        <v>264</v>
      </c>
    </row>
    <row r="206" spans="1:10" ht="14.25" customHeight="1">
      <c r="A206" s="203"/>
      <c r="B206" s="204">
        <v>59</v>
      </c>
      <c r="C206" s="205" t="s">
        <v>189</v>
      </c>
      <c r="D206" s="206" t="s">
        <v>1594</v>
      </c>
      <c r="E206" s="200">
        <v>389000000</v>
      </c>
      <c r="F206" s="200">
        <v>0</v>
      </c>
      <c r="G206" s="200">
        <v>389000000</v>
      </c>
      <c r="H206" s="200">
        <f t="shared" si="3"/>
        <v>0</v>
      </c>
      <c r="I206" s="201">
        <v>6.9</v>
      </c>
      <c r="J206" s="202" t="s">
        <v>267</v>
      </c>
    </row>
    <row r="207" spans="1:10" ht="14.25" customHeight="1">
      <c r="A207" s="215"/>
      <c r="B207" s="204">
        <v>59</v>
      </c>
      <c r="C207" s="205" t="s">
        <v>185</v>
      </c>
      <c r="D207" s="206" t="s">
        <v>1595</v>
      </c>
      <c r="E207" s="200">
        <v>1147273396</v>
      </c>
      <c r="F207" s="200">
        <v>0</v>
      </c>
      <c r="G207" s="200">
        <v>1147273396</v>
      </c>
      <c r="H207" s="200">
        <f t="shared" si="3"/>
        <v>0</v>
      </c>
      <c r="I207" s="201">
        <v>6.3</v>
      </c>
      <c r="J207" s="202" t="s">
        <v>1530</v>
      </c>
    </row>
    <row r="208" spans="1:10" ht="14.25" customHeight="1">
      <c r="A208" s="203"/>
      <c r="B208" s="204">
        <v>60</v>
      </c>
      <c r="C208" s="205" t="s">
        <v>266</v>
      </c>
      <c r="D208" s="206" t="s">
        <v>1595</v>
      </c>
      <c r="E208" s="200">
        <v>1000000000</v>
      </c>
      <c r="F208" s="200">
        <v>0</v>
      </c>
      <c r="G208" s="200">
        <v>1000000000</v>
      </c>
      <c r="H208" s="200">
        <f t="shared" si="3"/>
        <v>0</v>
      </c>
      <c r="I208" s="201">
        <v>5.8</v>
      </c>
      <c r="J208" s="202" t="s">
        <v>219</v>
      </c>
    </row>
    <row r="209" spans="1:10" ht="14.25" customHeight="1">
      <c r="A209" s="203"/>
      <c r="B209" s="204">
        <v>60</v>
      </c>
      <c r="C209" s="205" t="s">
        <v>189</v>
      </c>
      <c r="D209" s="206" t="s">
        <v>1596</v>
      </c>
      <c r="E209" s="200">
        <v>805000000</v>
      </c>
      <c r="F209" s="200">
        <v>0</v>
      </c>
      <c r="G209" s="200">
        <v>805000000</v>
      </c>
      <c r="H209" s="200">
        <f t="shared" si="3"/>
        <v>0</v>
      </c>
      <c r="I209" s="201">
        <v>6.4</v>
      </c>
      <c r="J209" s="202" t="s">
        <v>267</v>
      </c>
    </row>
    <row r="210" spans="1:10" ht="14.25" customHeight="1">
      <c r="A210" s="203"/>
      <c r="B210" s="204">
        <v>60</v>
      </c>
      <c r="C210" s="205" t="s">
        <v>185</v>
      </c>
      <c r="D210" s="206" t="s">
        <v>1597</v>
      </c>
      <c r="E210" s="200">
        <v>527791158</v>
      </c>
      <c r="F210" s="200">
        <v>0</v>
      </c>
      <c r="G210" s="200">
        <v>527791158</v>
      </c>
      <c r="H210" s="200">
        <f t="shared" si="3"/>
        <v>0</v>
      </c>
      <c r="I210" s="201">
        <v>5.2</v>
      </c>
      <c r="J210" s="202" t="s">
        <v>1530</v>
      </c>
    </row>
    <row r="211" spans="1:10" ht="14.25" customHeight="1">
      <c r="A211" s="215"/>
      <c r="B211" s="206">
        <v>60</v>
      </c>
      <c r="C211" s="205" t="s">
        <v>189</v>
      </c>
      <c r="D211" s="206" t="s">
        <v>1598</v>
      </c>
      <c r="E211" s="200">
        <v>355000000</v>
      </c>
      <c r="F211" s="200">
        <v>19052487</v>
      </c>
      <c r="G211" s="200">
        <f>272302318+F211</f>
        <v>291354805</v>
      </c>
      <c r="H211" s="200">
        <f t="shared" si="3"/>
        <v>63645195</v>
      </c>
      <c r="I211" s="201">
        <v>5.4</v>
      </c>
      <c r="J211" s="202" t="s">
        <v>269</v>
      </c>
    </row>
    <row r="212" spans="1:10" ht="14.25" customHeight="1">
      <c r="A212" s="203"/>
      <c r="B212" s="204">
        <v>61</v>
      </c>
      <c r="C212" s="205" t="s">
        <v>189</v>
      </c>
      <c r="D212" s="206" t="s">
        <v>1599</v>
      </c>
      <c r="E212" s="200">
        <v>390000000</v>
      </c>
      <c r="F212" s="200">
        <v>22019234</v>
      </c>
      <c r="G212" s="200">
        <f>294425099+F212</f>
        <v>316444333</v>
      </c>
      <c r="H212" s="200">
        <f t="shared" si="3"/>
        <v>73555667</v>
      </c>
      <c r="I212" s="201">
        <v>5.4</v>
      </c>
      <c r="J212" s="202" t="s">
        <v>269</v>
      </c>
    </row>
    <row r="213" spans="1:10" ht="14.25" customHeight="1">
      <c r="A213" s="203"/>
      <c r="B213" s="204">
        <v>61</v>
      </c>
      <c r="C213" s="205" t="s">
        <v>266</v>
      </c>
      <c r="D213" s="206" t="s">
        <v>1599</v>
      </c>
      <c r="E213" s="200">
        <v>2000000000</v>
      </c>
      <c r="F213" s="200">
        <v>0</v>
      </c>
      <c r="G213" s="200">
        <v>2000000000</v>
      </c>
      <c r="H213" s="200">
        <f t="shared" si="3"/>
        <v>0</v>
      </c>
      <c r="I213" s="201">
        <v>5.0999999999999996</v>
      </c>
      <c r="J213" s="202" t="s">
        <v>221</v>
      </c>
    </row>
    <row r="214" spans="1:10" ht="14.25" customHeight="1">
      <c r="A214" s="203"/>
      <c r="B214" s="204">
        <v>61</v>
      </c>
      <c r="C214" s="205" t="s">
        <v>189</v>
      </c>
      <c r="D214" s="206" t="s">
        <v>1600</v>
      </c>
      <c r="E214" s="200">
        <v>464000000</v>
      </c>
      <c r="F214" s="200">
        <v>25171047</v>
      </c>
      <c r="G214" s="200">
        <f>355903794+F214</f>
        <v>381074841</v>
      </c>
      <c r="H214" s="200">
        <f t="shared" si="3"/>
        <v>82925159</v>
      </c>
      <c r="I214" s="201">
        <v>4.7</v>
      </c>
      <c r="J214" s="202" t="s">
        <v>269</v>
      </c>
    </row>
    <row r="215" spans="1:10" ht="14.25" customHeight="1">
      <c r="A215" s="215"/>
      <c r="B215" s="206">
        <v>58</v>
      </c>
      <c r="C215" s="205" t="s">
        <v>185</v>
      </c>
      <c r="D215" s="206" t="s">
        <v>1601</v>
      </c>
      <c r="E215" s="200">
        <v>2435157074</v>
      </c>
      <c r="F215" s="200">
        <v>0</v>
      </c>
      <c r="G215" s="200">
        <v>2435157074</v>
      </c>
      <c r="H215" s="200">
        <f t="shared" si="3"/>
        <v>0</v>
      </c>
      <c r="I215" s="201">
        <v>7.1</v>
      </c>
      <c r="J215" s="202" t="s">
        <v>1530</v>
      </c>
    </row>
    <row r="216" spans="1:10" ht="14.25" customHeight="1">
      <c r="A216" s="203"/>
      <c r="B216" s="204">
        <v>61</v>
      </c>
      <c r="C216" s="205" t="s">
        <v>189</v>
      </c>
      <c r="D216" s="206" t="s">
        <v>1602</v>
      </c>
      <c r="E216" s="200">
        <v>80000000</v>
      </c>
      <c r="F216" s="200">
        <v>4375665</v>
      </c>
      <c r="G216" s="200">
        <f>58374528+F216</f>
        <v>62750193</v>
      </c>
      <c r="H216" s="200">
        <f t="shared" si="3"/>
        <v>17249807</v>
      </c>
      <c r="I216" s="201">
        <v>5.3</v>
      </c>
      <c r="J216" s="202" t="s">
        <v>271</v>
      </c>
    </row>
    <row r="217" spans="1:10" ht="14.25" customHeight="1">
      <c r="A217" s="203"/>
      <c r="B217" s="204">
        <v>62</v>
      </c>
      <c r="C217" s="205" t="s">
        <v>273</v>
      </c>
      <c r="D217" s="206" t="s">
        <v>1603</v>
      </c>
      <c r="E217" s="200">
        <v>229513000</v>
      </c>
      <c r="F217" s="200">
        <v>0</v>
      </c>
      <c r="G217" s="200">
        <v>229513000</v>
      </c>
      <c r="H217" s="200">
        <f t="shared" si="3"/>
        <v>0</v>
      </c>
      <c r="I217" s="201" t="s">
        <v>274</v>
      </c>
      <c r="J217" s="283" t="s">
        <v>225</v>
      </c>
    </row>
    <row r="218" spans="1:10" ht="14.25" customHeight="1">
      <c r="A218" s="203"/>
      <c r="B218" s="206">
        <v>61</v>
      </c>
      <c r="C218" s="205" t="s">
        <v>185</v>
      </c>
      <c r="D218" s="206" t="s">
        <v>1604</v>
      </c>
      <c r="E218" s="200">
        <v>340191842</v>
      </c>
      <c r="F218" s="200">
        <v>0</v>
      </c>
      <c r="G218" s="200">
        <v>340191842</v>
      </c>
      <c r="H218" s="200">
        <f t="shared" si="3"/>
        <v>0</v>
      </c>
      <c r="I218" s="201">
        <v>5</v>
      </c>
      <c r="J218" s="202" t="s">
        <v>1530</v>
      </c>
    </row>
    <row r="219" spans="1:10" ht="14.25" customHeight="1">
      <c r="A219" s="203"/>
      <c r="B219" s="206">
        <v>62</v>
      </c>
      <c r="C219" s="205" t="s">
        <v>266</v>
      </c>
      <c r="D219" s="206" t="s">
        <v>1604</v>
      </c>
      <c r="E219" s="200">
        <v>1000000000</v>
      </c>
      <c r="F219" s="200">
        <v>0</v>
      </c>
      <c r="G219" s="200">
        <v>1000000000</v>
      </c>
      <c r="H219" s="200">
        <f t="shared" si="3"/>
        <v>0</v>
      </c>
      <c r="I219" s="201">
        <v>4.8</v>
      </c>
      <c r="J219" s="216" t="s">
        <v>225</v>
      </c>
    </row>
    <row r="220" spans="1:10" ht="14.25" customHeight="1">
      <c r="A220" s="203"/>
      <c r="B220" s="206">
        <v>63</v>
      </c>
      <c r="C220" s="205" t="s">
        <v>273</v>
      </c>
      <c r="D220" s="206" t="s">
        <v>1605</v>
      </c>
      <c r="E220" s="200">
        <v>88343000</v>
      </c>
      <c r="F220" s="200">
        <v>0</v>
      </c>
      <c r="G220" s="200">
        <v>88343000</v>
      </c>
      <c r="H220" s="200">
        <f t="shared" si="3"/>
        <v>0</v>
      </c>
      <c r="I220" s="201" t="s">
        <v>274</v>
      </c>
      <c r="J220" s="216" t="s">
        <v>228</v>
      </c>
    </row>
    <row r="221" spans="1:10" ht="14.25" customHeight="1">
      <c r="A221" s="203"/>
      <c r="B221" s="206">
        <v>63</v>
      </c>
      <c r="C221" s="205" t="s">
        <v>273</v>
      </c>
      <c r="D221" s="206" t="s">
        <v>334</v>
      </c>
      <c r="E221" s="200">
        <v>138400000</v>
      </c>
      <c r="F221" s="200">
        <v>0</v>
      </c>
      <c r="G221" s="200">
        <v>138400000</v>
      </c>
      <c r="H221" s="200">
        <f t="shared" si="3"/>
        <v>0</v>
      </c>
      <c r="I221" s="201" t="s">
        <v>274</v>
      </c>
      <c r="J221" s="216" t="s">
        <v>228</v>
      </c>
    </row>
    <row r="222" spans="1:10" ht="14.25" customHeight="1">
      <c r="A222" s="203"/>
      <c r="B222" s="206">
        <v>62</v>
      </c>
      <c r="C222" s="205" t="s">
        <v>189</v>
      </c>
      <c r="D222" s="206" t="s">
        <v>335</v>
      </c>
      <c r="E222" s="200">
        <v>837000000</v>
      </c>
      <c r="F222" s="200">
        <v>41785043</v>
      </c>
      <c r="G222" s="200">
        <f>552701267+F222</f>
        <v>594486310</v>
      </c>
      <c r="H222" s="200">
        <f t="shared" si="3"/>
        <v>242513690</v>
      </c>
      <c r="I222" s="201">
        <v>4.95</v>
      </c>
      <c r="J222" s="216" t="s">
        <v>276</v>
      </c>
    </row>
    <row r="223" spans="1:10" ht="14.25" customHeight="1">
      <c r="A223" s="203"/>
      <c r="B223" s="206">
        <v>62</v>
      </c>
      <c r="C223" s="205" t="s">
        <v>185</v>
      </c>
      <c r="D223" s="206" t="s">
        <v>336</v>
      </c>
      <c r="E223" s="200">
        <v>308504686</v>
      </c>
      <c r="F223" s="200">
        <v>0</v>
      </c>
      <c r="G223" s="200">
        <v>308504686</v>
      </c>
      <c r="H223" s="200">
        <f t="shared" si="3"/>
        <v>0</v>
      </c>
      <c r="I223" s="201">
        <v>4.8499999999999996</v>
      </c>
      <c r="J223" s="202" t="s">
        <v>1606</v>
      </c>
    </row>
    <row r="224" spans="1:10" ht="14.25" customHeight="1">
      <c r="A224" s="203"/>
      <c r="B224" s="206">
        <v>63</v>
      </c>
      <c r="C224" s="205" t="s">
        <v>273</v>
      </c>
      <c r="D224" s="206" t="s">
        <v>336</v>
      </c>
      <c r="E224" s="200">
        <v>617596000</v>
      </c>
      <c r="F224" s="200">
        <v>0</v>
      </c>
      <c r="G224" s="200">
        <v>617596000</v>
      </c>
      <c r="H224" s="200">
        <f t="shared" si="3"/>
        <v>0</v>
      </c>
      <c r="I224" s="201" t="s">
        <v>274</v>
      </c>
      <c r="J224" s="216" t="s">
        <v>228</v>
      </c>
    </row>
    <row r="225" spans="1:10" ht="14.25" customHeight="1">
      <c r="A225" s="203"/>
      <c r="B225" s="206">
        <v>63</v>
      </c>
      <c r="C225" s="205" t="s">
        <v>180</v>
      </c>
      <c r="D225" s="206" t="s">
        <v>337</v>
      </c>
      <c r="E225" s="200">
        <v>2000000000</v>
      </c>
      <c r="F225" s="200">
        <v>0</v>
      </c>
      <c r="G225" s="200">
        <v>2000000000</v>
      </c>
      <c r="H225" s="200">
        <f t="shared" si="3"/>
        <v>0</v>
      </c>
      <c r="I225" s="201">
        <v>4.8</v>
      </c>
      <c r="J225" s="216" t="s">
        <v>219</v>
      </c>
    </row>
    <row r="226" spans="1:10" ht="14.25" customHeight="1" thickBot="1">
      <c r="A226" s="269"/>
      <c r="B226" s="287" t="s">
        <v>338</v>
      </c>
      <c r="C226" s="286" t="s">
        <v>273</v>
      </c>
      <c r="D226" s="287" t="s">
        <v>339</v>
      </c>
      <c r="E226" s="268">
        <v>59345000</v>
      </c>
      <c r="F226" s="268">
        <v>0</v>
      </c>
      <c r="G226" s="268">
        <v>59345000</v>
      </c>
      <c r="H226" s="200">
        <f t="shared" si="3"/>
        <v>0</v>
      </c>
      <c r="I226" s="288" t="s">
        <v>274</v>
      </c>
      <c r="J226" s="300" t="s">
        <v>232</v>
      </c>
    </row>
    <row r="227" spans="1:10" ht="9.75" customHeight="1" thickBot="1">
      <c r="A227" s="257"/>
      <c r="B227" s="258"/>
      <c r="C227" s="257"/>
      <c r="D227" s="258"/>
      <c r="E227" s="259"/>
      <c r="F227" s="259"/>
      <c r="G227" s="259"/>
      <c r="H227" s="259"/>
      <c r="I227" s="260"/>
      <c r="J227" s="261"/>
    </row>
    <row r="228" spans="1:10">
      <c r="A228" s="479" t="s">
        <v>1607</v>
      </c>
      <c r="B228" s="481" t="s">
        <v>311</v>
      </c>
      <c r="C228" s="483" t="s">
        <v>1608</v>
      </c>
      <c r="D228" s="481" t="s">
        <v>312</v>
      </c>
      <c r="E228" s="485" t="s">
        <v>1609</v>
      </c>
      <c r="F228" s="487" t="s">
        <v>1610</v>
      </c>
      <c r="G228" s="493"/>
      <c r="H228" s="489" t="s">
        <v>174</v>
      </c>
      <c r="I228" s="491" t="s">
        <v>1611</v>
      </c>
      <c r="J228" s="477" t="s">
        <v>313</v>
      </c>
    </row>
    <row r="229" spans="1:10">
      <c r="A229" s="480"/>
      <c r="B229" s="482"/>
      <c r="C229" s="484"/>
      <c r="D229" s="482"/>
      <c r="E229" s="486"/>
      <c r="F229" s="207" t="s">
        <v>176</v>
      </c>
      <c r="G229" s="207" t="s">
        <v>305</v>
      </c>
      <c r="H229" s="490"/>
      <c r="I229" s="492"/>
      <c r="J229" s="478"/>
    </row>
    <row r="230" spans="1:10">
      <c r="A230" s="209"/>
      <c r="B230" s="210"/>
      <c r="C230" s="210"/>
      <c r="D230" s="211" t="s">
        <v>177</v>
      </c>
      <c r="E230" s="212" t="s">
        <v>178</v>
      </c>
      <c r="F230" s="212" t="s">
        <v>172</v>
      </c>
      <c r="G230" s="212" t="s">
        <v>178</v>
      </c>
      <c r="H230" s="212" t="s">
        <v>178</v>
      </c>
      <c r="I230" s="213" t="s">
        <v>1612</v>
      </c>
      <c r="J230" s="214" t="s">
        <v>175</v>
      </c>
    </row>
    <row r="231" spans="1:10" ht="14.25" customHeight="1">
      <c r="A231" s="215" t="s">
        <v>1613</v>
      </c>
      <c r="B231" s="206" t="s">
        <v>1614</v>
      </c>
      <c r="C231" s="205" t="s">
        <v>189</v>
      </c>
      <c r="D231" s="204" t="s">
        <v>693</v>
      </c>
      <c r="E231" s="200">
        <v>496000000</v>
      </c>
      <c r="F231" s="200">
        <v>25782878</v>
      </c>
      <c r="G231" s="200">
        <f>302125588+F231</f>
        <v>327908466</v>
      </c>
      <c r="H231" s="200">
        <f t="shared" ref="H231:H286" si="4">E231-G231</f>
        <v>168091534</v>
      </c>
      <c r="I231" s="201">
        <v>5.2</v>
      </c>
      <c r="J231" s="202" t="s">
        <v>277</v>
      </c>
    </row>
    <row r="232" spans="1:10" ht="14.25" customHeight="1">
      <c r="A232" s="203" t="s">
        <v>182</v>
      </c>
      <c r="B232" s="206" t="s">
        <v>1615</v>
      </c>
      <c r="C232" s="205" t="s">
        <v>273</v>
      </c>
      <c r="D232" s="206" t="s">
        <v>1616</v>
      </c>
      <c r="E232" s="200">
        <v>107596000</v>
      </c>
      <c r="F232" s="200">
        <v>0</v>
      </c>
      <c r="G232" s="200">
        <v>107596000</v>
      </c>
      <c r="H232" s="200">
        <f t="shared" si="4"/>
        <v>0</v>
      </c>
      <c r="I232" s="201" t="s">
        <v>274</v>
      </c>
      <c r="J232" s="202" t="s">
        <v>232</v>
      </c>
    </row>
    <row r="233" spans="1:10" ht="14.25" customHeight="1">
      <c r="A233" s="203"/>
      <c r="B233" s="206" t="s">
        <v>1614</v>
      </c>
      <c r="C233" s="205" t="s">
        <v>185</v>
      </c>
      <c r="D233" s="206" t="s">
        <v>1617</v>
      </c>
      <c r="E233" s="200">
        <v>198703790</v>
      </c>
      <c r="F233" s="200">
        <v>0</v>
      </c>
      <c r="G233" s="200">
        <v>198703790</v>
      </c>
      <c r="H233" s="200">
        <f t="shared" si="4"/>
        <v>0</v>
      </c>
      <c r="I233" s="201">
        <v>5.4</v>
      </c>
      <c r="J233" s="202" t="s">
        <v>1618</v>
      </c>
    </row>
    <row r="234" spans="1:10" ht="14.25" customHeight="1">
      <c r="A234" s="203"/>
      <c r="B234" s="204">
        <v>63</v>
      </c>
      <c r="C234" s="205" t="s">
        <v>273</v>
      </c>
      <c r="D234" s="206" t="s">
        <v>1619</v>
      </c>
      <c r="E234" s="200">
        <v>19261000</v>
      </c>
      <c r="F234" s="200">
        <v>0</v>
      </c>
      <c r="G234" s="200">
        <v>19261000</v>
      </c>
      <c r="H234" s="200">
        <f t="shared" si="4"/>
        <v>0</v>
      </c>
      <c r="I234" s="201" t="s">
        <v>274</v>
      </c>
      <c r="J234" s="202" t="s">
        <v>228</v>
      </c>
    </row>
    <row r="235" spans="1:10" ht="14.25" customHeight="1">
      <c r="A235" s="203"/>
      <c r="B235" s="206" t="s">
        <v>1620</v>
      </c>
      <c r="C235" s="205" t="s">
        <v>266</v>
      </c>
      <c r="D235" s="206" t="s">
        <v>1621</v>
      </c>
      <c r="E235" s="200">
        <v>1000000000</v>
      </c>
      <c r="F235" s="200">
        <v>0</v>
      </c>
      <c r="G235" s="200">
        <v>1000000000</v>
      </c>
      <c r="H235" s="200">
        <f t="shared" si="4"/>
        <v>0</v>
      </c>
      <c r="I235" s="201">
        <v>6.6</v>
      </c>
      <c r="J235" s="202" t="s">
        <v>232</v>
      </c>
    </row>
    <row r="236" spans="1:10" ht="14.25" customHeight="1">
      <c r="A236" s="203"/>
      <c r="B236" s="204" t="s">
        <v>278</v>
      </c>
      <c r="C236" s="205" t="s">
        <v>273</v>
      </c>
      <c r="D236" s="206" t="s">
        <v>1622</v>
      </c>
      <c r="E236" s="200">
        <v>282931000</v>
      </c>
      <c r="F236" s="200">
        <v>0</v>
      </c>
      <c r="G236" s="200">
        <v>282931000</v>
      </c>
      <c r="H236" s="200">
        <f t="shared" si="4"/>
        <v>0</v>
      </c>
      <c r="I236" s="201" t="s">
        <v>274</v>
      </c>
      <c r="J236" s="202" t="s">
        <v>232</v>
      </c>
    </row>
    <row r="237" spans="1:10" ht="14.25" customHeight="1">
      <c r="A237" s="203"/>
      <c r="B237" s="204" t="s">
        <v>278</v>
      </c>
      <c r="C237" s="205" t="s">
        <v>189</v>
      </c>
      <c r="D237" s="206" t="s">
        <v>1623</v>
      </c>
      <c r="E237" s="200">
        <v>350000000</v>
      </c>
      <c r="F237" s="200">
        <v>0</v>
      </c>
      <c r="G237" s="200">
        <v>350000000</v>
      </c>
      <c r="H237" s="200">
        <f t="shared" si="4"/>
        <v>0</v>
      </c>
      <c r="I237" s="201">
        <v>6.3</v>
      </c>
      <c r="J237" s="202" t="s">
        <v>277</v>
      </c>
    </row>
    <row r="238" spans="1:10" ht="14.25" customHeight="1">
      <c r="A238" s="203"/>
      <c r="B238" s="204" t="s">
        <v>278</v>
      </c>
      <c r="C238" s="205" t="s">
        <v>273</v>
      </c>
      <c r="D238" s="206" t="s">
        <v>1624</v>
      </c>
      <c r="E238" s="200">
        <v>276396000</v>
      </c>
      <c r="F238" s="200">
        <v>0</v>
      </c>
      <c r="G238" s="200">
        <v>276396000</v>
      </c>
      <c r="H238" s="200">
        <f t="shared" si="4"/>
        <v>0</v>
      </c>
      <c r="I238" s="201" t="s">
        <v>274</v>
      </c>
      <c r="J238" s="202" t="s">
        <v>232</v>
      </c>
    </row>
    <row r="239" spans="1:10" ht="14.25" customHeight="1">
      <c r="A239" s="203"/>
      <c r="B239" s="206">
        <v>2</v>
      </c>
      <c r="C239" s="205" t="s">
        <v>273</v>
      </c>
      <c r="D239" s="206" t="s">
        <v>1625</v>
      </c>
      <c r="E239" s="200">
        <v>10779000</v>
      </c>
      <c r="F239" s="200">
        <v>0</v>
      </c>
      <c r="G239" s="200">
        <v>10779000</v>
      </c>
      <c r="H239" s="200">
        <f t="shared" si="4"/>
        <v>0</v>
      </c>
      <c r="I239" s="201" t="s">
        <v>274</v>
      </c>
      <c r="J239" s="202" t="s">
        <v>235</v>
      </c>
    </row>
    <row r="240" spans="1:10" ht="14.25" customHeight="1">
      <c r="A240" s="203"/>
      <c r="B240" s="204" t="s">
        <v>278</v>
      </c>
      <c r="C240" s="205" t="s">
        <v>185</v>
      </c>
      <c r="D240" s="206" t="s">
        <v>1626</v>
      </c>
      <c r="E240" s="200">
        <v>341106218</v>
      </c>
      <c r="F240" s="200">
        <v>0</v>
      </c>
      <c r="G240" s="200">
        <v>341106218</v>
      </c>
      <c r="H240" s="200">
        <f t="shared" si="4"/>
        <v>0</v>
      </c>
      <c r="I240" s="201">
        <v>6.6</v>
      </c>
      <c r="J240" s="216" t="s">
        <v>1530</v>
      </c>
    </row>
    <row r="241" spans="1:10" ht="14.25" customHeight="1">
      <c r="A241" s="203"/>
      <c r="B241" s="206">
        <v>2</v>
      </c>
      <c r="C241" s="205" t="s">
        <v>266</v>
      </c>
      <c r="D241" s="206" t="s">
        <v>1626</v>
      </c>
      <c r="E241" s="200">
        <v>400000000</v>
      </c>
      <c r="F241" s="200">
        <v>0</v>
      </c>
      <c r="G241" s="200">
        <v>400000000</v>
      </c>
      <c r="H241" s="200">
        <f t="shared" si="4"/>
        <v>0</v>
      </c>
      <c r="I241" s="201">
        <v>6.4</v>
      </c>
      <c r="J241" s="202" t="s">
        <v>235</v>
      </c>
    </row>
    <row r="242" spans="1:10" ht="14.25" customHeight="1">
      <c r="A242" s="203"/>
      <c r="B242" s="204" t="s">
        <v>278</v>
      </c>
      <c r="C242" s="205" t="s">
        <v>273</v>
      </c>
      <c r="D242" s="206" t="s">
        <v>1627</v>
      </c>
      <c r="E242" s="200">
        <v>46394000</v>
      </c>
      <c r="F242" s="200">
        <v>0</v>
      </c>
      <c r="G242" s="200">
        <v>46394000</v>
      </c>
      <c r="H242" s="200">
        <f t="shared" si="4"/>
        <v>0</v>
      </c>
      <c r="I242" s="201" t="s">
        <v>274</v>
      </c>
      <c r="J242" s="202" t="s">
        <v>232</v>
      </c>
    </row>
    <row r="243" spans="1:10" ht="14.25" customHeight="1">
      <c r="A243" s="203"/>
      <c r="B243" s="204" t="s">
        <v>278</v>
      </c>
      <c r="C243" s="205" t="s">
        <v>189</v>
      </c>
      <c r="D243" s="206" t="s">
        <v>1628</v>
      </c>
      <c r="E243" s="200">
        <v>574000000</v>
      </c>
      <c r="F243" s="200">
        <v>0</v>
      </c>
      <c r="G243" s="200">
        <v>574000000</v>
      </c>
      <c r="H243" s="200">
        <f t="shared" si="4"/>
        <v>0</v>
      </c>
      <c r="I243" s="201">
        <v>6.7</v>
      </c>
      <c r="J243" s="202" t="s">
        <v>280</v>
      </c>
    </row>
    <row r="244" spans="1:10" ht="14.25" customHeight="1">
      <c r="A244" s="203"/>
      <c r="B244" s="206">
        <v>2</v>
      </c>
      <c r="C244" s="205" t="s">
        <v>189</v>
      </c>
      <c r="D244" s="206" t="s">
        <v>1629</v>
      </c>
      <c r="E244" s="200">
        <v>1200000000</v>
      </c>
      <c r="F244" s="200">
        <v>0</v>
      </c>
      <c r="G244" s="200">
        <v>1200000000</v>
      </c>
      <c r="H244" s="200">
        <f t="shared" si="4"/>
        <v>0</v>
      </c>
      <c r="I244" s="201">
        <v>6.65</v>
      </c>
      <c r="J244" s="202" t="s">
        <v>280</v>
      </c>
    </row>
    <row r="245" spans="1:10" ht="14.25" customHeight="1">
      <c r="A245" s="203"/>
      <c r="B245" s="206">
        <v>2</v>
      </c>
      <c r="C245" s="205" t="s">
        <v>273</v>
      </c>
      <c r="D245" s="206" t="s">
        <v>1630</v>
      </c>
      <c r="E245" s="200">
        <v>58974000</v>
      </c>
      <c r="F245" s="200">
        <v>0</v>
      </c>
      <c r="G245" s="200">
        <v>58974000</v>
      </c>
      <c r="H245" s="200">
        <f t="shared" si="4"/>
        <v>0</v>
      </c>
      <c r="I245" s="201" t="s">
        <v>274</v>
      </c>
      <c r="J245" s="202" t="s">
        <v>235</v>
      </c>
    </row>
    <row r="246" spans="1:10" ht="14.25" customHeight="1">
      <c r="A246" s="203"/>
      <c r="B246" s="206">
        <v>3</v>
      </c>
      <c r="C246" s="205" t="s">
        <v>273</v>
      </c>
      <c r="D246" s="206" t="s">
        <v>1631</v>
      </c>
      <c r="E246" s="200">
        <v>84612000</v>
      </c>
      <c r="F246" s="200">
        <v>0</v>
      </c>
      <c r="G246" s="200">
        <v>84612000</v>
      </c>
      <c r="H246" s="200">
        <f t="shared" si="4"/>
        <v>0</v>
      </c>
      <c r="I246" s="201" t="s">
        <v>274</v>
      </c>
      <c r="J246" s="202" t="s">
        <v>239</v>
      </c>
    </row>
    <row r="247" spans="1:10" ht="14.25" customHeight="1">
      <c r="A247" s="203"/>
      <c r="B247" s="206">
        <v>2</v>
      </c>
      <c r="C247" s="205" t="s">
        <v>185</v>
      </c>
      <c r="D247" s="206" t="s">
        <v>1632</v>
      </c>
      <c r="E247" s="200">
        <v>923000000</v>
      </c>
      <c r="F247" s="200">
        <v>38163136</v>
      </c>
      <c r="G247" s="200">
        <f>364235862+F247</f>
        <v>402398998</v>
      </c>
      <c r="H247" s="200">
        <f t="shared" si="4"/>
        <v>520601002</v>
      </c>
      <c r="I247" s="201">
        <v>5.5</v>
      </c>
      <c r="J247" s="202" t="s">
        <v>282</v>
      </c>
    </row>
    <row r="248" spans="1:10" ht="14.25" customHeight="1">
      <c r="A248" s="203"/>
      <c r="B248" s="206">
        <v>3</v>
      </c>
      <c r="C248" s="205" t="s">
        <v>266</v>
      </c>
      <c r="D248" s="206" t="s">
        <v>1633</v>
      </c>
      <c r="E248" s="200">
        <v>400000000</v>
      </c>
      <c r="F248" s="200">
        <v>0</v>
      </c>
      <c r="G248" s="200">
        <v>400000000</v>
      </c>
      <c r="H248" s="200">
        <f t="shared" si="4"/>
        <v>0</v>
      </c>
      <c r="I248" s="201">
        <v>5.7</v>
      </c>
      <c r="J248" s="202" t="s">
        <v>239</v>
      </c>
    </row>
    <row r="249" spans="1:10" ht="14.25" customHeight="1">
      <c r="A249" s="203"/>
      <c r="B249" s="206">
        <v>2</v>
      </c>
      <c r="C249" s="205" t="s">
        <v>189</v>
      </c>
      <c r="D249" s="206" t="s">
        <v>1634</v>
      </c>
      <c r="E249" s="200">
        <v>1451000000</v>
      </c>
      <c r="F249" s="200">
        <v>69684514</v>
      </c>
      <c r="G249" s="200">
        <f>660812012+F249</f>
        <v>730496526</v>
      </c>
      <c r="H249" s="200">
        <f t="shared" si="4"/>
        <v>720503474</v>
      </c>
      <c r="I249" s="201">
        <v>5.6</v>
      </c>
      <c r="J249" s="202" t="s">
        <v>283</v>
      </c>
    </row>
    <row r="250" spans="1:10" ht="14.25" customHeight="1">
      <c r="A250" s="203"/>
      <c r="B250" s="206">
        <v>3</v>
      </c>
      <c r="C250" s="205" t="s">
        <v>189</v>
      </c>
      <c r="D250" s="206" t="s">
        <v>1635</v>
      </c>
      <c r="E250" s="200">
        <v>2000000000</v>
      </c>
      <c r="F250" s="200">
        <v>96050329</v>
      </c>
      <c r="G250" s="200">
        <f>910836683+F250</f>
        <v>1006887012</v>
      </c>
      <c r="H250" s="200">
        <f t="shared" si="4"/>
        <v>993112988</v>
      </c>
      <c r="I250" s="201">
        <v>5.6</v>
      </c>
      <c r="J250" s="202" t="s">
        <v>283</v>
      </c>
    </row>
    <row r="251" spans="1:10" ht="14.25" customHeight="1">
      <c r="A251" s="203"/>
      <c r="B251" s="206">
        <v>2</v>
      </c>
      <c r="C251" s="205" t="s">
        <v>273</v>
      </c>
      <c r="D251" s="206" t="s">
        <v>1636</v>
      </c>
      <c r="E251" s="200">
        <v>11224000</v>
      </c>
      <c r="F251" s="200">
        <v>0</v>
      </c>
      <c r="G251" s="200">
        <v>11224000</v>
      </c>
      <c r="H251" s="200">
        <f t="shared" si="4"/>
        <v>0</v>
      </c>
      <c r="I251" s="201" t="s">
        <v>274</v>
      </c>
      <c r="J251" s="202" t="s">
        <v>235</v>
      </c>
    </row>
    <row r="252" spans="1:10" ht="14.25" customHeight="1">
      <c r="A252" s="203"/>
      <c r="B252" s="206">
        <v>3</v>
      </c>
      <c r="C252" s="205" t="s">
        <v>273</v>
      </c>
      <c r="D252" s="206" t="s">
        <v>1636</v>
      </c>
      <c r="E252" s="200">
        <v>224672000</v>
      </c>
      <c r="F252" s="200">
        <v>0</v>
      </c>
      <c r="G252" s="200">
        <v>224672000</v>
      </c>
      <c r="H252" s="200">
        <f t="shared" si="4"/>
        <v>0</v>
      </c>
      <c r="I252" s="201" t="s">
        <v>274</v>
      </c>
      <c r="J252" s="202" t="s">
        <v>239</v>
      </c>
    </row>
    <row r="253" spans="1:10" ht="14.25" customHeight="1">
      <c r="A253" s="203"/>
      <c r="B253" s="206">
        <v>4</v>
      </c>
      <c r="C253" s="205" t="s">
        <v>266</v>
      </c>
      <c r="D253" s="206" t="s">
        <v>1637</v>
      </c>
      <c r="E253" s="200">
        <v>567000000</v>
      </c>
      <c r="F253" s="200">
        <v>0</v>
      </c>
      <c r="G253" s="200">
        <v>567000000</v>
      </c>
      <c r="H253" s="200">
        <f t="shared" si="4"/>
        <v>0</v>
      </c>
      <c r="I253" s="201">
        <v>4.3</v>
      </c>
      <c r="J253" s="202" t="s">
        <v>242</v>
      </c>
    </row>
    <row r="254" spans="1:10" ht="14.25" customHeight="1">
      <c r="A254" s="203"/>
      <c r="B254" s="206">
        <v>3</v>
      </c>
      <c r="C254" s="205" t="s">
        <v>185</v>
      </c>
      <c r="D254" s="206" t="s">
        <v>1638</v>
      </c>
      <c r="E254" s="200">
        <v>1920000000</v>
      </c>
      <c r="F254" s="200">
        <v>76397873</v>
      </c>
      <c r="G254" s="200">
        <f>742087879+F254</f>
        <v>818485752</v>
      </c>
      <c r="H254" s="200">
        <f t="shared" si="4"/>
        <v>1101514248</v>
      </c>
      <c r="I254" s="201">
        <v>4.4000000000000004</v>
      </c>
      <c r="J254" s="202" t="s">
        <v>284</v>
      </c>
    </row>
    <row r="255" spans="1:10" ht="14.25" customHeight="1">
      <c r="A255" s="203"/>
      <c r="B255" s="206">
        <v>3</v>
      </c>
      <c r="C255" s="205" t="s">
        <v>189</v>
      </c>
      <c r="D255" s="206" t="s">
        <v>1639</v>
      </c>
      <c r="E255" s="200">
        <v>560000000</v>
      </c>
      <c r="F255" s="200">
        <v>25488061</v>
      </c>
      <c r="G255" s="200">
        <f>246804575+F255</f>
        <v>272292636</v>
      </c>
      <c r="H255" s="200">
        <f t="shared" si="4"/>
        <v>287707364</v>
      </c>
      <c r="I255" s="201">
        <v>4.45</v>
      </c>
      <c r="J255" s="202" t="s">
        <v>285</v>
      </c>
    </row>
    <row r="256" spans="1:10" ht="14.25" customHeight="1">
      <c r="A256" s="203"/>
      <c r="B256" s="206">
        <v>4</v>
      </c>
      <c r="C256" s="205" t="s">
        <v>189</v>
      </c>
      <c r="D256" s="206" t="s">
        <v>1640</v>
      </c>
      <c r="E256" s="200">
        <v>1000000</v>
      </c>
      <c r="F256" s="200">
        <v>45516</v>
      </c>
      <c r="G256" s="200">
        <f>439366+F256</f>
        <v>484882</v>
      </c>
      <c r="H256" s="200">
        <f t="shared" si="4"/>
        <v>515118</v>
      </c>
      <c r="I256" s="201">
        <v>4.5</v>
      </c>
      <c r="J256" s="202" t="s">
        <v>285</v>
      </c>
    </row>
    <row r="257" spans="1:10" ht="14.25" customHeight="1">
      <c r="A257" s="215"/>
      <c r="B257" s="206">
        <v>4</v>
      </c>
      <c r="C257" s="205" t="s">
        <v>189</v>
      </c>
      <c r="D257" s="206" t="s">
        <v>1640</v>
      </c>
      <c r="E257" s="200">
        <v>4498000000</v>
      </c>
      <c r="F257" s="200">
        <v>204723741</v>
      </c>
      <c r="G257" s="200">
        <f>1982369598+F257</f>
        <v>2187093339</v>
      </c>
      <c r="H257" s="200">
        <f t="shared" si="4"/>
        <v>2310906661</v>
      </c>
      <c r="I257" s="201">
        <v>4.45</v>
      </c>
      <c r="J257" s="202" t="s">
        <v>285</v>
      </c>
    </row>
    <row r="258" spans="1:10" ht="14.25" customHeight="1">
      <c r="A258" s="203"/>
      <c r="B258" s="206">
        <v>4</v>
      </c>
      <c r="C258" s="205" t="s">
        <v>185</v>
      </c>
      <c r="D258" s="206" t="s">
        <v>1641</v>
      </c>
      <c r="E258" s="200">
        <v>8780000000</v>
      </c>
      <c r="F258" s="200">
        <v>339532039</v>
      </c>
      <c r="G258" s="200">
        <f>3245897282+F258</f>
        <v>3585429321</v>
      </c>
      <c r="H258" s="200">
        <f t="shared" si="4"/>
        <v>5194570679</v>
      </c>
      <c r="I258" s="201">
        <v>3.65</v>
      </c>
      <c r="J258" s="202" t="s">
        <v>286</v>
      </c>
    </row>
    <row r="259" spans="1:10" ht="14.25" customHeight="1">
      <c r="A259" s="203"/>
      <c r="B259" s="206">
        <v>4</v>
      </c>
      <c r="C259" s="205" t="s">
        <v>189</v>
      </c>
      <c r="D259" s="206" t="s">
        <v>1642</v>
      </c>
      <c r="E259" s="200">
        <v>1354000000</v>
      </c>
      <c r="F259" s="200">
        <v>59298833</v>
      </c>
      <c r="G259" s="200">
        <f>565205536+F259</f>
        <v>624504369</v>
      </c>
      <c r="H259" s="200">
        <f t="shared" si="4"/>
        <v>729495631</v>
      </c>
      <c r="I259" s="201">
        <v>3.7</v>
      </c>
      <c r="J259" s="202" t="s">
        <v>282</v>
      </c>
    </row>
    <row r="260" spans="1:10" ht="14.25" customHeight="1">
      <c r="A260" s="215"/>
      <c r="B260" s="206">
        <v>5</v>
      </c>
      <c r="C260" s="205" t="s">
        <v>189</v>
      </c>
      <c r="D260" s="206" t="s">
        <v>1643</v>
      </c>
      <c r="E260" s="200">
        <v>3928000000</v>
      </c>
      <c r="F260" s="200">
        <v>172027930</v>
      </c>
      <c r="G260" s="200">
        <f>1639680460+F260</f>
        <v>1811708390</v>
      </c>
      <c r="H260" s="200">
        <f t="shared" si="4"/>
        <v>2116291610</v>
      </c>
      <c r="I260" s="201">
        <v>3.7</v>
      </c>
      <c r="J260" s="202" t="s">
        <v>282</v>
      </c>
    </row>
    <row r="261" spans="1:10" ht="14.25" customHeight="1">
      <c r="A261" s="203"/>
      <c r="B261" s="206">
        <v>5</v>
      </c>
      <c r="C261" s="205" t="s">
        <v>266</v>
      </c>
      <c r="D261" s="206" t="s">
        <v>1644</v>
      </c>
      <c r="E261" s="200">
        <v>744000000</v>
      </c>
      <c r="F261" s="200">
        <v>0</v>
      </c>
      <c r="G261" s="200">
        <v>744000000</v>
      </c>
      <c r="H261" s="200">
        <f t="shared" si="4"/>
        <v>0</v>
      </c>
      <c r="I261" s="201">
        <v>4.4000000000000004</v>
      </c>
      <c r="J261" s="202" t="s">
        <v>246</v>
      </c>
    </row>
    <row r="262" spans="1:10" ht="14.25" customHeight="1">
      <c r="A262" s="203"/>
      <c r="B262" s="206" t="s">
        <v>1645</v>
      </c>
      <c r="C262" s="205" t="s">
        <v>266</v>
      </c>
      <c r="D262" s="206" t="s">
        <v>1646</v>
      </c>
      <c r="E262" s="200">
        <v>580000000</v>
      </c>
      <c r="F262" s="200">
        <v>0</v>
      </c>
      <c r="G262" s="200">
        <v>580000000</v>
      </c>
      <c r="H262" s="200">
        <f t="shared" si="4"/>
        <v>0</v>
      </c>
      <c r="I262" s="201">
        <v>4.5</v>
      </c>
      <c r="J262" s="202" t="s">
        <v>244</v>
      </c>
    </row>
    <row r="263" spans="1:10" ht="14.25" customHeight="1">
      <c r="A263" s="262"/>
      <c r="B263" s="206" t="s">
        <v>1647</v>
      </c>
      <c r="C263" s="205" t="s">
        <v>185</v>
      </c>
      <c r="D263" s="206" t="s">
        <v>1648</v>
      </c>
      <c r="E263" s="200">
        <v>6664000000</v>
      </c>
      <c r="F263" s="200">
        <v>241117938</v>
      </c>
      <c r="G263" s="200">
        <f>2034322159+F263</f>
        <v>2275440097</v>
      </c>
      <c r="H263" s="200">
        <f t="shared" si="4"/>
        <v>4388559903</v>
      </c>
      <c r="I263" s="201">
        <v>4.6500000000000004</v>
      </c>
      <c r="J263" s="202" t="s">
        <v>287</v>
      </c>
    </row>
    <row r="264" spans="1:10" ht="14.25" customHeight="1">
      <c r="A264" s="203"/>
      <c r="B264" s="206">
        <v>5</v>
      </c>
      <c r="C264" s="205" t="s">
        <v>189</v>
      </c>
      <c r="D264" s="206" t="s">
        <v>1649</v>
      </c>
      <c r="E264" s="200">
        <v>2736000000</v>
      </c>
      <c r="F264" s="200">
        <v>113490891</v>
      </c>
      <c r="G264" s="200">
        <f>954939200+F264</f>
        <v>1068430091</v>
      </c>
      <c r="H264" s="200">
        <f t="shared" si="4"/>
        <v>1667569909</v>
      </c>
      <c r="I264" s="201">
        <v>4.7</v>
      </c>
      <c r="J264" s="202" t="s">
        <v>284</v>
      </c>
    </row>
    <row r="265" spans="1:10" ht="14.25" customHeight="1">
      <c r="A265" s="215"/>
      <c r="B265" s="206" t="s">
        <v>1650</v>
      </c>
      <c r="C265" s="205" t="s">
        <v>266</v>
      </c>
      <c r="D265" s="206" t="s">
        <v>1651</v>
      </c>
      <c r="E265" s="200">
        <v>580000000</v>
      </c>
      <c r="F265" s="200">
        <v>0</v>
      </c>
      <c r="G265" s="200">
        <v>580000000</v>
      </c>
      <c r="H265" s="200">
        <f t="shared" si="4"/>
        <v>0</v>
      </c>
      <c r="I265" s="201">
        <v>3</v>
      </c>
      <c r="J265" s="202" t="s">
        <v>247</v>
      </c>
    </row>
    <row r="266" spans="1:10" ht="14.25" customHeight="1">
      <c r="A266" s="203"/>
      <c r="B266" s="204">
        <v>63</v>
      </c>
      <c r="C266" s="263" t="s">
        <v>180</v>
      </c>
      <c r="D266" s="206" t="s">
        <v>1652</v>
      </c>
      <c r="E266" s="200">
        <v>1400000000</v>
      </c>
      <c r="F266" s="200">
        <v>0</v>
      </c>
      <c r="G266" s="200">
        <v>1400000000</v>
      </c>
      <c r="H266" s="200">
        <f t="shared" si="4"/>
        <v>0</v>
      </c>
      <c r="I266" s="201">
        <v>3.3</v>
      </c>
      <c r="J266" s="202" t="s">
        <v>247</v>
      </c>
    </row>
    <row r="267" spans="1:10" ht="14.25" customHeight="1">
      <c r="A267" s="203"/>
      <c r="B267" s="204">
        <v>61</v>
      </c>
      <c r="C267" s="264" t="s">
        <v>266</v>
      </c>
      <c r="D267" s="206" t="s">
        <v>1653</v>
      </c>
      <c r="E267" s="200">
        <v>1151000000</v>
      </c>
      <c r="F267" s="200">
        <v>0</v>
      </c>
      <c r="G267" s="200">
        <v>1151000000</v>
      </c>
      <c r="H267" s="200">
        <f t="shared" si="4"/>
        <v>0</v>
      </c>
      <c r="I267" s="201">
        <v>3.4</v>
      </c>
      <c r="J267" s="216" t="s">
        <v>249</v>
      </c>
    </row>
    <row r="268" spans="1:10" ht="14.25" customHeight="1">
      <c r="A268" s="203"/>
      <c r="B268" s="204">
        <v>62</v>
      </c>
      <c r="C268" s="264" t="s">
        <v>266</v>
      </c>
      <c r="D268" s="206" t="s">
        <v>1654</v>
      </c>
      <c r="E268" s="200">
        <v>580000000</v>
      </c>
      <c r="F268" s="200">
        <v>0</v>
      </c>
      <c r="G268" s="200">
        <v>580000000</v>
      </c>
      <c r="H268" s="200">
        <f t="shared" si="4"/>
        <v>0</v>
      </c>
      <c r="I268" s="201">
        <v>2.5</v>
      </c>
      <c r="J268" s="216" t="s">
        <v>251</v>
      </c>
    </row>
    <row r="269" spans="1:10" ht="14.25" customHeight="1">
      <c r="A269" s="203"/>
      <c r="B269" s="206" t="s">
        <v>314</v>
      </c>
      <c r="C269" s="264" t="s">
        <v>266</v>
      </c>
      <c r="D269" s="206" t="s">
        <v>1655</v>
      </c>
      <c r="E269" s="200">
        <v>579000000</v>
      </c>
      <c r="F269" s="200">
        <v>0</v>
      </c>
      <c r="G269" s="200">
        <v>579000000</v>
      </c>
      <c r="H269" s="200">
        <f t="shared" si="4"/>
        <v>0</v>
      </c>
      <c r="I269" s="201">
        <v>1.8</v>
      </c>
      <c r="J269" s="216" t="s">
        <v>1656</v>
      </c>
    </row>
    <row r="270" spans="1:10" ht="14.25" customHeight="1">
      <c r="A270" s="203"/>
      <c r="B270" s="206">
        <v>4</v>
      </c>
      <c r="C270" s="264" t="s">
        <v>266</v>
      </c>
      <c r="D270" s="206" t="s">
        <v>1657</v>
      </c>
      <c r="E270" s="200">
        <v>328000000</v>
      </c>
      <c r="F270" s="200">
        <v>0</v>
      </c>
      <c r="G270" s="200">
        <v>0</v>
      </c>
      <c r="H270" s="200">
        <f t="shared" si="4"/>
        <v>328000000</v>
      </c>
      <c r="I270" s="201">
        <v>1.3</v>
      </c>
      <c r="J270" s="216" t="s">
        <v>1658</v>
      </c>
    </row>
    <row r="271" spans="1:10" ht="14.25" customHeight="1">
      <c r="A271" s="203"/>
      <c r="B271" s="206">
        <v>5</v>
      </c>
      <c r="C271" s="264" t="s">
        <v>266</v>
      </c>
      <c r="D271" s="206" t="s">
        <v>288</v>
      </c>
      <c r="E271" s="200">
        <v>431000000</v>
      </c>
      <c r="F271" s="200">
        <v>0</v>
      </c>
      <c r="G271" s="200">
        <v>0</v>
      </c>
      <c r="H271" s="200">
        <f t="shared" si="4"/>
        <v>431000000</v>
      </c>
      <c r="I271" s="201">
        <v>0.5</v>
      </c>
      <c r="J271" s="216" t="s">
        <v>267</v>
      </c>
    </row>
    <row r="272" spans="1:10" ht="14.25" customHeight="1">
      <c r="A272" s="203"/>
      <c r="B272" s="204" t="s">
        <v>315</v>
      </c>
      <c r="C272" s="264" t="s">
        <v>163</v>
      </c>
      <c r="D272" s="206" t="s">
        <v>1659</v>
      </c>
      <c r="E272" s="200">
        <v>2392586361</v>
      </c>
      <c r="F272" s="200">
        <v>0</v>
      </c>
      <c r="G272" s="200">
        <v>2392586361</v>
      </c>
      <c r="H272" s="200">
        <f t="shared" si="4"/>
        <v>0</v>
      </c>
      <c r="I272" s="201">
        <v>7.3</v>
      </c>
      <c r="J272" s="216" t="s">
        <v>1660</v>
      </c>
    </row>
    <row r="273" spans="1:10" ht="14.25" customHeight="1">
      <c r="A273" s="203"/>
      <c r="B273" s="206">
        <v>58</v>
      </c>
      <c r="C273" s="264" t="s">
        <v>163</v>
      </c>
      <c r="D273" s="206" t="s">
        <v>1659</v>
      </c>
      <c r="E273" s="200">
        <v>3064541455</v>
      </c>
      <c r="F273" s="200">
        <v>0</v>
      </c>
      <c r="G273" s="200">
        <v>3064541455</v>
      </c>
      <c r="H273" s="200">
        <f t="shared" si="4"/>
        <v>0</v>
      </c>
      <c r="I273" s="201">
        <v>7.1</v>
      </c>
      <c r="J273" s="202" t="s">
        <v>1661</v>
      </c>
    </row>
    <row r="274" spans="1:10" ht="14.25" customHeight="1">
      <c r="A274" s="203"/>
      <c r="B274" s="204">
        <v>59</v>
      </c>
      <c r="C274" s="264" t="s">
        <v>163</v>
      </c>
      <c r="D274" s="206" t="s">
        <v>1659</v>
      </c>
      <c r="E274" s="200">
        <v>1613726604</v>
      </c>
      <c r="F274" s="200">
        <v>0</v>
      </c>
      <c r="G274" s="200">
        <v>1613726604</v>
      </c>
      <c r="H274" s="200">
        <f t="shared" si="4"/>
        <v>0</v>
      </c>
      <c r="I274" s="201">
        <v>6.3</v>
      </c>
      <c r="J274" s="202" t="s">
        <v>1662</v>
      </c>
    </row>
    <row r="275" spans="1:10" ht="14.25" customHeight="1">
      <c r="A275" s="203"/>
      <c r="B275" s="206">
        <v>60</v>
      </c>
      <c r="C275" s="264" t="s">
        <v>163</v>
      </c>
      <c r="D275" s="206" t="s">
        <v>1659</v>
      </c>
      <c r="E275" s="200">
        <v>633208842</v>
      </c>
      <c r="F275" s="200">
        <v>53298538</v>
      </c>
      <c r="G275" s="200">
        <f>268227156+F275</f>
        <v>321525694</v>
      </c>
      <c r="H275" s="200">
        <f t="shared" si="4"/>
        <v>311683148</v>
      </c>
      <c r="I275" s="201">
        <v>5.2</v>
      </c>
      <c r="J275" s="202" t="s">
        <v>276</v>
      </c>
    </row>
    <row r="276" spans="1:10" ht="14.25" customHeight="1">
      <c r="A276" s="203"/>
      <c r="B276" s="206">
        <v>61</v>
      </c>
      <c r="C276" s="264" t="s">
        <v>163</v>
      </c>
      <c r="D276" s="206" t="s">
        <v>1663</v>
      </c>
      <c r="E276" s="200">
        <v>515808158</v>
      </c>
      <c r="F276" s="200">
        <v>39008199</v>
      </c>
      <c r="G276" s="200">
        <f>197598479+F276</f>
        <v>236606678</v>
      </c>
      <c r="H276" s="200">
        <f t="shared" si="4"/>
        <v>279201480</v>
      </c>
      <c r="I276" s="201">
        <v>5</v>
      </c>
      <c r="J276" s="202" t="s">
        <v>277</v>
      </c>
    </row>
    <row r="277" spans="1:10" ht="14.25" customHeight="1">
      <c r="A277" s="203"/>
      <c r="B277" s="204">
        <v>62</v>
      </c>
      <c r="C277" s="264" t="s">
        <v>163</v>
      </c>
      <c r="D277" s="206" t="s">
        <v>1664</v>
      </c>
      <c r="E277" s="200">
        <v>528495314</v>
      </c>
      <c r="F277" s="200">
        <v>36177131</v>
      </c>
      <c r="G277" s="200">
        <f>184160710+F277</f>
        <v>220337841</v>
      </c>
      <c r="H277" s="200">
        <f t="shared" si="4"/>
        <v>308157473</v>
      </c>
      <c r="I277" s="201">
        <v>4.8499999999999996</v>
      </c>
      <c r="J277" s="202" t="s">
        <v>1665</v>
      </c>
    </row>
    <row r="278" spans="1:10" ht="14.25" customHeight="1">
      <c r="A278" s="203"/>
      <c r="B278" s="206">
        <v>63</v>
      </c>
      <c r="C278" s="264" t="s">
        <v>163</v>
      </c>
      <c r="D278" s="206" t="s">
        <v>289</v>
      </c>
      <c r="E278" s="200">
        <v>459296210</v>
      </c>
      <c r="F278" s="200">
        <v>29694218</v>
      </c>
      <c r="G278" s="200">
        <f>148465876+F278</f>
        <v>178160094</v>
      </c>
      <c r="H278" s="200">
        <f t="shared" si="4"/>
        <v>281136116</v>
      </c>
      <c r="I278" s="201">
        <v>5.4</v>
      </c>
      <c r="J278" s="202" t="s">
        <v>283</v>
      </c>
    </row>
    <row r="279" spans="1:10" ht="14.25" customHeight="1">
      <c r="A279" s="203"/>
      <c r="B279" s="204" t="s">
        <v>316</v>
      </c>
      <c r="C279" s="264" t="s">
        <v>163</v>
      </c>
      <c r="D279" s="204" t="s">
        <v>289</v>
      </c>
      <c r="E279" s="200">
        <v>1007893782</v>
      </c>
      <c r="F279" s="200">
        <v>0</v>
      </c>
      <c r="G279" s="200">
        <v>1007893782</v>
      </c>
      <c r="H279" s="200">
        <f t="shared" si="4"/>
        <v>0</v>
      </c>
      <c r="I279" s="201">
        <v>6.6</v>
      </c>
      <c r="J279" s="202" t="s">
        <v>1666</v>
      </c>
    </row>
    <row r="280" spans="1:10" ht="14.25" customHeight="1">
      <c r="A280" s="203"/>
      <c r="B280" s="204">
        <v>18</v>
      </c>
      <c r="C280" s="264" t="s">
        <v>189</v>
      </c>
      <c r="D280" s="204" t="s">
        <v>351</v>
      </c>
      <c r="E280" s="200">
        <v>447400000</v>
      </c>
      <c r="F280" s="200">
        <v>0</v>
      </c>
      <c r="G280" s="200">
        <v>447400000</v>
      </c>
      <c r="H280" s="200">
        <f t="shared" si="4"/>
        <v>0</v>
      </c>
      <c r="I280" s="201">
        <v>2.5499999999999998</v>
      </c>
      <c r="J280" s="202" t="s">
        <v>1667</v>
      </c>
    </row>
    <row r="281" spans="1:10" ht="14.25" customHeight="1">
      <c r="A281" s="203"/>
      <c r="B281" s="204">
        <v>19</v>
      </c>
      <c r="C281" s="264" t="s">
        <v>1547</v>
      </c>
      <c r="D281" s="204" t="s">
        <v>1548</v>
      </c>
      <c r="E281" s="200">
        <v>99300000</v>
      </c>
      <c r="F281" s="200">
        <v>0</v>
      </c>
      <c r="G281" s="200">
        <v>99300000</v>
      </c>
      <c r="H281" s="200">
        <f t="shared" si="4"/>
        <v>0</v>
      </c>
      <c r="I281" s="201">
        <v>2.4</v>
      </c>
      <c r="J281" s="202" t="s">
        <v>1550</v>
      </c>
    </row>
    <row r="282" spans="1:10" ht="14.25" customHeight="1">
      <c r="A282" s="203"/>
      <c r="B282" s="204">
        <v>19</v>
      </c>
      <c r="C282" s="264" t="s">
        <v>189</v>
      </c>
      <c r="D282" s="204" t="s">
        <v>350</v>
      </c>
      <c r="E282" s="200">
        <v>385700000</v>
      </c>
      <c r="F282" s="200">
        <v>99902581</v>
      </c>
      <c r="G282" s="200">
        <f>285797419+F282</f>
        <v>385700000</v>
      </c>
      <c r="H282" s="200">
        <f t="shared" si="4"/>
        <v>0</v>
      </c>
      <c r="I282" s="201">
        <v>2.4</v>
      </c>
      <c r="J282" s="202" t="s">
        <v>263</v>
      </c>
    </row>
    <row r="283" spans="1:10" ht="14.25" customHeight="1">
      <c r="A283" s="203"/>
      <c r="B283" s="204">
        <v>19</v>
      </c>
      <c r="C283" s="264" t="s">
        <v>1668</v>
      </c>
      <c r="D283" s="204" t="s">
        <v>1669</v>
      </c>
      <c r="E283" s="200">
        <v>355900000</v>
      </c>
      <c r="F283" s="200">
        <v>92183896</v>
      </c>
      <c r="G283" s="200">
        <f>263716104+F283</f>
        <v>355900000</v>
      </c>
      <c r="H283" s="200">
        <f t="shared" si="4"/>
        <v>0</v>
      </c>
      <c r="I283" s="201">
        <v>2.4</v>
      </c>
      <c r="J283" s="202" t="s">
        <v>1588</v>
      </c>
    </row>
    <row r="284" spans="1:10" ht="14.25" customHeight="1">
      <c r="A284" s="203"/>
      <c r="B284" s="204">
        <v>19</v>
      </c>
      <c r="C284" s="264" t="s">
        <v>1668</v>
      </c>
      <c r="D284" s="204" t="s">
        <v>1669</v>
      </c>
      <c r="E284" s="200">
        <v>218100000</v>
      </c>
      <c r="F284" s="200">
        <v>49910991</v>
      </c>
      <c r="G284" s="200">
        <f>142783422+F284</f>
        <v>192694413</v>
      </c>
      <c r="H284" s="200">
        <f t="shared" si="4"/>
        <v>25405587</v>
      </c>
      <c r="I284" s="201">
        <v>2.4</v>
      </c>
      <c r="J284" s="202" t="s">
        <v>1670</v>
      </c>
    </row>
    <row r="285" spans="1:10" ht="14.25" customHeight="1">
      <c r="A285" s="203"/>
      <c r="B285" s="204">
        <v>19</v>
      </c>
      <c r="C285" s="264" t="s">
        <v>1668</v>
      </c>
      <c r="D285" s="204" t="s">
        <v>1669</v>
      </c>
      <c r="E285" s="200">
        <v>61300000</v>
      </c>
      <c r="F285" s="200">
        <v>12548862</v>
      </c>
      <c r="G285" s="200">
        <f>35899297+F285</f>
        <v>48448159</v>
      </c>
      <c r="H285" s="200">
        <f t="shared" si="4"/>
        <v>12851841</v>
      </c>
      <c r="I285" s="201">
        <v>2.4</v>
      </c>
      <c r="J285" s="202" t="s">
        <v>1670</v>
      </c>
    </row>
    <row r="286" spans="1:10" ht="14.25" customHeight="1">
      <c r="A286" s="203"/>
      <c r="B286" s="204">
        <v>19</v>
      </c>
      <c r="C286" s="264" t="s">
        <v>1668</v>
      </c>
      <c r="D286" s="204" t="s">
        <v>1669</v>
      </c>
      <c r="E286" s="200">
        <v>285700000</v>
      </c>
      <c r="F286" s="200">
        <v>58486295</v>
      </c>
      <c r="G286" s="200">
        <f>167315318+F286</f>
        <v>225801613</v>
      </c>
      <c r="H286" s="200">
        <f t="shared" si="4"/>
        <v>59898387</v>
      </c>
      <c r="I286" s="201">
        <v>2.4</v>
      </c>
      <c r="J286" s="202" t="s">
        <v>1670</v>
      </c>
    </row>
    <row r="287" spans="1:10" ht="14.25" customHeight="1" thickBot="1">
      <c r="A287" s="239" t="s">
        <v>1671</v>
      </c>
      <c r="B287" s="240" t="s">
        <v>173</v>
      </c>
      <c r="C287" s="241" t="s">
        <v>173</v>
      </c>
      <c r="D287" s="242" t="s">
        <v>173</v>
      </c>
      <c r="E287" s="246">
        <f>SUM(E196:E226,E231:E286)</f>
        <v>86567436000</v>
      </c>
      <c r="F287" s="246">
        <f>SUM(F196:F226,F231:F286)</f>
        <v>2045417866</v>
      </c>
      <c r="G287" s="246">
        <f>SUM(G196:G226,G231:G286)</f>
        <v>63850772329</v>
      </c>
      <c r="H287" s="246">
        <f>SUM(H196:H226,H231:H286)</f>
        <v>22716663671</v>
      </c>
      <c r="I287" s="243"/>
      <c r="J287" s="244" t="s">
        <v>173</v>
      </c>
    </row>
    <row r="288" spans="1:10" ht="9.75" customHeight="1" thickBot="1">
      <c r="A288" s="252"/>
      <c r="B288" s="265"/>
      <c r="C288" s="266"/>
      <c r="D288" s="265"/>
      <c r="E288" s="253"/>
      <c r="F288" s="253"/>
      <c r="G288" s="253"/>
      <c r="H288" s="253"/>
      <c r="I288" s="255"/>
      <c r="J288" s="251"/>
    </row>
    <row r="289" spans="1:11">
      <c r="A289" s="479" t="s">
        <v>1448</v>
      </c>
      <c r="B289" s="481" t="s">
        <v>311</v>
      </c>
      <c r="C289" s="483" t="s">
        <v>1449</v>
      </c>
      <c r="D289" s="481" t="s">
        <v>312</v>
      </c>
      <c r="E289" s="485" t="s">
        <v>1450</v>
      </c>
      <c r="F289" s="487" t="s">
        <v>1451</v>
      </c>
      <c r="G289" s="493"/>
      <c r="H289" s="489" t="s">
        <v>174</v>
      </c>
      <c r="I289" s="491" t="s">
        <v>1452</v>
      </c>
      <c r="J289" s="477" t="s">
        <v>313</v>
      </c>
      <c r="K289" s="267"/>
    </row>
    <row r="290" spans="1:11">
      <c r="A290" s="480"/>
      <c r="B290" s="482"/>
      <c r="C290" s="484"/>
      <c r="D290" s="482"/>
      <c r="E290" s="486"/>
      <c r="F290" s="207" t="s">
        <v>176</v>
      </c>
      <c r="G290" s="207" t="s">
        <v>305</v>
      </c>
      <c r="H290" s="490"/>
      <c r="I290" s="492"/>
      <c r="J290" s="478"/>
    </row>
    <row r="291" spans="1:11">
      <c r="A291" s="209"/>
      <c r="B291" s="210"/>
      <c r="C291" s="210"/>
      <c r="D291" s="211" t="s">
        <v>177</v>
      </c>
      <c r="E291" s="212" t="s">
        <v>178</v>
      </c>
      <c r="F291" s="212" t="s">
        <v>172</v>
      </c>
      <c r="G291" s="212" t="s">
        <v>178</v>
      </c>
      <c r="H291" s="212" t="s">
        <v>178</v>
      </c>
      <c r="I291" s="213" t="s">
        <v>1453</v>
      </c>
      <c r="J291" s="214" t="s">
        <v>175</v>
      </c>
    </row>
    <row r="292" spans="1:11">
      <c r="A292" s="215" t="s">
        <v>290</v>
      </c>
      <c r="B292" s="206" t="s">
        <v>1672</v>
      </c>
      <c r="C292" s="263" t="s">
        <v>180</v>
      </c>
      <c r="D292" s="206" t="s">
        <v>1673</v>
      </c>
      <c r="E292" s="200">
        <v>500000000</v>
      </c>
      <c r="F292" s="200">
        <v>0</v>
      </c>
      <c r="G292" s="200">
        <v>500000000</v>
      </c>
      <c r="H292" s="200">
        <f t="shared" ref="H292:H344" si="5">E292-G292</f>
        <v>0</v>
      </c>
      <c r="I292" s="201">
        <v>8.5</v>
      </c>
      <c r="J292" s="202" t="s">
        <v>194</v>
      </c>
    </row>
    <row r="293" spans="1:11">
      <c r="A293" s="203" t="s">
        <v>182</v>
      </c>
      <c r="B293" s="204" t="s">
        <v>245</v>
      </c>
      <c r="C293" s="263" t="s">
        <v>180</v>
      </c>
      <c r="D293" s="206" t="s">
        <v>1674</v>
      </c>
      <c r="E293" s="200">
        <v>400000000</v>
      </c>
      <c r="F293" s="200">
        <v>0</v>
      </c>
      <c r="G293" s="200">
        <v>400000000</v>
      </c>
      <c r="H293" s="200">
        <f t="shared" si="5"/>
        <v>0</v>
      </c>
      <c r="I293" s="201">
        <v>9.1</v>
      </c>
      <c r="J293" s="202" t="s">
        <v>198</v>
      </c>
    </row>
    <row r="294" spans="1:11" ht="14.25" customHeight="1">
      <c r="A294" s="215"/>
      <c r="B294" s="204">
        <v>49</v>
      </c>
      <c r="C294" s="263" t="s">
        <v>180</v>
      </c>
      <c r="D294" s="206" t="s">
        <v>1675</v>
      </c>
      <c r="E294" s="200">
        <v>800000000</v>
      </c>
      <c r="F294" s="200">
        <v>0</v>
      </c>
      <c r="G294" s="200">
        <v>800000000</v>
      </c>
      <c r="H294" s="200">
        <f t="shared" si="5"/>
        <v>0</v>
      </c>
      <c r="I294" s="201">
        <v>9.1</v>
      </c>
      <c r="J294" s="202" t="s">
        <v>201</v>
      </c>
    </row>
    <row r="295" spans="1:11" ht="14.25" customHeight="1" thickBot="1">
      <c r="A295" s="203"/>
      <c r="B295" s="204" t="s">
        <v>245</v>
      </c>
      <c r="C295" s="263" t="s">
        <v>180</v>
      </c>
      <c r="D295" s="206" t="s">
        <v>1496</v>
      </c>
      <c r="E295" s="268">
        <v>200000000</v>
      </c>
      <c r="F295" s="268">
        <v>0</v>
      </c>
      <c r="G295" s="268">
        <v>200000000</v>
      </c>
      <c r="H295" s="200">
        <f t="shared" si="5"/>
        <v>0</v>
      </c>
      <c r="I295" s="201">
        <v>8.6</v>
      </c>
      <c r="J295" s="202" t="s">
        <v>201</v>
      </c>
    </row>
    <row r="296" spans="1:11" ht="14.25" customHeight="1">
      <c r="A296" s="203"/>
      <c r="B296" s="204" t="s">
        <v>248</v>
      </c>
      <c r="C296" s="205" t="s">
        <v>189</v>
      </c>
      <c r="D296" s="206" t="s">
        <v>1676</v>
      </c>
      <c r="E296" s="200">
        <v>300000000</v>
      </c>
      <c r="F296" s="200">
        <v>0</v>
      </c>
      <c r="G296" s="200">
        <v>300000000</v>
      </c>
      <c r="H296" s="200">
        <f t="shared" si="5"/>
        <v>0</v>
      </c>
      <c r="I296" s="201">
        <v>7.7</v>
      </c>
      <c r="J296" s="202" t="s">
        <v>246</v>
      </c>
    </row>
    <row r="297" spans="1:11" ht="14.25" customHeight="1">
      <c r="A297" s="203"/>
      <c r="B297" s="204" t="s">
        <v>248</v>
      </c>
      <c r="C297" s="263" t="s">
        <v>180</v>
      </c>
      <c r="D297" s="206" t="s">
        <v>1677</v>
      </c>
      <c r="E297" s="200">
        <v>500000000</v>
      </c>
      <c r="F297" s="200">
        <v>0</v>
      </c>
      <c r="G297" s="200">
        <v>500000000</v>
      </c>
      <c r="H297" s="200">
        <f t="shared" si="5"/>
        <v>0</v>
      </c>
      <c r="I297" s="201">
        <v>8.6</v>
      </c>
      <c r="J297" s="202" t="s">
        <v>201</v>
      </c>
    </row>
    <row r="298" spans="1:11" ht="14.25" customHeight="1">
      <c r="A298" s="203"/>
      <c r="B298" s="204" t="s">
        <v>248</v>
      </c>
      <c r="C298" s="263" t="s">
        <v>180</v>
      </c>
      <c r="D298" s="206" t="s">
        <v>1678</v>
      </c>
      <c r="E298" s="200">
        <v>1000000000</v>
      </c>
      <c r="F298" s="200">
        <v>0</v>
      </c>
      <c r="G298" s="200">
        <v>1000000000</v>
      </c>
      <c r="H298" s="200">
        <f t="shared" si="5"/>
        <v>0</v>
      </c>
      <c r="I298" s="201">
        <v>8.6</v>
      </c>
      <c r="J298" s="202" t="s">
        <v>204</v>
      </c>
    </row>
    <row r="299" spans="1:11" ht="14.25" customHeight="1">
      <c r="A299" s="215"/>
      <c r="B299" s="204" t="s">
        <v>250</v>
      </c>
      <c r="C299" s="205" t="s">
        <v>189</v>
      </c>
      <c r="D299" s="206" t="s">
        <v>1679</v>
      </c>
      <c r="E299" s="200">
        <v>1000000000</v>
      </c>
      <c r="F299" s="200">
        <v>0</v>
      </c>
      <c r="G299" s="200">
        <v>1000000000</v>
      </c>
      <c r="H299" s="200">
        <f t="shared" si="5"/>
        <v>0</v>
      </c>
      <c r="I299" s="201">
        <v>7.7</v>
      </c>
      <c r="J299" s="202" t="s">
        <v>244</v>
      </c>
    </row>
    <row r="300" spans="1:11" ht="14.25" customHeight="1">
      <c r="A300" s="215"/>
      <c r="B300" s="206" t="s">
        <v>291</v>
      </c>
      <c r="C300" s="205" t="s">
        <v>189</v>
      </c>
      <c r="D300" s="206" t="s">
        <v>1680</v>
      </c>
      <c r="E300" s="200">
        <v>1100000000</v>
      </c>
      <c r="F300" s="200">
        <v>0</v>
      </c>
      <c r="G300" s="200">
        <v>1100000000</v>
      </c>
      <c r="H300" s="200">
        <f t="shared" si="5"/>
        <v>0</v>
      </c>
      <c r="I300" s="201">
        <v>6.7</v>
      </c>
      <c r="J300" s="202" t="s">
        <v>247</v>
      </c>
    </row>
    <row r="301" spans="1:11" ht="14.25" customHeight="1">
      <c r="A301" s="215"/>
      <c r="B301" s="204">
        <v>52</v>
      </c>
      <c r="C301" s="205" t="s">
        <v>189</v>
      </c>
      <c r="D301" s="204" t="s">
        <v>1681</v>
      </c>
      <c r="E301" s="200">
        <v>1000000000</v>
      </c>
      <c r="F301" s="200">
        <v>0</v>
      </c>
      <c r="G301" s="200">
        <v>1000000000</v>
      </c>
      <c r="H301" s="200">
        <f t="shared" si="5"/>
        <v>0</v>
      </c>
      <c r="I301" s="201">
        <v>6.25</v>
      </c>
      <c r="J301" s="202" t="s">
        <v>247</v>
      </c>
    </row>
    <row r="302" spans="1:11" ht="14.25" customHeight="1">
      <c r="A302" s="203"/>
      <c r="B302" s="204" t="s">
        <v>252</v>
      </c>
      <c r="C302" s="205" t="s">
        <v>189</v>
      </c>
      <c r="D302" s="206" t="s">
        <v>1682</v>
      </c>
      <c r="E302" s="200">
        <v>1207000000</v>
      </c>
      <c r="F302" s="200">
        <v>0</v>
      </c>
      <c r="G302" s="200">
        <v>1207000000</v>
      </c>
      <c r="H302" s="200">
        <f t="shared" si="5"/>
        <v>0</v>
      </c>
      <c r="I302" s="201">
        <v>6.25</v>
      </c>
      <c r="J302" s="202" t="s">
        <v>249</v>
      </c>
    </row>
    <row r="303" spans="1:11" ht="14.25" customHeight="1">
      <c r="A303" s="203"/>
      <c r="B303" s="204" t="s">
        <v>254</v>
      </c>
      <c r="C303" s="205" t="s">
        <v>189</v>
      </c>
      <c r="D303" s="206" t="s">
        <v>1683</v>
      </c>
      <c r="E303" s="200">
        <v>1000000000</v>
      </c>
      <c r="F303" s="200">
        <v>0</v>
      </c>
      <c r="G303" s="200">
        <v>1000000000</v>
      </c>
      <c r="H303" s="200">
        <f t="shared" si="5"/>
        <v>0</v>
      </c>
      <c r="I303" s="201">
        <v>6.25</v>
      </c>
      <c r="J303" s="202" t="s">
        <v>249</v>
      </c>
    </row>
    <row r="304" spans="1:11" ht="14.25" customHeight="1">
      <c r="A304" s="203"/>
      <c r="B304" s="204" t="s">
        <v>252</v>
      </c>
      <c r="C304" s="205" t="s">
        <v>180</v>
      </c>
      <c r="D304" s="206" t="s">
        <v>1684</v>
      </c>
      <c r="E304" s="200">
        <v>553000000</v>
      </c>
      <c r="F304" s="200">
        <v>0</v>
      </c>
      <c r="G304" s="200">
        <v>553000000</v>
      </c>
      <c r="H304" s="200">
        <f t="shared" si="5"/>
        <v>0</v>
      </c>
      <c r="I304" s="201">
        <v>6.6</v>
      </c>
      <c r="J304" s="202" t="s">
        <v>214</v>
      </c>
    </row>
    <row r="305" spans="1:10" ht="14.25" customHeight="1">
      <c r="A305" s="203"/>
      <c r="B305" s="204" t="s">
        <v>254</v>
      </c>
      <c r="C305" s="205" t="s">
        <v>189</v>
      </c>
      <c r="D305" s="206" t="s">
        <v>1685</v>
      </c>
      <c r="E305" s="200">
        <v>1000000000</v>
      </c>
      <c r="F305" s="200">
        <v>0</v>
      </c>
      <c r="G305" s="200">
        <v>1000000000</v>
      </c>
      <c r="H305" s="200">
        <f t="shared" si="5"/>
        <v>0</v>
      </c>
      <c r="I305" s="201">
        <v>7.25</v>
      </c>
      <c r="J305" s="202" t="s">
        <v>251</v>
      </c>
    </row>
    <row r="306" spans="1:10" ht="14.25" customHeight="1">
      <c r="A306" s="203"/>
      <c r="B306" s="204" t="s">
        <v>254</v>
      </c>
      <c r="C306" s="205" t="s">
        <v>189</v>
      </c>
      <c r="D306" s="206" t="s">
        <v>1686</v>
      </c>
      <c r="E306" s="200">
        <v>977000000</v>
      </c>
      <c r="F306" s="200">
        <v>0</v>
      </c>
      <c r="G306" s="200">
        <v>977000000</v>
      </c>
      <c r="H306" s="200">
        <f t="shared" si="5"/>
        <v>0</v>
      </c>
      <c r="I306" s="201">
        <v>7.25</v>
      </c>
      <c r="J306" s="202" t="s">
        <v>251</v>
      </c>
    </row>
    <row r="307" spans="1:10" ht="14.25" customHeight="1">
      <c r="A307" s="203"/>
      <c r="B307" s="204" t="s">
        <v>257</v>
      </c>
      <c r="C307" s="205" t="s">
        <v>189</v>
      </c>
      <c r="D307" s="206" t="s">
        <v>1577</v>
      </c>
      <c r="E307" s="200">
        <v>2600000000</v>
      </c>
      <c r="F307" s="200">
        <v>0</v>
      </c>
      <c r="G307" s="200">
        <v>2600000000</v>
      </c>
      <c r="H307" s="200">
        <f t="shared" si="5"/>
        <v>0</v>
      </c>
      <c r="I307" s="201">
        <v>7.25</v>
      </c>
      <c r="J307" s="202" t="s">
        <v>251</v>
      </c>
    </row>
    <row r="308" spans="1:10" ht="14.25" customHeight="1">
      <c r="A308" s="203"/>
      <c r="B308" s="204" t="s">
        <v>257</v>
      </c>
      <c r="C308" s="205" t="s">
        <v>189</v>
      </c>
      <c r="D308" s="206" t="s">
        <v>1687</v>
      </c>
      <c r="E308" s="200">
        <v>1435000000</v>
      </c>
      <c r="F308" s="200">
        <v>0</v>
      </c>
      <c r="G308" s="200">
        <v>1435000000</v>
      </c>
      <c r="H308" s="200">
        <f t="shared" si="5"/>
        <v>0</v>
      </c>
      <c r="I308" s="201">
        <v>8.1</v>
      </c>
      <c r="J308" s="202" t="s">
        <v>1527</v>
      </c>
    </row>
    <row r="309" spans="1:10" ht="14.25" customHeight="1">
      <c r="A309" s="203"/>
      <c r="B309" s="204" t="s">
        <v>258</v>
      </c>
      <c r="C309" s="205" t="s">
        <v>189</v>
      </c>
      <c r="D309" s="206" t="s">
        <v>1578</v>
      </c>
      <c r="E309" s="200">
        <v>3380000000</v>
      </c>
      <c r="F309" s="200">
        <v>0</v>
      </c>
      <c r="G309" s="200">
        <v>3380000000</v>
      </c>
      <c r="H309" s="200">
        <f t="shared" si="5"/>
        <v>0</v>
      </c>
      <c r="I309" s="201">
        <v>8.1</v>
      </c>
      <c r="J309" s="202" t="s">
        <v>1527</v>
      </c>
    </row>
    <row r="310" spans="1:10" ht="14.25" customHeight="1">
      <c r="A310" s="203"/>
      <c r="B310" s="204" t="s">
        <v>258</v>
      </c>
      <c r="C310" s="205" t="s">
        <v>189</v>
      </c>
      <c r="D310" s="206" t="s">
        <v>1688</v>
      </c>
      <c r="E310" s="200">
        <v>1605000000</v>
      </c>
      <c r="F310" s="200">
        <v>0</v>
      </c>
      <c r="G310" s="200">
        <v>1605000000</v>
      </c>
      <c r="H310" s="200">
        <f t="shared" si="5"/>
        <v>0</v>
      </c>
      <c r="I310" s="201">
        <v>7.6</v>
      </c>
      <c r="J310" s="202" t="s">
        <v>1689</v>
      </c>
    </row>
    <row r="311" spans="1:10" ht="14.25" customHeight="1">
      <c r="A311" s="203"/>
      <c r="B311" s="204" t="s">
        <v>259</v>
      </c>
      <c r="C311" s="205" t="s">
        <v>189</v>
      </c>
      <c r="D311" s="206" t="s">
        <v>1690</v>
      </c>
      <c r="E311" s="200">
        <v>2800000000</v>
      </c>
      <c r="F311" s="200">
        <v>0</v>
      </c>
      <c r="G311" s="200">
        <v>2800000000</v>
      </c>
      <c r="H311" s="200">
        <f t="shared" si="5"/>
        <v>0</v>
      </c>
      <c r="I311" s="201">
        <v>7.4</v>
      </c>
      <c r="J311" s="202" t="s">
        <v>1691</v>
      </c>
    </row>
    <row r="312" spans="1:10" ht="14.25" customHeight="1">
      <c r="A312" s="203"/>
      <c r="B312" s="204" t="s">
        <v>259</v>
      </c>
      <c r="C312" s="205" t="s">
        <v>189</v>
      </c>
      <c r="D312" s="206" t="s">
        <v>1692</v>
      </c>
      <c r="E312" s="200">
        <v>1450000000</v>
      </c>
      <c r="F312" s="200">
        <v>0</v>
      </c>
      <c r="G312" s="200">
        <v>1450000000</v>
      </c>
      <c r="H312" s="200">
        <f t="shared" si="5"/>
        <v>0</v>
      </c>
      <c r="I312" s="201">
        <v>7.4</v>
      </c>
      <c r="J312" s="202" t="s">
        <v>1691</v>
      </c>
    </row>
    <row r="313" spans="1:10" ht="14.25" customHeight="1">
      <c r="A313" s="203"/>
      <c r="B313" s="204" t="s">
        <v>261</v>
      </c>
      <c r="C313" s="205" t="s">
        <v>189</v>
      </c>
      <c r="D313" s="206" t="s">
        <v>1693</v>
      </c>
      <c r="E313" s="200">
        <v>3480000000</v>
      </c>
      <c r="F313" s="200">
        <v>0</v>
      </c>
      <c r="G313" s="200">
        <v>3480000000</v>
      </c>
      <c r="H313" s="200">
        <f t="shared" si="5"/>
        <v>0</v>
      </c>
      <c r="I313" s="201">
        <v>7.4</v>
      </c>
      <c r="J313" s="202" t="s">
        <v>260</v>
      </c>
    </row>
    <row r="314" spans="1:10" ht="14.25" customHeight="1">
      <c r="A314" s="215"/>
      <c r="B314" s="204">
        <v>57</v>
      </c>
      <c r="C314" s="205" t="s">
        <v>189</v>
      </c>
      <c r="D314" s="206" t="s">
        <v>1694</v>
      </c>
      <c r="E314" s="200">
        <v>996000000</v>
      </c>
      <c r="F314" s="200">
        <v>0</v>
      </c>
      <c r="G314" s="200">
        <v>996000000</v>
      </c>
      <c r="H314" s="200">
        <f t="shared" si="5"/>
        <v>0</v>
      </c>
      <c r="I314" s="201">
        <v>7.4</v>
      </c>
      <c r="J314" s="202" t="s">
        <v>1695</v>
      </c>
    </row>
    <row r="315" spans="1:10" ht="14.25" customHeight="1">
      <c r="A315" s="203"/>
      <c r="B315" s="204" t="s">
        <v>262</v>
      </c>
      <c r="C315" s="205" t="s">
        <v>189</v>
      </c>
      <c r="D315" s="206" t="s">
        <v>1696</v>
      </c>
      <c r="E315" s="200">
        <v>1800000000</v>
      </c>
      <c r="F315" s="200">
        <v>0</v>
      </c>
      <c r="G315" s="200">
        <v>1800000000</v>
      </c>
      <c r="H315" s="200">
        <f t="shared" si="5"/>
        <v>0</v>
      </c>
      <c r="I315" s="201">
        <v>7.2</v>
      </c>
      <c r="J315" s="202" t="s">
        <v>1697</v>
      </c>
    </row>
    <row r="316" spans="1:10" ht="14.25" customHeight="1">
      <c r="A316" s="203"/>
      <c r="B316" s="204" t="s">
        <v>262</v>
      </c>
      <c r="C316" s="205" t="s">
        <v>189</v>
      </c>
      <c r="D316" s="206" t="s">
        <v>0</v>
      </c>
      <c r="E316" s="200">
        <v>1683000000</v>
      </c>
      <c r="F316" s="200">
        <v>0</v>
      </c>
      <c r="G316" s="200">
        <v>1683000000</v>
      </c>
      <c r="H316" s="200">
        <f t="shared" si="5"/>
        <v>0</v>
      </c>
      <c r="I316" s="201">
        <v>7.2</v>
      </c>
      <c r="J316" s="202" t="s">
        <v>264</v>
      </c>
    </row>
    <row r="317" spans="1:10" ht="14.25" customHeight="1">
      <c r="A317" s="203"/>
      <c r="B317" s="204" t="s">
        <v>265</v>
      </c>
      <c r="C317" s="205" t="s">
        <v>189</v>
      </c>
      <c r="D317" s="206" t="s">
        <v>1</v>
      </c>
      <c r="E317" s="200">
        <v>100000000</v>
      </c>
      <c r="F317" s="200">
        <v>0</v>
      </c>
      <c r="G317" s="200">
        <v>100000000</v>
      </c>
      <c r="H317" s="200">
        <f t="shared" si="5"/>
        <v>0</v>
      </c>
      <c r="I317" s="201">
        <v>7.2</v>
      </c>
      <c r="J317" s="202" t="s">
        <v>264</v>
      </c>
    </row>
    <row r="318" spans="1:10" ht="14.25" customHeight="1">
      <c r="A318" s="203"/>
      <c r="B318" s="204" t="s">
        <v>265</v>
      </c>
      <c r="C318" s="205" t="s">
        <v>266</v>
      </c>
      <c r="D318" s="206" t="s">
        <v>1592</v>
      </c>
      <c r="E318" s="200">
        <v>1000000000</v>
      </c>
      <c r="F318" s="200">
        <v>0</v>
      </c>
      <c r="G318" s="200">
        <v>1000000000</v>
      </c>
      <c r="H318" s="200">
        <f t="shared" si="5"/>
        <v>0</v>
      </c>
      <c r="I318" s="201">
        <v>6.9</v>
      </c>
      <c r="J318" s="202" t="s">
        <v>237</v>
      </c>
    </row>
    <row r="319" spans="1:10" ht="14.25" customHeight="1">
      <c r="A319" s="203"/>
      <c r="B319" s="204" t="s">
        <v>265</v>
      </c>
      <c r="C319" s="205" t="s">
        <v>189</v>
      </c>
      <c r="D319" s="206" t="s">
        <v>1593</v>
      </c>
      <c r="E319" s="200">
        <v>2077000000</v>
      </c>
      <c r="F319" s="200">
        <v>0</v>
      </c>
      <c r="G319" s="200">
        <v>2077000000</v>
      </c>
      <c r="H319" s="200">
        <f t="shared" si="5"/>
        <v>0</v>
      </c>
      <c r="I319" s="201">
        <v>7.2</v>
      </c>
      <c r="J319" s="202" t="s">
        <v>264</v>
      </c>
    </row>
    <row r="320" spans="1:10" ht="14.25" customHeight="1">
      <c r="A320" s="203"/>
      <c r="B320" s="204" t="s">
        <v>262</v>
      </c>
      <c r="C320" s="263" t="s">
        <v>180</v>
      </c>
      <c r="D320" s="206" t="s">
        <v>2</v>
      </c>
      <c r="E320" s="200">
        <v>940000000</v>
      </c>
      <c r="F320" s="200">
        <v>0</v>
      </c>
      <c r="G320" s="200">
        <v>940000000</v>
      </c>
      <c r="H320" s="200">
        <f t="shared" si="5"/>
        <v>0</v>
      </c>
      <c r="I320" s="201">
        <v>6.9</v>
      </c>
      <c r="J320" s="202" t="s">
        <v>237</v>
      </c>
    </row>
    <row r="321" spans="1:10" ht="14.25" customHeight="1">
      <c r="A321" s="203"/>
      <c r="B321" s="204" t="s">
        <v>265</v>
      </c>
      <c r="C321" s="205" t="s">
        <v>189</v>
      </c>
      <c r="D321" s="206" t="s">
        <v>3</v>
      </c>
      <c r="E321" s="200">
        <v>445000000</v>
      </c>
      <c r="F321" s="200">
        <v>0</v>
      </c>
      <c r="G321" s="200">
        <v>445000000</v>
      </c>
      <c r="H321" s="200">
        <f t="shared" si="5"/>
        <v>0</v>
      </c>
      <c r="I321" s="201">
        <v>6.9</v>
      </c>
      <c r="J321" s="202" t="s">
        <v>267</v>
      </c>
    </row>
    <row r="322" spans="1:10" ht="14.25" customHeight="1">
      <c r="A322" s="203"/>
      <c r="B322" s="204" t="s">
        <v>265</v>
      </c>
      <c r="C322" s="205" t="s">
        <v>185</v>
      </c>
      <c r="D322" s="206" t="s">
        <v>4</v>
      </c>
      <c r="E322" s="200">
        <v>488000000</v>
      </c>
      <c r="F322" s="200">
        <v>0</v>
      </c>
      <c r="G322" s="200">
        <v>488000000</v>
      </c>
      <c r="H322" s="200">
        <f t="shared" si="5"/>
        <v>0</v>
      </c>
      <c r="I322" s="201">
        <v>6.8</v>
      </c>
      <c r="J322" s="202" t="s">
        <v>271</v>
      </c>
    </row>
    <row r="323" spans="1:10" ht="14.25" customHeight="1">
      <c r="A323" s="203"/>
      <c r="B323" s="204" t="s">
        <v>268</v>
      </c>
      <c r="C323" s="205" t="s">
        <v>266</v>
      </c>
      <c r="D323" s="206" t="s">
        <v>5</v>
      </c>
      <c r="E323" s="200">
        <v>1000000000</v>
      </c>
      <c r="F323" s="200">
        <v>0</v>
      </c>
      <c r="G323" s="200">
        <v>1000000000</v>
      </c>
      <c r="H323" s="200">
        <f t="shared" si="5"/>
        <v>0</v>
      </c>
      <c r="I323" s="201">
        <v>5.8</v>
      </c>
      <c r="J323" s="202" t="s">
        <v>219</v>
      </c>
    </row>
    <row r="324" spans="1:10" ht="14.25" customHeight="1">
      <c r="A324" s="203"/>
      <c r="B324" s="204" t="s">
        <v>268</v>
      </c>
      <c r="C324" s="205" t="s">
        <v>189</v>
      </c>
      <c r="D324" s="206" t="s">
        <v>1596</v>
      </c>
      <c r="E324" s="200">
        <v>655000000</v>
      </c>
      <c r="F324" s="200">
        <v>0</v>
      </c>
      <c r="G324" s="200">
        <v>655000000</v>
      </c>
      <c r="H324" s="200">
        <f t="shared" si="5"/>
        <v>0</v>
      </c>
      <c r="I324" s="201">
        <v>6.4</v>
      </c>
      <c r="J324" s="202" t="s">
        <v>267</v>
      </c>
    </row>
    <row r="325" spans="1:10" ht="14.25" customHeight="1">
      <c r="A325" s="203"/>
      <c r="B325" s="204" t="s">
        <v>268</v>
      </c>
      <c r="C325" s="205" t="s">
        <v>185</v>
      </c>
      <c r="D325" s="206" t="s">
        <v>6</v>
      </c>
      <c r="E325" s="200">
        <v>1302000000</v>
      </c>
      <c r="F325" s="200">
        <v>0</v>
      </c>
      <c r="G325" s="200">
        <v>1302000000</v>
      </c>
      <c r="H325" s="200">
        <f t="shared" si="5"/>
        <v>0</v>
      </c>
      <c r="I325" s="201">
        <v>6.05</v>
      </c>
      <c r="J325" s="202" t="s">
        <v>276</v>
      </c>
    </row>
    <row r="326" spans="1:10" ht="14.25" customHeight="1">
      <c r="A326" s="203"/>
      <c r="B326" s="204" t="s">
        <v>268</v>
      </c>
      <c r="C326" s="205" t="s">
        <v>189</v>
      </c>
      <c r="D326" s="206" t="s">
        <v>7</v>
      </c>
      <c r="E326" s="200">
        <v>647000000</v>
      </c>
      <c r="F326" s="200">
        <v>0</v>
      </c>
      <c r="G326" s="200">
        <v>647000000</v>
      </c>
      <c r="H326" s="200">
        <f t="shared" si="5"/>
        <v>0</v>
      </c>
      <c r="I326" s="201">
        <v>6.15</v>
      </c>
      <c r="J326" s="202" t="s">
        <v>269</v>
      </c>
    </row>
    <row r="327" spans="1:10" ht="14.25" customHeight="1">
      <c r="A327" s="215"/>
      <c r="B327" s="206" t="s">
        <v>8</v>
      </c>
      <c r="C327" s="205" t="s">
        <v>189</v>
      </c>
      <c r="D327" s="206" t="s">
        <v>9</v>
      </c>
      <c r="E327" s="200">
        <v>688000000</v>
      </c>
      <c r="F327" s="200">
        <v>43071816</v>
      </c>
      <c r="G327" s="200">
        <f>501045965+F327</f>
        <v>544117781</v>
      </c>
      <c r="H327" s="200">
        <f t="shared" si="5"/>
        <v>143882219</v>
      </c>
      <c r="I327" s="201">
        <v>5.4</v>
      </c>
      <c r="J327" s="202" t="s">
        <v>269</v>
      </c>
    </row>
    <row r="328" spans="1:10" ht="14.25" customHeight="1">
      <c r="A328" s="203"/>
      <c r="B328" s="204" t="s">
        <v>270</v>
      </c>
      <c r="C328" s="205" t="s">
        <v>189</v>
      </c>
      <c r="D328" s="206" t="s">
        <v>10</v>
      </c>
      <c r="E328" s="200">
        <v>320000000</v>
      </c>
      <c r="F328" s="200">
        <v>19248657</v>
      </c>
      <c r="G328" s="200">
        <f>237337297+F328</f>
        <v>256585954</v>
      </c>
      <c r="H328" s="200">
        <f t="shared" si="5"/>
        <v>63414046</v>
      </c>
      <c r="I328" s="201">
        <v>4.7</v>
      </c>
      <c r="J328" s="202" t="s">
        <v>269</v>
      </c>
    </row>
    <row r="329" spans="1:10" ht="14.25" customHeight="1">
      <c r="A329" s="203"/>
      <c r="B329" s="204" t="s">
        <v>270</v>
      </c>
      <c r="C329" s="205" t="s">
        <v>189</v>
      </c>
      <c r="D329" s="206" t="s">
        <v>11</v>
      </c>
      <c r="E329" s="200">
        <v>79000000</v>
      </c>
      <c r="F329" s="200">
        <v>4752012</v>
      </c>
      <c r="G329" s="200">
        <f>58592646+F329</f>
        <v>63344658</v>
      </c>
      <c r="H329" s="200">
        <f t="shared" si="5"/>
        <v>15655342</v>
      </c>
      <c r="I329" s="201">
        <v>4.7</v>
      </c>
      <c r="J329" s="202" t="s">
        <v>269</v>
      </c>
    </row>
    <row r="330" spans="1:10" ht="14.25" customHeight="1">
      <c r="A330" s="203"/>
      <c r="B330" s="204" t="s">
        <v>270</v>
      </c>
      <c r="C330" s="205" t="s">
        <v>185</v>
      </c>
      <c r="D330" s="206" t="s">
        <v>12</v>
      </c>
      <c r="E330" s="200">
        <v>1086000000</v>
      </c>
      <c r="F330" s="200">
        <v>56682233</v>
      </c>
      <c r="G330" s="200">
        <f>659777813+F330</f>
        <v>716460046</v>
      </c>
      <c r="H330" s="200">
        <f t="shared" si="5"/>
        <v>369539954</v>
      </c>
      <c r="I330" s="201">
        <v>5.2</v>
      </c>
      <c r="J330" s="202" t="s">
        <v>277</v>
      </c>
    </row>
    <row r="331" spans="1:10" ht="14.25" customHeight="1">
      <c r="A331" s="203"/>
      <c r="B331" s="204" t="s">
        <v>272</v>
      </c>
      <c r="C331" s="205" t="s">
        <v>189</v>
      </c>
      <c r="D331" s="206" t="s">
        <v>13</v>
      </c>
      <c r="E331" s="200">
        <v>545000000</v>
      </c>
      <c r="F331" s="200">
        <v>31900817</v>
      </c>
      <c r="G331" s="200">
        <f>368145828+F331</f>
        <v>400046645</v>
      </c>
      <c r="H331" s="200">
        <f t="shared" si="5"/>
        <v>144953355</v>
      </c>
      <c r="I331" s="201">
        <v>5.0999999999999996</v>
      </c>
      <c r="J331" s="202" t="s">
        <v>271</v>
      </c>
    </row>
    <row r="332" spans="1:10" ht="14.25" customHeight="1">
      <c r="A332" s="215"/>
      <c r="B332" s="206" t="s">
        <v>14</v>
      </c>
      <c r="C332" s="205" t="s">
        <v>185</v>
      </c>
      <c r="D332" s="206" t="s">
        <v>15</v>
      </c>
      <c r="E332" s="200">
        <v>545000000</v>
      </c>
      <c r="F332" s="200">
        <v>26945153</v>
      </c>
      <c r="G332" s="200">
        <f>305582268+F332</f>
        <v>332527421</v>
      </c>
      <c r="H332" s="200">
        <f t="shared" si="5"/>
        <v>212472579</v>
      </c>
      <c r="I332" s="201">
        <v>5.0999999999999996</v>
      </c>
      <c r="J332" s="202" t="s">
        <v>280</v>
      </c>
    </row>
    <row r="333" spans="1:10" ht="14.25" customHeight="1">
      <c r="A333" s="203"/>
      <c r="B333" s="204" t="s">
        <v>275</v>
      </c>
      <c r="C333" s="205" t="s">
        <v>189</v>
      </c>
      <c r="D333" s="206" t="s">
        <v>16</v>
      </c>
      <c r="E333" s="200">
        <v>600000000</v>
      </c>
      <c r="F333" s="200">
        <v>33207084</v>
      </c>
      <c r="G333" s="200">
        <f>374064323+F333</f>
        <v>407271407</v>
      </c>
      <c r="H333" s="200">
        <f t="shared" si="5"/>
        <v>192728593</v>
      </c>
      <c r="I333" s="201">
        <v>4.95</v>
      </c>
      <c r="J333" s="202" t="s">
        <v>276</v>
      </c>
    </row>
    <row r="334" spans="1:10" ht="14.25" customHeight="1">
      <c r="A334" s="203"/>
      <c r="B334" s="204" t="s">
        <v>275</v>
      </c>
      <c r="C334" s="205" t="s">
        <v>185</v>
      </c>
      <c r="D334" s="206" t="s">
        <v>1617</v>
      </c>
      <c r="E334" s="200">
        <v>796000000</v>
      </c>
      <c r="F334" s="200">
        <v>37627902</v>
      </c>
      <c r="G334" s="200">
        <f>402122199+F334</f>
        <v>439750101</v>
      </c>
      <c r="H334" s="200">
        <f t="shared" si="5"/>
        <v>356249899</v>
      </c>
      <c r="I334" s="201">
        <v>5.4</v>
      </c>
      <c r="J334" s="202" t="s">
        <v>283</v>
      </c>
    </row>
    <row r="335" spans="1:10" ht="14.25" customHeight="1">
      <c r="A335" s="203"/>
      <c r="B335" s="206" t="s">
        <v>17</v>
      </c>
      <c r="C335" s="205" t="s">
        <v>189</v>
      </c>
      <c r="D335" s="206" t="s">
        <v>18</v>
      </c>
      <c r="E335" s="200">
        <v>300000000</v>
      </c>
      <c r="F335" s="200">
        <v>0</v>
      </c>
      <c r="G335" s="200">
        <v>300000000</v>
      </c>
      <c r="H335" s="200">
        <f t="shared" si="5"/>
        <v>0</v>
      </c>
      <c r="I335" s="201">
        <v>6.3</v>
      </c>
      <c r="J335" s="202" t="s">
        <v>277</v>
      </c>
    </row>
    <row r="336" spans="1:10" ht="14.25" customHeight="1">
      <c r="A336" s="203"/>
      <c r="B336" s="204" t="s">
        <v>19</v>
      </c>
      <c r="C336" s="205" t="s">
        <v>185</v>
      </c>
      <c r="D336" s="206" t="s">
        <v>20</v>
      </c>
      <c r="E336" s="200">
        <v>815000000</v>
      </c>
      <c r="F336" s="200">
        <v>0</v>
      </c>
      <c r="G336" s="200">
        <v>815000000</v>
      </c>
      <c r="H336" s="200">
        <f t="shared" si="5"/>
        <v>0</v>
      </c>
      <c r="I336" s="201">
        <v>6.6</v>
      </c>
      <c r="J336" s="202" t="s">
        <v>285</v>
      </c>
    </row>
    <row r="337" spans="1:10" ht="14.25" customHeight="1">
      <c r="A337" s="203"/>
      <c r="B337" s="204" t="s">
        <v>21</v>
      </c>
      <c r="C337" s="205" t="s">
        <v>189</v>
      </c>
      <c r="D337" s="206" t="s">
        <v>22</v>
      </c>
      <c r="E337" s="200">
        <v>258000000</v>
      </c>
      <c r="F337" s="200">
        <v>0</v>
      </c>
      <c r="G337" s="200">
        <v>258000000</v>
      </c>
      <c r="H337" s="200">
        <f t="shared" si="5"/>
        <v>0</v>
      </c>
      <c r="I337" s="201">
        <v>6.7</v>
      </c>
      <c r="J337" s="202" t="s">
        <v>280</v>
      </c>
    </row>
    <row r="338" spans="1:10" ht="14.25" customHeight="1">
      <c r="A338" s="203"/>
      <c r="B338" s="206" t="s">
        <v>279</v>
      </c>
      <c r="C338" s="205" t="s">
        <v>189</v>
      </c>
      <c r="D338" s="206" t="s">
        <v>23</v>
      </c>
      <c r="E338" s="200">
        <v>400000000</v>
      </c>
      <c r="F338" s="200">
        <v>0</v>
      </c>
      <c r="G338" s="200">
        <v>400000000</v>
      </c>
      <c r="H338" s="200">
        <f t="shared" si="5"/>
        <v>0</v>
      </c>
      <c r="I338" s="201">
        <v>6.65</v>
      </c>
      <c r="J338" s="202" t="s">
        <v>280</v>
      </c>
    </row>
    <row r="339" spans="1:10" ht="14.25" customHeight="1">
      <c r="A339" s="203"/>
      <c r="B339" s="206" t="s">
        <v>279</v>
      </c>
      <c r="C339" s="205" t="s">
        <v>185</v>
      </c>
      <c r="D339" s="206" t="s">
        <v>1632</v>
      </c>
      <c r="E339" s="200">
        <v>212000000</v>
      </c>
      <c r="F339" s="200">
        <v>8765531</v>
      </c>
      <c r="G339" s="200">
        <f>83659808+F339</f>
        <v>92425339</v>
      </c>
      <c r="H339" s="200">
        <f t="shared" si="5"/>
        <v>119574661</v>
      </c>
      <c r="I339" s="201">
        <v>5.5</v>
      </c>
      <c r="J339" s="202" t="s">
        <v>282</v>
      </c>
    </row>
    <row r="340" spans="1:10" ht="14.25" customHeight="1">
      <c r="A340" s="203"/>
      <c r="B340" s="206" t="s">
        <v>292</v>
      </c>
      <c r="C340" s="205" t="s">
        <v>189</v>
      </c>
      <c r="D340" s="206" t="s">
        <v>1634</v>
      </c>
      <c r="E340" s="200">
        <v>52000000</v>
      </c>
      <c r="F340" s="200">
        <v>2498066</v>
      </c>
      <c r="G340" s="200">
        <f>23612933+F340</f>
        <v>26110999</v>
      </c>
      <c r="H340" s="200">
        <f t="shared" si="5"/>
        <v>25889001</v>
      </c>
      <c r="I340" s="201">
        <v>5.65</v>
      </c>
      <c r="J340" s="202" t="s">
        <v>283</v>
      </c>
    </row>
    <row r="341" spans="1:10" ht="14.25" customHeight="1">
      <c r="A341" s="203"/>
      <c r="B341" s="206" t="s">
        <v>279</v>
      </c>
      <c r="C341" s="205" t="s">
        <v>189</v>
      </c>
      <c r="D341" s="206" t="s">
        <v>1635</v>
      </c>
      <c r="E341" s="200">
        <v>336000000</v>
      </c>
      <c r="F341" s="200">
        <v>16136455</v>
      </c>
      <c r="G341" s="200">
        <f>153020562+F341</f>
        <v>169157017</v>
      </c>
      <c r="H341" s="200">
        <f t="shared" si="5"/>
        <v>166842983</v>
      </c>
      <c r="I341" s="201">
        <v>5.6</v>
      </c>
      <c r="J341" s="202" t="s">
        <v>283</v>
      </c>
    </row>
    <row r="342" spans="1:10" ht="14.25" customHeight="1">
      <c r="A342" s="203"/>
      <c r="B342" s="206" t="s">
        <v>281</v>
      </c>
      <c r="C342" s="205" t="s">
        <v>189</v>
      </c>
      <c r="D342" s="206" t="s">
        <v>1635</v>
      </c>
      <c r="E342" s="200">
        <v>300000000</v>
      </c>
      <c r="F342" s="200">
        <v>14411915</v>
      </c>
      <c r="G342" s="200">
        <f>136228448+F342</f>
        <v>150640363</v>
      </c>
      <c r="H342" s="200">
        <f t="shared" si="5"/>
        <v>149359637</v>
      </c>
      <c r="I342" s="201">
        <v>5.65</v>
      </c>
      <c r="J342" s="202" t="s">
        <v>283</v>
      </c>
    </row>
    <row r="343" spans="1:10" ht="14.25" customHeight="1">
      <c r="A343" s="203"/>
      <c r="B343" s="206" t="s">
        <v>281</v>
      </c>
      <c r="C343" s="205" t="s">
        <v>185</v>
      </c>
      <c r="D343" s="206" t="s">
        <v>24</v>
      </c>
      <c r="E343" s="200">
        <v>440000000</v>
      </c>
      <c r="F343" s="200">
        <v>17507845</v>
      </c>
      <c r="G343" s="200">
        <f>170061806+F343</f>
        <v>187569651</v>
      </c>
      <c r="H343" s="200">
        <f t="shared" si="5"/>
        <v>252430349</v>
      </c>
      <c r="I343" s="201">
        <v>4.4000000000000004</v>
      </c>
      <c r="J343" s="202" t="s">
        <v>284</v>
      </c>
    </row>
    <row r="344" spans="1:10" ht="14.25" customHeight="1" thickBot="1">
      <c r="A344" s="269"/>
      <c r="B344" s="206" t="s">
        <v>281</v>
      </c>
      <c r="C344" s="205" t="s">
        <v>189</v>
      </c>
      <c r="D344" s="206" t="s">
        <v>25</v>
      </c>
      <c r="E344" s="200">
        <v>260000000</v>
      </c>
      <c r="F344" s="200">
        <v>11834238</v>
      </c>
      <c r="G344" s="200">
        <f>114235428+F344</f>
        <v>126069666</v>
      </c>
      <c r="H344" s="200">
        <f t="shared" si="5"/>
        <v>133930334</v>
      </c>
      <c r="I344" s="201">
        <v>4.5</v>
      </c>
      <c r="J344" s="202" t="s">
        <v>285</v>
      </c>
    </row>
    <row r="345" spans="1:10" ht="9.75" customHeight="1" thickBot="1">
      <c r="A345" s="257"/>
      <c r="B345" s="258"/>
      <c r="C345" s="257"/>
      <c r="D345" s="258"/>
      <c r="E345" s="259"/>
      <c r="F345" s="259"/>
      <c r="G345" s="259"/>
      <c r="H345" s="259"/>
      <c r="I345" s="260"/>
      <c r="J345" s="270"/>
    </row>
    <row r="346" spans="1:10">
      <c r="A346" s="479" t="s">
        <v>26</v>
      </c>
      <c r="B346" s="481" t="s">
        <v>311</v>
      </c>
      <c r="C346" s="483" t="s">
        <v>27</v>
      </c>
      <c r="D346" s="481" t="s">
        <v>312</v>
      </c>
      <c r="E346" s="485" t="s">
        <v>28</v>
      </c>
      <c r="F346" s="487" t="s">
        <v>29</v>
      </c>
      <c r="G346" s="493"/>
      <c r="H346" s="489" t="s">
        <v>174</v>
      </c>
      <c r="I346" s="491" t="s">
        <v>30</v>
      </c>
      <c r="J346" s="477" t="s">
        <v>313</v>
      </c>
    </row>
    <row r="347" spans="1:10">
      <c r="A347" s="480"/>
      <c r="B347" s="482"/>
      <c r="C347" s="484"/>
      <c r="D347" s="482"/>
      <c r="E347" s="486"/>
      <c r="F347" s="207" t="s">
        <v>176</v>
      </c>
      <c r="G347" s="207" t="s">
        <v>305</v>
      </c>
      <c r="H347" s="490"/>
      <c r="I347" s="492"/>
      <c r="J347" s="478"/>
    </row>
    <row r="348" spans="1:10">
      <c r="A348" s="209"/>
      <c r="B348" s="210"/>
      <c r="C348" s="210"/>
      <c r="D348" s="211" t="s">
        <v>177</v>
      </c>
      <c r="E348" s="212" t="s">
        <v>178</v>
      </c>
      <c r="F348" s="212" t="s">
        <v>172</v>
      </c>
      <c r="G348" s="212" t="s">
        <v>178</v>
      </c>
      <c r="H348" s="212" t="s">
        <v>178</v>
      </c>
      <c r="I348" s="213" t="s">
        <v>31</v>
      </c>
      <c r="J348" s="214" t="s">
        <v>175</v>
      </c>
    </row>
    <row r="349" spans="1:10">
      <c r="A349" s="215" t="s">
        <v>290</v>
      </c>
      <c r="B349" s="204" t="s">
        <v>341</v>
      </c>
      <c r="C349" s="205" t="s">
        <v>189</v>
      </c>
      <c r="D349" s="206" t="s">
        <v>694</v>
      </c>
      <c r="E349" s="200">
        <v>80000000</v>
      </c>
      <c r="F349" s="200">
        <v>3641152</v>
      </c>
      <c r="G349" s="200">
        <f>35257797+F349</f>
        <v>38898949</v>
      </c>
      <c r="H349" s="200">
        <f t="shared" ref="H349:H406" si="6">E349-G349</f>
        <v>41101051</v>
      </c>
      <c r="I349" s="201">
        <v>4.45</v>
      </c>
      <c r="J349" s="202" t="s">
        <v>285</v>
      </c>
    </row>
    <row r="350" spans="1:10">
      <c r="A350" s="203" t="s">
        <v>182</v>
      </c>
      <c r="B350" s="206">
        <v>4</v>
      </c>
      <c r="C350" s="205" t="s">
        <v>185</v>
      </c>
      <c r="D350" s="206" t="s">
        <v>1641</v>
      </c>
      <c r="E350" s="200">
        <v>120000000</v>
      </c>
      <c r="F350" s="200">
        <v>4640529</v>
      </c>
      <c r="G350" s="200">
        <f>44363061+F350</f>
        <v>49003590</v>
      </c>
      <c r="H350" s="200">
        <f t="shared" si="6"/>
        <v>70996410</v>
      </c>
      <c r="I350" s="201">
        <v>3.65</v>
      </c>
      <c r="J350" s="202" t="s">
        <v>286</v>
      </c>
    </row>
    <row r="351" spans="1:10" ht="14.25" customHeight="1">
      <c r="A351" s="215"/>
      <c r="B351" s="206">
        <v>5</v>
      </c>
      <c r="C351" s="205" t="s">
        <v>189</v>
      </c>
      <c r="D351" s="206" t="s">
        <v>1642</v>
      </c>
      <c r="E351" s="200">
        <v>50000000</v>
      </c>
      <c r="F351" s="200">
        <v>2189765</v>
      </c>
      <c r="G351" s="200">
        <f>20871696+F351</f>
        <v>23061461</v>
      </c>
      <c r="H351" s="200">
        <f t="shared" si="6"/>
        <v>26938539</v>
      </c>
      <c r="I351" s="201">
        <v>3.7</v>
      </c>
      <c r="J351" s="202" t="s">
        <v>282</v>
      </c>
    </row>
    <row r="352" spans="1:10" ht="14.25" customHeight="1">
      <c r="A352" s="203"/>
      <c r="B352" s="206">
        <v>5</v>
      </c>
      <c r="C352" s="205" t="s">
        <v>185</v>
      </c>
      <c r="D352" s="206" t="s">
        <v>32</v>
      </c>
      <c r="E352" s="200">
        <v>50000000</v>
      </c>
      <c r="F352" s="200">
        <v>1845998</v>
      </c>
      <c r="G352" s="200">
        <f>16022371+F352</f>
        <v>17868369</v>
      </c>
      <c r="H352" s="200">
        <f t="shared" si="6"/>
        <v>32131631</v>
      </c>
      <c r="I352" s="201">
        <v>4.75</v>
      </c>
      <c r="J352" s="202" t="s">
        <v>287</v>
      </c>
    </row>
    <row r="353" spans="1:10" ht="14.25" customHeight="1">
      <c r="A353" s="215"/>
      <c r="B353" s="206" t="s">
        <v>33</v>
      </c>
      <c r="C353" s="205" t="s">
        <v>266</v>
      </c>
      <c r="D353" s="206" t="s">
        <v>34</v>
      </c>
      <c r="E353" s="200">
        <v>580000000</v>
      </c>
      <c r="F353" s="200">
        <v>0</v>
      </c>
      <c r="G353" s="200">
        <v>580000000</v>
      </c>
      <c r="H353" s="200">
        <f t="shared" si="6"/>
        <v>0</v>
      </c>
      <c r="I353" s="201">
        <v>4.5</v>
      </c>
      <c r="J353" s="202" t="s">
        <v>244</v>
      </c>
    </row>
    <row r="354" spans="1:10" ht="14.25" customHeight="1">
      <c r="A354" s="215"/>
      <c r="B354" s="206" t="s">
        <v>35</v>
      </c>
      <c r="C354" s="205" t="s">
        <v>266</v>
      </c>
      <c r="D354" s="204" t="s">
        <v>36</v>
      </c>
      <c r="E354" s="200">
        <v>35000000</v>
      </c>
      <c r="F354" s="200">
        <v>0</v>
      </c>
      <c r="G354" s="200">
        <v>35000000</v>
      </c>
      <c r="H354" s="200">
        <f t="shared" si="6"/>
        <v>0</v>
      </c>
      <c r="I354" s="201">
        <v>4.5</v>
      </c>
      <c r="J354" s="202" t="s">
        <v>244</v>
      </c>
    </row>
    <row r="355" spans="1:10" ht="14.25" customHeight="1">
      <c r="A355" s="203"/>
      <c r="B355" s="206">
        <v>6</v>
      </c>
      <c r="C355" s="205" t="s">
        <v>189</v>
      </c>
      <c r="D355" s="206" t="s">
        <v>1649</v>
      </c>
      <c r="E355" s="200">
        <v>30000000</v>
      </c>
      <c r="F355" s="200">
        <v>1244418</v>
      </c>
      <c r="G355" s="200">
        <f>10470825+F355</f>
        <v>11715243</v>
      </c>
      <c r="H355" s="200">
        <f t="shared" si="6"/>
        <v>18284757</v>
      </c>
      <c r="I355" s="201">
        <v>4.7</v>
      </c>
      <c r="J355" s="202" t="s">
        <v>284</v>
      </c>
    </row>
    <row r="356" spans="1:10" ht="14.25" customHeight="1">
      <c r="A356" s="203"/>
      <c r="B356" s="206" t="s">
        <v>1650</v>
      </c>
      <c r="C356" s="205" t="s">
        <v>266</v>
      </c>
      <c r="D356" s="206" t="s">
        <v>1651</v>
      </c>
      <c r="E356" s="200">
        <v>580000000</v>
      </c>
      <c r="F356" s="200">
        <v>0</v>
      </c>
      <c r="G356" s="200">
        <v>580000000</v>
      </c>
      <c r="H356" s="200">
        <f t="shared" si="6"/>
        <v>0</v>
      </c>
      <c r="I356" s="201">
        <v>3</v>
      </c>
      <c r="J356" s="202" t="s">
        <v>247</v>
      </c>
    </row>
    <row r="357" spans="1:10" ht="14.25" customHeight="1">
      <c r="A357" s="203"/>
      <c r="B357" s="206" t="s">
        <v>37</v>
      </c>
      <c r="C357" s="205" t="s">
        <v>185</v>
      </c>
      <c r="D357" s="206" t="s">
        <v>38</v>
      </c>
      <c r="E357" s="200">
        <v>35000000</v>
      </c>
      <c r="F357" s="200">
        <v>1302546</v>
      </c>
      <c r="G357" s="200">
        <f>11477920+F357</f>
        <v>12780466</v>
      </c>
      <c r="H357" s="200">
        <f t="shared" si="6"/>
        <v>22219534</v>
      </c>
      <c r="I357" s="201">
        <v>3.15</v>
      </c>
      <c r="J357" s="202" t="s">
        <v>293</v>
      </c>
    </row>
    <row r="358" spans="1:10" ht="14.25" customHeight="1">
      <c r="A358" s="203"/>
      <c r="B358" s="206">
        <v>7</v>
      </c>
      <c r="C358" s="205" t="s">
        <v>189</v>
      </c>
      <c r="D358" s="206" t="s">
        <v>39</v>
      </c>
      <c r="E358" s="200">
        <v>194000000</v>
      </c>
      <c r="F358" s="200">
        <v>7992809</v>
      </c>
      <c r="G358" s="200">
        <f>67401987+F358</f>
        <v>75394796</v>
      </c>
      <c r="H358" s="200">
        <f t="shared" si="6"/>
        <v>118605204</v>
      </c>
      <c r="I358" s="201">
        <v>3.2</v>
      </c>
      <c r="J358" s="202" t="s">
        <v>286</v>
      </c>
    </row>
    <row r="359" spans="1:10" ht="14.25" customHeight="1">
      <c r="A359" s="203"/>
      <c r="B359" s="206">
        <v>7</v>
      </c>
      <c r="C359" s="205" t="s">
        <v>185</v>
      </c>
      <c r="D359" s="206" t="s">
        <v>40</v>
      </c>
      <c r="E359" s="200">
        <v>129000000</v>
      </c>
      <c r="F359" s="200">
        <v>4699690</v>
      </c>
      <c r="G359" s="200">
        <f>38502083+F359</f>
        <v>43201773</v>
      </c>
      <c r="H359" s="200">
        <f t="shared" si="6"/>
        <v>85798227</v>
      </c>
      <c r="I359" s="201">
        <v>2.9</v>
      </c>
      <c r="J359" s="216" t="s">
        <v>294</v>
      </c>
    </row>
    <row r="360" spans="1:10" ht="14.25" customHeight="1">
      <c r="A360" s="203"/>
      <c r="B360" s="206">
        <v>8</v>
      </c>
      <c r="C360" s="205" t="s">
        <v>189</v>
      </c>
      <c r="D360" s="206" t="s">
        <v>1345</v>
      </c>
      <c r="E360" s="200">
        <v>227000000</v>
      </c>
      <c r="F360" s="200">
        <v>9164175</v>
      </c>
      <c r="G360" s="200">
        <f>71786767+F360</f>
        <v>80950942</v>
      </c>
      <c r="H360" s="200">
        <f t="shared" si="6"/>
        <v>146049058</v>
      </c>
      <c r="I360" s="201">
        <v>2.85</v>
      </c>
      <c r="J360" s="216" t="s">
        <v>287</v>
      </c>
    </row>
    <row r="361" spans="1:10" ht="14.25" customHeight="1">
      <c r="A361" s="203"/>
      <c r="B361" s="206">
        <v>8</v>
      </c>
      <c r="C361" s="205" t="s">
        <v>185</v>
      </c>
      <c r="D361" s="206" t="s">
        <v>41</v>
      </c>
      <c r="E361" s="200">
        <v>278000000</v>
      </c>
      <c r="F361" s="200">
        <v>10032099</v>
      </c>
      <c r="G361" s="200">
        <f>75919526+F361</f>
        <v>85951625</v>
      </c>
      <c r="H361" s="200">
        <f t="shared" si="6"/>
        <v>192048375</v>
      </c>
      <c r="I361" s="201">
        <v>2.5</v>
      </c>
      <c r="J361" s="216" t="s">
        <v>295</v>
      </c>
    </row>
    <row r="362" spans="1:10" ht="14.25" customHeight="1">
      <c r="A362" s="203"/>
      <c r="B362" s="206">
        <v>9</v>
      </c>
      <c r="C362" s="205" t="s">
        <v>189</v>
      </c>
      <c r="D362" s="206" t="s">
        <v>42</v>
      </c>
      <c r="E362" s="200">
        <v>375000000</v>
      </c>
      <c r="F362" s="200">
        <v>15138407</v>
      </c>
      <c r="G362" s="200">
        <f>110127976+F362</f>
        <v>125266383</v>
      </c>
      <c r="H362" s="200">
        <f t="shared" si="6"/>
        <v>249733617</v>
      </c>
      <c r="I362" s="201">
        <v>2.15</v>
      </c>
      <c r="J362" s="216" t="s">
        <v>43</v>
      </c>
    </row>
    <row r="363" spans="1:10" ht="14.25" customHeight="1">
      <c r="A363" s="203"/>
      <c r="B363" s="206">
        <v>9</v>
      </c>
      <c r="C363" s="205" t="s">
        <v>185</v>
      </c>
      <c r="D363" s="206" t="s">
        <v>44</v>
      </c>
      <c r="E363" s="200">
        <v>563000000</v>
      </c>
      <c r="F363" s="200">
        <v>20156530</v>
      </c>
      <c r="G363" s="200">
        <f>137902055+F363</f>
        <v>158058585</v>
      </c>
      <c r="H363" s="200">
        <f t="shared" si="6"/>
        <v>404941415</v>
      </c>
      <c r="I363" s="201">
        <v>2.2000000000000002</v>
      </c>
      <c r="J363" s="216" t="s">
        <v>296</v>
      </c>
    </row>
    <row r="364" spans="1:10" ht="14.25" customHeight="1">
      <c r="A364" s="203"/>
      <c r="B364" s="206">
        <v>10</v>
      </c>
      <c r="C364" s="205" t="s">
        <v>189</v>
      </c>
      <c r="D364" s="206" t="s">
        <v>45</v>
      </c>
      <c r="E364" s="200">
        <v>212000000</v>
      </c>
      <c r="F364" s="200">
        <v>8397611</v>
      </c>
      <c r="G364" s="200">
        <f>54118067+F364</f>
        <v>62515678</v>
      </c>
      <c r="H364" s="200">
        <f t="shared" si="6"/>
        <v>149484322</v>
      </c>
      <c r="I364" s="201">
        <v>2.1</v>
      </c>
      <c r="J364" s="216" t="s">
        <v>294</v>
      </c>
    </row>
    <row r="365" spans="1:10" ht="14.25" customHeight="1">
      <c r="A365" s="203"/>
      <c r="B365" s="206">
        <v>10</v>
      </c>
      <c r="C365" s="205" t="s">
        <v>185</v>
      </c>
      <c r="D365" s="206" t="s">
        <v>46</v>
      </c>
      <c r="E365" s="200">
        <v>496000000</v>
      </c>
      <c r="F365" s="200">
        <v>17671028</v>
      </c>
      <c r="G365" s="200">
        <f>113880226+F365</f>
        <v>131551254</v>
      </c>
      <c r="H365" s="200">
        <f t="shared" si="6"/>
        <v>364448746</v>
      </c>
      <c r="I365" s="201">
        <v>2.1</v>
      </c>
      <c r="J365" s="216" t="s">
        <v>296</v>
      </c>
    </row>
    <row r="366" spans="1:10" ht="14.25" customHeight="1">
      <c r="A366" s="215"/>
      <c r="B366" s="206">
        <v>11</v>
      </c>
      <c r="C366" s="205" t="s">
        <v>189</v>
      </c>
      <c r="D366" s="206" t="s">
        <v>47</v>
      </c>
      <c r="E366" s="200">
        <v>448000000</v>
      </c>
      <c r="F366" s="200">
        <v>17480712</v>
      </c>
      <c r="G366" s="200">
        <f>97883963+F366</f>
        <v>115364675</v>
      </c>
      <c r="H366" s="200">
        <f t="shared" si="6"/>
        <v>332635325</v>
      </c>
      <c r="I366" s="201">
        <v>2</v>
      </c>
      <c r="J366" s="216" t="s">
        <v>48</v>
      </c>
    </row>
    <row r="367" spans="1:10" ht="14.25" customHeight="1">
      <c r="A367" s="215"/>
      <c r="B367" s="206">
        <v>11</v>
      </c>
      <c r="C367" s="205" t="s">
        <v>185</v>
      </c>
      <c r="D367" s="206" t="s">
        <v>49</v>
      </c>
      <c r="E367" s="200">
        <v>593000000</v>
      </c>
      <c r="F367" s="200">
        <v>20835095</v>
      </c>
      <c r="G367" s="200">
        <f>116666972+F367</f>
        <v>137502067</v>
      </c>
      <c r="H367" s="200">
        <f t="shared" si="6"/>
        <v>455497933</v>
      </c>
      <c r="I367" s="201">
        <v>2</v>
      </c>
      <c r="J367" s="216" t="s">
        <v>50</v>
      </c>
    </row>
    <row r="368" spans="1:10" ht="14.25" customHeight="1">
      <c r="A368" s="215"/>
      <c r="B368" s="206">
        <v>12</v>
      </c>
      <c r="C368" s="205" t="s">
        <v>189</v>
      </c>
      <c r="D368" s="206" t="s">
        <v>297</v>
      </c>
      <c r="E368" s="200">
        <v>1584000000</v>
      </c>
      <c r="F368" s="200">
        <v>62034278</v>
      </c>
      <c r="G368" s="200">
        <f>295331395+F368</f>
        <v>357365673</v>
      </c>
      <c r="H368" s="200">
        <f t="shared" si="6"/>
        <v>1226634327</v>
      </c>
      <c r="I368" s="201">
        <v>1.65</v>
      </c>
      <c r="J368" s="216" t="s">
        <v>296</v>
      </c>
    </row>
    <row r="369" spans="1:12" ht="14.25" customHeight="1">
      <c r="A369" s="215"/>
      <c r="B369" s="206">
        <v>13</v>
      </c>
      <c r="C369" s="205" t="s">
        <v>189</v>
      </c>
      <c r="D369" s="206" t="s">
        <v>51</v>
      </c>
      <c r="E369" s="200">
        <v>579000000</v>
      </c>
      <c r="F369" s="200">
        <v>21373230</v>
      </c>
      <c r="G369" s="200">
        <f>80966305+F369</f>
        <v>102339535</v>
      </c>
      <c r="H369" s="200">
        <f t="shared" si="6"/>
        <v>476660465</v>
      </c>
      <c r="I369" s="201">
        <v>2.2000000000000002</v>
      </c>
      <c r="J369" s="216" t="s">
        <v>52</v>
      </c>
    </row>
    <row r="370" spans="1:12" ht="14.25" customHeight="1">
      <c r="A370" s="215"/>
      <c r="B370" s="206">
        <v>14</v>
      </c>
      <c r="C370" s="205" t="s">
        <v>189</v>
      </c>
      <c r="D370" s="206" t="s">
        <v>53</v>
      </c>
      <c r="E370" s="200">
        <v>1009000000</v>
      </c>
      <c r="F370" s="200">
        <v>39403952</v>
      </c>
      <c r="G370" s="200">
        <f>115194096+F370</f>
        <v>154598048</v>
      </c>
      <c r="H370" s="200">
        <f t="shared" si="6"/>
        <v>854401952</v>
      </c>
      <c r="I370" s="201">
        <v>1.3</v>
      </c>
      <c r="J370" s="216" t="s">
        <v>54</v>
      </c>
    </row>
    <row r="371" spans="1:12" ht="14.25" customHeight="1">
      <c r="A371" s="215"/>
      <c r="B371" s="206">
        <v>15</v>
      </c>
      <c r="C371" s="205" t="s">
        <v>189</v>
      </c>
      <c r="D371" s="206" t="s">
        <v>55</v>
      </c>
      <c r="E371" s="200">
        <v>870000000</v>
      </c>
      <c r="F371" s="200">
        <v>31656747</v>
      </c>
      <c r="G371" s="200">
        <f>61545561+F371</f>
        <v>93202308</v>
      </c>
      <c r="H371" s="200">
        <f t="shared" si="6"/>
        <v>776797692</v>
      </c>
      <c r="I371" s="201">
        <v>1.9</v>
      </c>
      <c r="J371" s="216" t="s">
        <v>56</v>
      </c>
    </row>
    <row r="372" spans="1:12" ht="14.25" customHeight="1">
      <c r="A372" s="215"/>
      <c r="B372" s="206">
        <v>16</v>
      </c>
      <c r="C372" s="205" t="s">
        <v>189</v>
      </c>
      <c r="D372" s="206" t="s">
        <v>57</v>
      </c>
      <c r="E372" s="200">
        <v>693000000</v>
      </c>
      <c r="F372" s="200">
        <v>24216833</v>
      </c>
      <c r="G372" s="200">
        <f>23716178+F372</f>
        <v>47933011</v>
      </c>
      <c r="H372" s="200">
        <f t="shared" si="6"/>
        <v>645066989</v>
      </c>
      <c r="I372" s="201">
        <v>2.1</v>
      </c>
      <c r="J372" s="216" t="s">
        <v>58</v>
      </c>
    </row>
    <row r="373" spans="1:12" ht="14.25" customHeight="1">
      <c r="A373" s="203"/>
      <c r="B373" s="204">
        <v>17</v>
      </c>
      <c r="C373" s="205" t="s">
        <v>189</v>
      </c>
      <c r="D373" s="206" t="s">
        <v>59</v>
      </c>
      <c r="E373" s="200">
        <v>362000000</v>
      </c>
      <c r="F373" s="200">
        <v>0</v>
      </c>
      <c r="G373" s="200">
        <v>362000000</v>
      </c>
      <c r="H373" s="200">
        <f t="shared" si="6"/>
        <v>0</v>
      </c>
      <c r="I373" s="201">
        <v>2.0499999999999998</v>
      </c>
      <c r="J373" s="202" t="s">
        <v>60</v>
      </c>
    </row>
    <row r="374" spans="1:12" ht="14.25" customHeight="1">
      <c r="A374" s="203"/>
      <c r="B374" s="204">
        <v>17</v>
      </c>
      <c r="C374" s="205" t="s">
        <v>189</v>
      </c>
      <c r="D374" s="206" t="s">
        <v>59</v>
      </c>
      <c r="E374" s="200">
        <v>977000000</v>
      </c>
      <c r="F374" s="200">
        <v>0</v>
      </c>
      <c r="G374" s="200">
        <f>977000000+F374</f>
        <v>977000000</v>
      </c>
      <c r="H374" s="200">
        <f t="shared" si="6"/>
        <v>0</v>
      </c>
      <c r="I374" s="201">
        <v>2.0499999999999998</v>
      </c>
      <c r="J374" s="202" t="s">
        <v>61</v>
      </c>
    </row>
    <row r="375" spans="1:12" ht="14.25" customHeight="1">
      <c r="A375" s="203"/>
      <c r="B375" s="204">
        <v>17</v>
      </c>
      <c r="C375" s="205" t="s">
        <v>189</v>
      </c>
      <c r="D375" s="206" t="s">
        <v>62</v>
      </c>
      <c r="E375" s="200">
        <v>1135000000</v>
      </c>
      <c r="F375" s="200">
        <v>39302527</v>
      </c>
      <c r="G375" s="200">
        <v>39302527</v>
      </c>
      <c r="H375" s="200">
        <f t="shared" si="6"/>
        <v>1095697473</v>
      </c>
      <c r="I375" s="201">
        <v>2</v>
      </c>
      <c r="J375" s="202" t="s">
        <v>63</v>
      </c>
      <c r="K375" s="271"/>
    </row>
    <row r="376" spans="1:12" ht="14.25" customHeight="1">
      <c r="A376" s="203"/>
      <c r="B376" s="204">
        <v>18</v>
      </c>
      <c r="C376" s="205" t="s">
        <v>189</v>
      </c>
      <c r="D376" s="204" t="s">
        <v>64</v>
      </c>
      <c r="E376" s="200">
        <v>392300000</v>
      </c>
      <c r="F376" s="200">
        <v>0</v>
      </c>
      <c r="G376" s="200">
        <v>392300000</v>
      </c>
      <c r="H376" s="200">
        <f t="shared" si="6"/>
        <v>0</v>
      </c>
      <c r="I376" s="201">
        <v>2.5499999999999998</v>
      </c>
      <c r="J376" s="202" t="s">
        <v>65</v>
      </c>
    </row>
    <row r="377" spans="1:12" ht="14.25" customHeight="1">
      <c r="A377" s="203"/>
      <c r="B377" s="204">
        <v>18</v>
      </c>
      <c r="C377" s="205" t="s">
        <v>189</v>
      </c>
      <c r="D377" s="204" t="s">
        <v>64</v>
      </c>
      <c r="E377" s="200">
        <v>1195300000</v>
      </c>
      <c r="F377" s="200">
        <v>0</v>
      </c>
      <c r="G377" s="200">
        <f>1195300000+F377</f>
        <v>1195300000</v>
      </c>
      <c r="H377" s="200">
        <f t="shared" si="6"/>
        <v>0</v>
      </c>
      <c r="I377" s="201">
        <v>2.5499999999999998</v>
      </c>
      <c r="J377" s="202" t="s">
        <v>66</v>
      </c>
    </row>
    <row r="378" spans="1:12" ht="14.25" customHeight="1">
      <c r="A378" s="203"/>
      <c r="B378" s="204">
        <v>18</v>
      </c>
      <c r="C378" s="205" t="s">
        <v>189</v>
      </c>
      <c r="D378" s="204" t="s">
        <v>347</v>
      </c>
      <c r="E378" s="200">
        <v>1109000000</v>
      </c>
      <c r="F378" s="200">
        <v>0</v>
      </c>
      <c r="G378" s="200">
        <v>0</v>
      </c>
      <c r="H378" s="200">
        <f t="shared" si="6"/>
        <v>1109000000</v>
      </c>
      <c r="I378" s="201">
        <v>2.1</v>
      </c>
      <c r="J378" s="202" t="s">
        <v>344</v>
      </c>
    </row>
    <row r="379" spans="1:12" ht="14.25" customHeight="1">
      <c r="A379" s="203"/>
      <c r="B379" s="204">
        <v>19</v>
      </c>
      <c r="C379" s="205" t="s">
        <v>1325</v>
      </c>
      <c r="D379" s="204" t="s">
        <v>67</v>
      </c>
      <c r="E379" s="200">
        <v>417100000</v>
      </c>
      <c r="F379" s="200">
        <v>0</v>
      </c>
      <c r="G379" s="200">
        <v>417100000</v>
      </c>
      <c r="H379" s="200">
        <f t="shared" si="6"/>
        <v>0</v>
      </c>
      <c r="I379" s="201">
        <v>2.4</v>
      </c>
      <c r="J379" s="202" t="s">
        <v>68</v>
      </c>
    </row>
    <row r="380" spans="1:12" ht="14.25" customHeight="1">
      <c r="A380" s="203"/>
      <c r="B380" s="204">
        <v>19</v>
      </c>
      <c r="C380" s="205" t="s">
        <v>1325</v>
      </c>
      <c r="D380" s="204" t="s">
        <v>67</v>
      </c>
      <c r="E380" s="200">
        <v>213300000</v>
      </c>
      <c r="F380" s="200">
        <v>0</v>
      </c>
      <c r="G380" s="200">
        <v>213300000</v>
      </c>
      <c r="H380" s="200">
        <f t="shared" si="6"/>
        <v>0</v>
      </c>
      <c r="I380" s="201">
        <v>2.4</v>
      </c>
      <c r="J380" s="202" t="s">
        <v>69</v>
      </c>
    </row>
    <row r="381" spans="1:12" ht="14.25" customHeight="1">
      <c r="A381" s="203"/>
      <c r="B381" s="204">
        <v>19</v>
      </c>
      <c r="C381" s="205" t="s">
        <v>1325</v>
      </c>
      <c r="D381" s="204" t="s">
        <v>1328</v>
      </c>
      <c r="E381" s="200">
        <v>1129000000</v>
      </c>
      <c r="F381" s="200">
        <v>0</v>
      </c>
      <c r="G381" s="200">
        <v>0</v>
      </c>
      <c r="H381" s="200">
        <f t="shared" si="6"/>
        <v>1129000000</v>
      </c>
      <c r="I381" s="201">
        <v>2.0499999999999998</v>
      </c>
      <c r="J381" s="202" t="s">
        <v>1327</v>
      </c>
    </row>
    <row r="382" spans="1:12" ht="14.25" customHeight="1">
      <c r="A382" s="203"/>
      <c r="B382" s="204">
        <v>20</v>
      </c>
      <c r="C382" s="217" t="s">
        <v>695</v>
      </c>
      <c r="D382" s="204" t="s">
        <v>1332</v>
      </c>
      <c r="E382" s="200">
        <v>1276000000</v>
      </c>
      <c r="F382" s="200">
        <v>0</v>
      </c>
      <c r="G382" s="200">
        <v>0</v>
      </c>
      <c r="H382" s="200">
        <f t="shared" si="6"/>
        <v>1276000000</v>
      </c>
      <c r="I382" s="201">
        <v>1.9</v>
      </c>
      <c r="J382" s="202" t="s">
        <v>1322</v>
      </c>
    </row>
    <row r="383" spans="1:12" ht="14.25" customHeight="1">
      <c r="A383" s="203"/>
      <c r="B383" s="204">
        <v>21</v>
      </c>
      <c r="C383" s="205" t="s">
        <v>345</v>
      </c>
      <c r="D383" s="204" t="s">
        <v>1335</v>
      </c>
      <c r="E383" s="200">
        <v>1020000000</v>
      </c>
      <c r="F383" s="200">
        <v>0</v>
      </c>
      <c r="G383" s="200">
        <v>0</v>
      </c>
      <c r="H383" s="200">
        <f t="shared" si="6"/>
        <v>1020000000</v>
      </c>
      <c r="I383" s="201">
        <v>2.1</v>
      </c>
      <c r="J383" s="202" t="s">
        <v>696</v>
      </c>
      <c r="L383" s="267"/>
    </row>
    <row r="384" spans="1:12" ht="14.25" customHeight="1">
      <c r="A384" s="203"/>
      <c r="B384" s="204">
        <v>22</v>
      </c>
      <c r="C384" s="205" t="s">
        <v>345</v>
      </c>
      <c r="D384" s="204" t="s">
        <v>1338</v>
      </c>
      <c r="E384" s="200">
        <v>751000000</v>
      </c>
      <c r="F384" s="200">
        <v>0</v>
      </c>
      <c r="G384" s="200">
        <v>0</v>
      </c>
      <c r="H384" s="200">
        <f t="shared" si="6"/>
        <v>751000000</v>
      </c>
      <c r="I384" s="201">
        <v>1.9</v>
      </c>
      <c r="J384" s="202" t="s">
        <v>1337</v>
      </c>
    </row>
    <row r="385" spans="1:11" ht="17.25" customHeight="1">
      <c r="A385" s="219" t="s">
        <v>1341</v>
      </c>
      <c r="B385" s="220" t="s">
        <v>173</v>
      </c>
      <c r="C385" s="221" t="s">
        <v>173</v>
      </c>
      <c r="D385" s="222"/>
      <c r="E385" s="245">
        <f>SUM(E292:E344,E349:E384)</f>
        <v>69239000000</v>
      </c>
      <c r="F385" s="245">
        <f>SUM(F292:F344,F349:F384)</f>
        <v>689009855</v>
      </c>
      <c r="G385" s="245">
        <f>SUM(G292:G344,G349:G384)</f>
        <v>53820904006</v>
      </c>
      <c r="H385" s="245">
        <f>SUM(H292:H344,H349:H384)</f>
        <v>15418095994</v>
      </c>
      <c r="I385" s="223"/>
      <c r="J385" s="224" t="s">
        <v>173</v>
      </c>
    </row>
    <row r="386" spans="1:11" ht="14.25" customHeight="1">
      <c r="A386" s="215" t="s">
        <v>298</v>
      </c>
      <c r="B386" s="206" t="s">
        <v>70</v>
      </c>
      <c r="C386" s="205" t="s">
        <v>180</v>
      </c>
      <c r="D386" s="206" t="s">
        <v>71</v>
      </c>
      <c r="E386" s="200">
        <v>299000000</v>
      </c>
      <c r="F386" s="200">
        <v>0</v>
      </c>
      <c r="G386" s="200">
        <v>299000000</v>
      </c>
      <c r="H386" s="200">
        <f t="shared" si="6"/>
        <v>0</v>
      </c>
      <c r="I386" s="213">
        <v>8</v>
      </c>
      <c r="J386" s="214" t="s">
        <v>217</v>
      </c>
      <c r="K386" s="271"/>
    </row>
    <row r="387" spans="1:11" ht="14.25" customHeight="1">
      <c r="A387" s="203" t="s">
        <v>182</v>
      </c>
      <c r="B387" s="204">
        <v>54</v>
      </c>
      <c r="C387" s="263" t="s">
        <v>180</v>
      </c>
      <c r="D387" s="206" t="s">
        <v>72</v>
      </c>
      <c r="E387" s="200">
        <v>535000000</v>
      </c>
      <c r="F387" s="200">
        <v>0</v>
      </c>
      <c r="G387" s="200">
        <v>535000000</v>
      </c>
      <c r="H387" s="200">
        <f t="shared" si="6"/>
        <v>0</v>
      </c>
      <c r="I387" s="201">
        <v>8.1</v>
      </c>
      <c r="J387" s="202" t="s">
        <v>223</v>
      </c>
    </row>
    <row r="388" spans="1:11" ht="14.25" customHeight="1">
      <c r="A388" s="203"/>
      <c r="B388" s="204">
        <v>55</v>
      </c>
      <c r="C388" s="263" t="s">
        <v>180</v>
      </c>
      <c r="D388" s="206" t="s">
        <v>73</v>
      </c>
      <c r="E388" s="200">
        <v>640000000</v>
      </c>
      <c r="F388" s="200">
        <v>0</v>
      </c>
      <c r="G388" s="200">
        <v>640000000</v>
      </c>
      <c r="H388" s="200">
        <f t="shared" si="6"/>
        <v>0</v>
      </c>
      <c r="I388" s="201">
        <v>7.8</v>
      </c>
      <c r="J388" s="202" t="s">
        <v>227</v>
      </c>
    </row>
    <row r="389" spans="1:11" ht="17.25" customHeight="1">
      <c r="A389" s="219" t="s">
        <v>1671</v>
      </c>
      <c r="B389" s="220" t="s">
        <v>173</v>
      </c>
      <c r="C389" s="221" t="s">
        <v>173</v>
      </c>
      <c r="D389" s="222" t="s">
        <v>173</v>
      </c>
      <c r="E389" s="245">
        <f>SUM(E386:E388)</f>
        <v>1474000000</v>
      </c>
      <c r="F389" s="245">
        <f>SUM(F386:F388)</f>
        <v>0</v>
      </c>
      <c r="G389" s="245">
        <f>SUM(G386:G388)</f>
        <v>1474000000</v>
      </c>
      <c r="H389" s="245">
        <f>SUM(H386:H388)</f>
        <v>0</v>
      </c>
      <c r="I389" s="223"/>
      <c r="J389" s="224" t="s">
        <v>173</v>
      </c>
    </row>
    <row r="390" spans="1:11" ht="14.25" customHeight="1">
      <c r="A390" s="209" t="s">
        <v>299</v>
      </c>
      <c r="B390" s="211" t="s">
        <v>74</v>
      </c>
      <c r="C390" s="249" t="s">
        <v>189</v>
      </c>
      <c r="D390" s="211" t="s">
        <v>75</v>
      </c>
      <c r="E390" s="250">
        <v>440000000</v>
      </c>
      <c r="F390" s="200">
        <v>20026333</v>
      </c>
      <c r="G390" s="200">
        <f>193917879+F390</f>
        <v>213944212</v>
      </c>
      <c r="H390" s="200">
        <f t="shared" si="6"/>
        <v>226055788</v>
      </c>
      <c r="I390" s="213">
        <v>4.45</v>
      </c>
      <c r="J390" s="214" t="s">
        <v>285</v>
      </c>
    </row>
    <row r="391" spans="1:11" ht="14.25" customHeight="1">
      <c r="A391" s="203" t="s">
        <v>182</v>
      </c>
      <c r="B391" s="206">
        <v>4</v>
      </c>
      <c r="C391" s="205" t="s">
        <v>185</v>
      </c>
      <c r="D391" s="206" t="s">
        <v>1641</v>
      </c>
      <c r="E391" s="200">
        <v>660000000</v>
      </c>
      <c r="F391" s="200">
        <v>25522909</v>
      </c>
      <c r="G391" s="200">
        <f>243996837+F391</f>
        <v>269519746</v>
      </c>
      <c r="H391" s="200">
        <f t="shared" si="6"/>
        <v>390480254</v>
      </c>
      <c r="I391" s="201">
        <v>3.65</v>
      </c>
      <c r="J391" s="202" t="s">
        <v>286</v>
      </c>
    </row>
    <row r="392" spans="1:11" ht="14.25" customHeight="1">
      <c r="A392" s="203"/>
      <c r="B392" s="206">
        <v>5</v>
      </c>
      <c r="C392" s="205" t="s">
        <v>189</v>
      </c>
      <c r="D392" s="206" t="s">
        <v>1642</v>
      </c>
      <c r="E392" s="200">
        <v>650000000</v>
      </c>
      <c r="F392" s="200">
        <v>28466944</v>
      </c>
      <c r="G392" s="200">
        <f>271332051+F392</f>
        <v>299798995</v>
      </c>
      <c r="H392" s="200">
        <f t="shared" si="6"/>
        <v>350201005</v>
      </c>
      <c r="I392" s="201">
        <v>3.7</v>
      </c>
      <c r="J392" s="202" t="s">
        <v>282</v>
      </c>
    </row>
    <row r="393" spans="1:11" ht="14.25" customHeight="1">
      <c r="A393" s="203"/>
      <c r="B393" s="206">
        <v>5</v>
      </c>
      <c r="C393" s="205" t="s">
        <v>185</v>
      </c>
      <c r="D393" s="206" t="s">
        <v>32</v>
      </c>
      <c r="E393" s="200">
        <v>650000000</v>
      </c>
      <c r="F393" s="200">
        <v>23997986</v>
      </c>
      <c r="G393" s="200">
        <f>208290808+F393</f>
        <v>232288794</v>
      </c>
      <c r="H393" s="200">
        <f t="shared" si="6"/>
        <v>417711206</v>
      </c>
      <c r="I393" s="201">
        <v>4.75</v>
      </c>
      <c r="J393" s="216" t="s">
        <v>287</v>
      </c>
    </row>
    <row r="394" spans="1:11" ht="14.25" customHeight="1">
      <c r="A394" s="203"/>
      <c r="B394" s="206">
        <v>6</v>
      </c>
      <c r="C394" s="205" t="s">
        <v>266</v>
      </c>
      <c r="D394" s="206" t="s">
        <v>34</v>
      </c>
      <c r="E394" s="200">
        <v>702000000</v>
      </c>
      <c r="F394" s="200">
        <v>0</v>
      </c>
      <c r="G394" s="200">
        <v>702000000</v>
      </c>
      <c r="H394" s="200">
        <f t="shared" si="6"/>
        <v>0</v>
      </c>
      <c r="I394" s="201">
        <v>4.5</v>
      </c>
      <c r="J394" s="202" t="s">
        <v>244</v>
      </c>
    </row>
    <row r="395" spans="1:11" ht="14.25" customHeight="1">
      <c r="A395" s="215"/>
      <c r="B395" s="206">
        <v>6</v>
      </c>
      <c r="C395" s="205" t="s">
        <v>189</v>
      </c>
      <c r="D395" s="206" t="s">
        <v>1649</v>
      </c>
      <c r="E395" s="200">
        <v>1122000000</v>
      </c>
      <c r="F395" s="200">
        <v>46541220</v>
      </c>
      <c r="G395" s="200">
        <f>391608839+F395</f>
        <v>438150059</v>
      </c>
      <c r="H395" s="200">
        <f t="shared" si="6"/>
        <v>683849941</v>
      </c>
      <c r="I395" s="201">
        <v>4.7</v>
      </c>
      <c r="J395" s="202" t="s">
        <v>284</v>
      </c>
    </row>
    <row r="396" spans="1:11" ht="14.25" customHeight="1">
      <c r="A396" s="203"/>
      <c r="B396" s="206">
        <v>6</v>
      </c>
      <c r="C396" s="205" t="s">
        <v>185</v>
      </c>
      <c r="D396" s="206" t="s">
        <v>76</v>
      </c>
      <c r="E396" s="200">
        <v>1482000000</v>
      </c>
      <c r="F396" s="200">
        <v>55153513</v>
      </c>
      <c r="G396" s="200">
        <f>486007917+F396</f>
        <v>541161430</v>
      </c>
      <c r="H396" s="200">
        <f t="shared" si="6"/>
        <v>940838570</v>
      </c>
      <c r="I396" s="201">
        <v>3.15</v>
      </c>
      <c r="J396" s="202" t="s">
        <v>293</v>
      </c>
    </row>
    <row r="397" spans="1:11" ht="14.25" customHeight="1">
      <c r="A397" s="203"/>
      <c r="B397" s="206">
        <v>7</v>
      </c>
      <c r="C397" s="205" t="s">
        <v>189</v>
      </c>
      <c r="D397" s="206" t="s">
        <v>77</v>
      </c>
      <c r="E397" s="200">
        <v>3595000000</v>
      </c>
      <c r="F397" s="200">
        <v>148114181</v>
      </c>
      <c r="G397" s="200">
        <f>1249021333+F397</f>
        <v>1397135514</v>
      </c>
      <c r="H397" s="200">
        <f t="shared" si="6"/>
        <v>2197864486</v>
      </c>
      <c r="I397" s="201">
        <v>3.2</v>
      </c>
      <c r="J397" s="202" t="s">
        <v>286</v>
      </c>
    </row>
    <row r="398" spans="1:11" ht="14.25" customHeight="1">
      <c r="A398" s="203"/>
      <c r="B398" s="206">
        <v>7</v>
      </c>
      <c r="C398" s="205" t="s">
        <v>185</v>
      </c>
      <c r="D398" s="206" t="s">
        <v>40</v>
      </c>
      <c r="E398" s="200">
        <v>3195000000</v>
      </c>
      <c r="F398" s="200">
        <v>116399296</v>
      </c>
      <c r="G398" s="200">
        <f>953598112+F398</f>
        <v>1069997408</v>
      </c>
      <c r="H398" s="200">
        <f t="shared" si="6"/>
        <v>2125002592</v>
      </c>
      <c r="I398" s="201">
        <v>2.9</v>
      </c>
      <c r="J398" s="216" t="s">
        <v>294</v>
      </c>
    </row>
    <row r="399" spans="1:11" ht="14.25" customHeight="1">
      <c r="A399" s="218"/>
      <c r="B399" s="204">
        <v>8</v>
      </c>
      <c r="C399" s="205" t="s">
        <v>189</v>
      </c>
      <c r="D399" s="204" t="s">
        <v>78</v>
      </c>
      <c r="E399" s="200">
        <v>4848000000</v>
      </c>
      <c r="F399" s="200">
        <v>195717712</v>
      </c>
      <c r="G399" s="200">
        <f>1533137669+F399</f>
        <v>1728855381</v>
      </c>
      <c r="H399" s="200">
        <f t="shared" si="6"/>
        <v>3119144619</v>
      </c>
      <c r="I399" s="201">
        <v>2.85</v>
      </c>
      <c r="J399" s="202" t="s">
        <v>287</v>
      </c>
    </row>
    <row r="400" spans="1:11" ht="14.25" customHeight="1">
      <c r="A400" s="218"/>
      <c r="B400" s="204">
        <v>8</v>
      </c>
      <c r="C400" s="205" t="s">
        <v>185</v>
      </c>
      <c r="D400" s="206" t="s">
        <v>79</v>
      </c>
      <c r="E400" s="200">
        <v>5118000000</v>
      </c>
      <c r="F400" s="200">
        <v>188143573</v>
      </c>
      <c r="G400" s="200">
        <f>1450026085+F400</f>
        <v>1638169658</v>
      </c>
      <c r="H400" s="200">
        <f t="shared" si="6"/>
        <v>3479830342</v>
      </c>
      <c r="I400" s="201">
        <v>2.1</v>
      </c>
      <c r="J400" s="216" t="s">
        <v>295</v>
      </c>
    </row>
    <row r="401" spans="1:10" ht="14.25" customHeight="1">
      <c r="A401" s="218"/>
      <c r="B401" s="206">
        <v>9</v>
      </c>
      <c r="C401" s="205" t="s">
        <v>189</v>
      </c>
      <c r="D401" s="206" t="s">
        <v>42</v>
      </c>
      <c r="E401" s="200">
        <v>3566000000</v>
      </c>
      <c r="F401" s="200">
        <v>143956160</v>
      </c>
      <c r="G401" s="200">
        <f>1047243626+F401</f>
        <v>1191199786</v>
      </c>
      <c r="H401" s="200">
        <f t="shared" si="6"/>
        <v>2374800214</v>
      </c>
      <c r="I401" s="201">
        <v>2.15</v>
      </c>
      <c r="J401" s="216" t="s">
        <v>293</v>
      </c>
    </row>
    <row r="402" spans="1:10" ht="14.25" customHeight="1">
      <c r="A402" s="218"/>
      <c r="B402" s="204">
        <v>9</v>
      </c>
      <c r="C402" s="205" t="s">
        <v>185</v>
      </c>
      <c r="D402" s="206" t="s">
        <v>44</v>
      </c>
      <c r="E402" s="200">
        <v>5348000000</v>
      </c>
      <c r="F402" s="200">
        <v>191469138</v>
      </c>
      <c r="G402" s="200">
        <f>1309947038+F402</f>
        <v>1501416176</v>
      </c>
      <c r="H402" s="200">
        <f t="shared" si="6"/>
        <v>3846583824</v>
      </c>
      <c r="I402" s="201">
        <v>2.2000000000000002</v>
      </c>
      <c r="J402" s="216" t="s">
        <v>296</v>
      </c>
    </row>
    <row r="403" spans="1:10" ht="14.25" customHeight="1">
      <c r="A403" s="218"/>
      <c r="B403" s="206">
        <v>10</v>
      </c>
      <c r="C403" s="205" t="s">
        <v>189</v>
      </c>
      <c r="D403" s="206" t="s">
        <v>45</v>
      </c>
      <c r="E403" s="200">
        <v>2758000000</v>
      </c>
      <c r="F403" s="200">
        <v>109248174</v>
      </c>
      <c r="G403" s="200">
        <f>704045420+F403</f>
        <v>813293594</v>
      </c>
      <c r="H403" s="200">
        <f t="shared" si="6"/>
        <v>1944706406</v>
      </c>
      <c r="I403" s="201">
        <v>2.1</v>
      </c>
      <c r="J403" s="216" t="s">
        <v>294</v>
      </c>
    </row>
    <row r="404" spans="1:10" ht="14.25" customHeight="1">
      <c r="A404" s="218"/>
      <c r="B404" s="206">
        <v>10</v>
      </c>
      <c r="C404" s="205" t="s">
        <v>185</v>
      </c>
      <c r="D404" s="206" t="s">
        <v>46</v>
      </c>
      <c r="E404" s="200">
        <v>3707000000</v>
      </c>
      <c r="F404" s="200">
        <v>132069562</v>
      </c>
      <c r="G404" s="200">
        <f>851116927+F404</f>
        <v>983186489</v>
      </c>
      <c r="H404" s="200">
        <f t="shared" si="6"/>
        <v>2723813511</v>
      </c>
      <c r="I404" s="201">
        <v>2.1</v>
      </c>
      <c r="J404" s="216" t="s">
        <v>296</v>
      </c>
    </row>
    <row r="405" spans="1:10" ht="14.25" customHeight="1">
      <c r="A405" s="218"/>
      <c r="B405" s="206">
        <v>11</v>
      </c>
      <c r="C405" s="205" t="s">
        <v>266</v>
      </c>
      <c r="D405" s="206" t="s">
        <v>84</v>
      </c>
      <c r="E405" s="200">
        <v>2000000000</v>
      </c>
      <c r="F405" s="200">
        <v>0</v>
      </c>
      <c r="G405" s="200">
        <v>2000000000</v>
      </c>
      <c r="H405" s="200">
        <f t="shared" si="6"/>
        <v>0</v>
      </c>
      <c r="I405" s="201">
        <v>1.8</v>
      </c>
      <c r="J405" s="216" t="s">
        <v>60</v>
      </c>
    </row>
    <row r="406" spans="1:10" ht="14.25" customHeight="1" thickBot="1">
      <c r="A406" s="218"/>
      <c r="B406" s="206">
        <v>11</v>
      </c>
      <c r="C406" s="205" t="s">
        <v>189</v>
      </c>
      <c r="D406" s="206" t="s">
        <v>47</v>
      </c>
      <c r="E406" s="200">
        <v>1860000000</v>
      </c>
      <c r="F406" s="200">
        <v>72576170</v>
      </c>
      <c r="G406" s="200">
        <f>406393242+F406</f>
        <v>478969412</v>
      </c>
      <c r="H406" s="200">
        <f t="shared" si="6"/>
        <v>1381030588</v>
      </c>
      <c r="I406" s="201">
        <v>2</v>
      </c>
      <c r="J406" s="216" t="s">
        <v>48</v>
      </c>
    </row>
    <row r="407" spans="1:10" ht="9.75" customHeight="1" thickBot="1">
      <c r="A407" s="257"/>
      <c r="B407" s="258"/>
      <c r="C407" s="257"/>
      <c r="D407" s="258"/>
      <c r="E407" s="259"/>
      <c r="F407" s="259"/>
      <c r="G407" s="259"/>
      <c r="H407" s="259"/>
      <c r="I407" s="260"/>
      <c r="J407" s="261"/>
    </row>
    <row r="408" spans="1:10">
      <c r="A408" s="479" t="s">
        <v>85</v>
      </c>
      <c r="B408" s="481" t="s">
        <v>311</v>
      </c>
      <c r="C408" s="483" t="s">
        <v>86</v>
      </c>
      <c r="D408" s="481" t="s">
        <v>312</v>
      </c>
      <c r="E408" s="485" t="s">
        <v>87</v>
      </c>
      <c r="F408" s="487" t="s">
        <v>88</v>
      </c>
      <c r="G408" s="493"/>
      <c r="H408" s="489" t="s">
        <v>174</v>
      </c>
      <c r="I408" s="491" t="s">
        <v>89</v>
      </c>
      <c r="J408" s="477" t="s">
        <v>313</v>
      </c>
    </row>
    <row r="409" spans="1:10">
      <c r="A409" s="480"/>
      <c r="B409" s="482"/>
      <c r="C409" s="484"/>
      <c r="D409" s="482"/>
      <c r="E409" s="486"/>
      <c r="F409" s="207" t="s">
        <v>176</v>
      </c>
      <c r="G409" s="207" t="s">
        <v>305</v>
      </c>
      <c r="H409" s="490"/>
      <c r="I409" s="492"/>
      <c r="J409" s="478"/>
    </row>
    <row r="410" spans="1:10">
      <c r="A410" s="209"/>
      <c r="B410" s="210"/>
      <c r="C410" s="210"/>
      <c r="D410" s="211" t="s">
        <v>177</v>
      </c>
      <c r="E410" s="212" t="s">
        <v>178</v>
      </c>
      <c r="F410" s="212" t="s">
        <v>172</v>
      </c>
      <c r="G410" s="212" t="s">
        <v>178</v>
      </c>
      <c r="H410" s="212" t="s">
        <v>178</v>
      </c>
      <c r="I410" s="213" t="s">
        <v>90</v>
      </c>
      <c r="J410" s="214" t="s">
        <v>175</v>
      </c>
    </row>
    <row r="411" spans="1:10" ht="14.25" customHeight="1">
      <c r="A411" s="215" t="s">
        <v>299</v>
      </c>
      <c r="B411" s="204" t="s">
        <v>342</v>
      </c>
      <c r="C411" s="205" t="s">
        <v>185</v>
      </c>
      <c r="D411" s="206" t="s">
        <v>697</v>
      </c>
      <c r="E411" s="200">
        <v>2253000000</v>
      </c>
      <c r="F411" s="200">
        <v>79159309</v>
      </c>
      <c r="G411" s="200">
        <f>443255798+F411</f>
        <v>522415107</v>
      </c>
      <c r="H411" s="200">
        <f t="shared" ref="H411:H426" si="7">E411-G411</f>
        <v>1730584893</v>
      </c>
      <c r="I411" s="201">
        <v>2</v>
      </c>
      <c r="J411" s="216" t="s">
        <v>50</v>
      </c>
    </row>
    <row r="412" spans="1:10" ht="14.25" customHeight="1">
      <c r="A412" s="203" t="s">
        <v>182</v>
      </c>
      <c r="B412" s="206">
        <v>12</v>
      </c>
      <c r="C412" s="205" t="s">
        <v>266</v>
      </c>
      <c r="D412" s="206" t="s">
        <v>91</v>
      </c>
      <c r="E412" s="200">
        <v>1491000000</v>
      </c>
      <c r="F412" s="200">
        <v>0</v>
      </c>
      <c r="G412" s="200">
        <f>1491000000+F412</f>
        <v>1491000000</v>
      </c>
      <c r="H412" s="200">
        <f t="shared" si="7"/>
        <v>0</v>
      </c>
      <c r="I412" s="201">
        <v>1.7</v>
      </c>
      <c r="J412" s="216" t="s">
        <v>92</v>
      </c>
    </row>
    <row r="413" spans="1:10" ht="14.25" customHeight="1">
      <c r="A413" s="215"/>
      <c r="B413" s="204">
        <v>12</v>
      </c>
      <c r="C413" s="205" t="s">
        <v>189</v>
      </c>
      <c r="D413" s="206" t="s">
        <v>93</v>
      </c>
      <c r="E413" s="200">
        <v>1785000000</v>
      </c>
      <c r="F413" s="200">
        <v>69906052</v>
      </c>
      <c r="G413" s="200">
        <f>332807159+F413</f>
        <v>402713211</v>
      </c>
      <c r="H413" s="200">
        <f t="shared" si="7"/>
        <v>1382286789</v>
      </c>
      <c r="I413" s="201">
        <v>1.65</v>
      </c>
      <c r="J413" s="216" t="s">
        <v>94</v>
      </c>
    </row>
    <row r="414" spans="1:10" ht="14.25" customHeight="1">
      <c r="A414" s="203"/>
      <c r="B414" s="206">
        <v>12</v>
      </c>
      <c r="C414" s="205" t="s">
        <v>164</v>
      </c>
      <c r="D414" s="206" t="s">
        <v>95</v>
      </c>
      <c r="E414" s="200">
        <v>1950000000</v>
      </c>
      <c r="F414" s="200">
        <v>69307979</v>
      </c>
      <c r="G414" s="200">
        <f>330445877+F414</f>
        <v>399753856</v>
      </c>
      <c r="H414" s="200">
        <f t="shared" si="7"/>
        <v>1550246144</v>
      </c>
      <c r="I414" s="201">
        <v>1.6</v>
      </c>
      <c r="J414" s="216" t="s">
        <v>96</v>
      </c>
    </row>
    <row r="415" spans="1:10" ht="14.25" customHeight="1">
      <c r="A415" s="203"/>
      <c r="B415" s="206">
        <v>13</v>
      </c>
      <c r="C415" s="205" t="s">
        <v>189</v>
      </c>
      <c r="D415" s="206" t="s">
        <v>97</v>
      </c>
      <c r="E415" s="200">
        <v>2831000000</v>
      </c>
      <c r="F415" s="200">
        <v>104503655</v>
      </c>
      <c r="G415" s="200">
        <f>395881884+F415</f>
        <v>500385539</v>
      </c>
      <c r="H415" s="200">
        <f t="shared" si="7"/>
        <v>2330614461</v>
      </c>
      <c r="I415" s="201">
        <v>2.2000000000000002</v>
      </c>
      <c r="J415" s="216" t="s">
        <v>1318</v>
      </c>
    </row>
    <row r="416" spans="1:10" ht="14.25" customHeight="1">
      <c r="A416" s="203"/>
      <c r="B416" s="206">
        <v>13</v>
      </c>
      <c r="C416" s="205" t="s">
        <v>164</v>
      </c>
      <c r="D416" s="206" t="s">
        <v>98</v>
      </c>
      <c r="E416" s="200">
        <v>2948000000</v>
      </c>
      <c r="F416" s="200">
        <v>97763507</v>
      </c>
      <c r="G416" s="200">
        <f>370348783+F416</f>
        <v>468112290</v>
      </c>
      <c r="H416" s="200">
        <f t="shared" si="7"/>
        <v>2479887710</v>
      </c>
      <c r="I416" s="201">
        <v>2.2000000000000002</v>
      </c>
      <c r="J416" s="216" t="s">
        <v>99</v>
      </c>
    </row>
    <row r="417" spans="1:10" ht="14.25" customHeight="1">
      <c r="A417" s="203"/>
      <c r="B417" s="206">
        <v>14</v>
      </c>
      <c r="C417" s="205" t="s">
        <v>164</v>
      </c>
      <c r="D417" s="206" t="s">
        <v>100</v>
      </c>
      <c r="E417" s="200">
        <v>519000000</v>
      </c>
      <c r="F417" s="200">
        <v>18571570</v>
      </c>
      <c r="G417" s="200">
        <f>54399970+F417</f>
        <v>72971540</v>
      </c>
      <c r="H417" s="200">
        <f t="shared" si="7"/>
        <v>446028460</v>
      </c>
      <c r="I417" s="201">
        <v>1.2</v>
      </c>
      <c r="J417" s="216" t="s">
        <v>1319</v>
      </c>
    </row>
    <row r="418" spans="1:10" ht="14.25" customHeight="1">
      <c r="A418" s="203"/>
      <c r="B418" s="204">
        <v>14</v>
      </c>
      <c r="C418" s="205" t="s">
        <v>189</v>
      </c>
      <c r="D418" s="206" t="s">
        <v>100</v>
      </c>
      <c r="E418" s="200">
        <v>2551000000</v>
      </c>
      <c r="F418" s="200">
        <v>99622875</v>
      </c>
      <c r="G418" s="200">
        <f>291238988+F418</f>
        <v>390861863</v>
      </c>
      <c r="H418" s="200">
        <f t="shared" si="7"/>
        <v>2160138137</v>
      </c>
      <c r="I418" s="201">
        <v>1.3</v>
      </c>
      <c r="J418" s="216" t="s">
        <v>96</v>
      </c>
    </row>
    <row r="419" spans="1:10" ht="14.25" customHeight="1">
      <c r="A419" s="203"/>
      <c r="B419" s="206">
        <v>15</v>
      </c>
      <c r="C419" s="205" t="s">
        <v>189</v>
      </c>
      <c r="D419" s="206" t="s">
        <v>101</v>
      </c>
      <c r="E419" s="200">
        <v>992000000</v>
      </c>
      <c r="F419" s="200">
        <v>36095970</v>
      </c>
      <c r="G419" s="200">
        <f>70176087+F419</f>
        <v>106272057</v>
      </c>
      <c r="H419" s="200">
        <f t="shared" si="7"/>
        <v>885727943</v>
      </c>
      <c r="I419" s="201">
        <v>1.9</v>
      </c>
      <c r="J419" s="216" t="s">
        <v>99</v>
      </c>
    </row>
    <row r="420" spans="1:10" ht="14.25" customHeight="1">
      <c r="A420" s="203"/>
      <c r="B420" s="206">
        <v>16</v>
      </c>
      <c r="C420" s="205" t="s">
        <v>189</v>
      </c>
      <c r="D420" s="206" t="s">
        <v>102</v>
      </c>
      <c r="E420" s="200">
        <v>235000000</v>
      </c>
      <c r="F420" s="200">
        <v>8212057</v>
      </c>
      <c r="G420" s="200">
        <f>8042283+F420</f>
        <v>16254340</v>
      </c>
      <c r="H420" s="200">
        <f t="shared" si="7"/>
        <v>218745660</v>
      </c>
      <c r="I420" s="201">
        <v>2.1</v>
      </c>
      <c r="J420" s="216" t="s">
        <v>1319</v>
      </c>
    </row>
    <row r="421" spans="1:10" ht="14.25" customHeight="1">
      <c r="A421" s="203"/>
      <c r="B421" s="206">
        <v>17</v>
      </c>
      <c r="C421" s="205" t="s">
        <v>189</v>
      </c>
      <c r="D421" s="206" t="s">
        <v>1391</v>
      </c>
      <c r="E421" s="200">
        <v>100000000</v>
      </c>
      <c r="F421" s="200">
        <v>3462778</v>
      </c>
      <c r="G421" s="200">
        <f>0+F421</f>
        <v>3462778</v>
      </c>
      <c r="H421" s="200">
        <f t="shared" si="7"/>
        <v>96537222</v>
      </c>
      <c r="I421" s="201">
        <v>2</v>
      </c>
      <c r="J421" s="216" t="s">
        <v>1390</v>
      </c>
    </row>
    <row r="422" spans="1:10" ht="14.25" customHeight="1">
      <c r="A422" s="203"/>
      <c r="B422" s="206">
        <v>18</v>
      </c>
      <c r="C422" s="205" t="s">
        <v>189</v>
      </c>
      <c r="D422" s="206" t="s">
        <v>347</v>
      </c>
      <c r="E422" s="200">
        <v>259000000</v>
      </c>
      <c r="F422" s="200">
        <v>0</v>
      </c>
      <c r="G422" s="200">
        <f>0+F422</f>
        <v>0</v>
      </c>
      <c r="H422" s="200">
        <f t="shared" si="7"/>
        <v>259000000</v>
      </c>
      <c r="I422" s="201">
        <v>2.1</v>
      </c>
      <c r="J422" s="216" t="s">
        <v>344</v>
      </c>
    </row>
    <row r="423" spans="1:10" ht="14.25" customHeight="1">
      <c r="A423" s="203"/>
      <c r="B423" s="206">
        <v>19</v>
      </c>
      <c r="C423" s="205" t="s">
        <v>1325</v>
      </c>
      <c r="D423" s="204" t="s">
        <v>1328</v>
      </c>
      <c r="E423" s="200">
        <v>63000000</v>
      </c>
      <c r="F423" s="200">
        <v>0</v>
      </c>
      <c r="G423" s="200">
        <f>F423</f>
        <v>0</v>
      </c>
      <c r="H423" s="200">
        <f t="shared" si="7"/>
        <v>63000000</v>
      </c>
      <c r="I423" s="201">
        <v>2.0499999999999998</v>
      </c>
      <c r="J423" s="202" t="s">
        <v>1327</v>
      </c>
    </row>
    <row r="424" spans="1:10" ht="14.25" customHeight="1">
      <c r="A424" s="203"/>
      <c r="B424" s="206">
        <v>20</v>
      </c>
      <c r="C424" s="217" t="s">
        <v>695</v>
      </c>
      <c r="D424" s="204" t="s">
        <v>1332</v>
      </c>
      <c r="E424" s="200">
        <v>55000000</v>
      </c>
      <c r="F424" s="200">
        <v>0</v>
      </c>
      <c r="G424" s="200">
        <f>F424</f>
        <v>0</v>
      </c>
      <c r="H424" s="200">
        <f t="shared" si="7"/>
        <v>55000000</v>
      </c>
      <c r="I424" s="201">
        <v>1.9</v>
      </c>
      <c r="J424" s="202" t="s">
        <v>1322</v>
      </c>
    </row>
    <row r="425" spans="1:10" ht="14.25" customHeight="1">
      <c r="A425" s="203"/>
      <c r="B425" s="206">
        <v>21</v>
      </c>
      <c r="C425" s="217" t="s">
        <v>698</v>
      </c>
      <c r="D425" s="204" t="s">
        <v>1335</v>
      </c>
      <c r="E425" s="200">
        <v>19000000</v>
      </c>
      <c r="F425" s="200">
        <v>0</v>
      </c>
      <c r="G425" s="200">
        <f>F425</f>
        <v>0</v>
      </c>
      <c r="H425" s="200">
        <f t="shared" si="7"/>
        <v>19000000</v>
      </c>
      <c r="I425" s="201">
        <v>2.1</v>
      </c>
      <c r="J425" s="202" t="s">
        <v>696</v>
      </c>
    </row>
    <row r="426" spans="1:10" ht="14.25" customHeight="1">
      <c r="A426" s="203"/>
      <c r="B426" s="206">
        <v>22</v>
      </c>
      <c r="C426" s="217" t="s">
        <v>886</v>
      </c>
      <c r="D426" s="204" t="s">
        <v>1338</v>
      </c>
      <c r="E426" s="200">
        <v>4000000</v>
      </c>
      <c r="F426" s="200">
        <v>0</v>
      </c>
      <c r="G426" s="200">
        <f>F426</f>
        <v>0</v>
      </c>
      <c r="H426" s="200">
        <f t="shared" si="7"/>
        <v>4000000</v>
      </c>
      <c r="I426" s="201">
        <v>1.9</v>
      </c>
      <c r="J426" s="202" t="s">
        <v>1337</v>
      </c>
    </row>
    <row r="427" spans="1:10" ht="17.25" customHeight="1">
      <c r="A427" s="219" t="s">
        <v>1341</v>
      </c>
      <c r="B427" s="220" t="s">
        <v>173</v>
      </c>
      <c r="C427" s="221" t="s">
        <v>173</v>
      </c>
      <c r="D427" s="222" t="s">
        <v>173</v>
      </c>
      <c r="E427" s="245">
        <f>SUM(E390:E406,E411:E426)</f>
        <v>59756000000</v>
      </c>
      <c r="F427" s="245">
        <f>SUM(F390:F406,F411:F426)</f>
        <v>2084008623</v>
      </c>
      <c r="G427" s="245">
        <f>SUM(G390:G406,G411:G426)</f>
        <v>19873289235</v>
      </c>
      <c r="H427" s="245">
        <f>SUM(H390:H406,H411:H426)</f>
        <v>39882710765</v>
      </c>
      <c r="I427" s="223"/>
      <c r="J427" s="224" t="s">
        <v>173</v>
      </c>
    </row>
    <row r="428" spans="1:10" ht="14.25" customHeight="1">
      <c r="A428" s="215" t="s">
        <v>300</v>
      </c>
      <c r="B428" s="206" t="s">
        <v>103</v>
      </c>
      <c r="C428" s="205" t="s">
        <v>189</v>
      </c>
      <c r="D428" s="206" t="s">
        <v>104</v>
      </c>
      <c r="E428" s="200">
        <v>2079000000</v>
      </c>
      <c r="F428" s="200">
        <v>86153252</v>
      </c>
      <c r="G428" s="200">
        <f>722956571+F428</f>
        <v>809109823</v>
      </c>
      <c r="H428" s="200">
        <f t="shared" ref="H428:H466" si="8">E428-G428</f>
        <v>1269890177</v>
      </c>
      <c r="I428" s="201">
        <v>4.75</v>
      </c>
      <c r="J428" s="202" t="s">
        <v>284</v>
      </c>
    </row>
    <row r="429" spans="1:10" ht="14.25" customHeight="1">
      <c r="A429" s="203" t="s">
        <v>182</v>
      </c>
      <c r="B429" s="206">
        <v>6</v>
      </c>
      <c r="C429" s="205" t="s">
        <v>189</v>
      </c>
      <c r="D429" s="206" t="s">
        <v>105</v>
      </c>
      <c r="E429" s="200">
        <v>5630000000</v>
      </c>
      <c r="F429" s="200">
        <v>233535715</v>
      </c>
      <c r="G429" s="200">
        <f>1965024744+F429</f>
        <v>2198560459</v>
      </c>
      <c r="H429" s="200">
        <f t="shared" si="8"/>
        <v>3431439541</v>
      </c>
      <c r="I429" s="201">
        <v>4.7</v>
      </c>
      <c r="J429" s="202" t="s">
        <v>284</v>
      </c>
    </row>
    <row r="430" spans="1:10" ht="14.25" customHeight="1">
      <c r="A430" s="203"/>
      <c r="B430" s="206">
        <v>6</v>
      </c>
      <c r="C430" s="205" t="s">
        <v>180</v>
      </c>
      <c r="D430" s="206" t="s">
        <v>106</v>
      </c>
      <c r="E430" s="200">
        <v>2312000000</v>
      </c>
      <c r="F430" s="200">
        <v>0</v>
      </c>
      <c r="G430" s="200">
        <f>2312000000+F430</f>
        <v>2312000000</v>
      </c>
      <c r="H430" s="200">
        <f t="shared" si="8"/>
        <v>0</v>
      </c>
      <c r="I430" s="201">
        <v>4.5</v>
      </c>
      <c r="J430" s="202" t="s">
        <v>244</v>
      </c>
    </row>
    <row r="431" spans="1:10" ht="14.25" customHeight="1">
      <c r="A431" s="203"/>
      <c r="B431" s="206">
        <v>6</v>
      </c>
      <c r="C431" s="205" t="s">
        <v>185</v>
      </c>
      <c r="D431" s="206" t="s">
        <v>107</v>
      </c>
      <c r="E431" s="200">
        <v>8743000000</v>
      </c>
      <c r="F431" s="200">
        <v>320330744</v>
      </c>
      <c r="G431" s="200">
        <f>2708270430+F431</f>
        <v>3028601174</v>
      </c>
      <c r="H431" s="200">
        <f t="shared" si="8"/>
        <v>5714398826</v>
      </c>
      <c r="I431" s="201">
        <v>3.15</v>
      </c>
      <c r="J431" s="202" t="s">
        <v>293</v>
      </c>
    </row>
    <row r="432" spans="1:10" ht="14.25" customHeight="1">
      <c r="A432" s="215"/>
      <c r="B432" s="204">
        <v>7</v>
      </c>
      <c r="C432" s="205" t="s">
        <v>189</v>
      </c>
      <c r="D432" s="204" t="s">
        <v>39</v>
      </c>
      <c r="E432" s="200">
        <v>1752000000</v>
      </c>
      <c r="F432" s="200">
        <v>71976469</v>
      </c>
      <c r="G432" s="200">
        <f>608343493+F432</f>
        <v>680319962</v>
      </c>
      <c r="H432" s="200">
        <f t="shared" si="8"/>
        <v>1071680038</v>
      </c>
      <c r="I432" s="201">
        <v>3.25</v>
      </c>
      <c r="J432" s="202" t="s">
        <v>286</v>
      </c>
    </row>
    <row r="433" spans="1:10" ht="14.25" customHeight="1">
      <c r="A433" s="203"/>
      <c r="B433" s="206">
        <v>7</v>
      </c>
      <c r="C433" s="205" t="s">
        <v>189</v>
      </c>
      <c r="D433" s="206" t="s">
        <v>108</v>
      </c>
      <c r="E433" s="200">
        <v>7579000000</v>
      </c>
      <c r="F433" s="200">
        <v>311731137</v>
      </c>
      <c r="G433" s="200">
        <f>2641494390+F433</f>
        <v>2953225527</v>
      </c>
      <c r="H433" s="200">
        <f t="shared" si="8"/>
        <v>4625774473</v>
      </c>
      <c r="I433" s="201">
        <v>3.2</v>
      </c>
      <c r="J433" s="202" t="s">
        <v>286</v>
      </c>
    </row>
    <row r="434" spans="1:10" ht="14.25" customHeight="1">
      <c r="A434" s="203"/>
      <c r="B434" s="206">
        <v>7</v>
      </c>
      <c r="C434" s="205" t="s">
        <v>266</v>
      </c>
      <c r="D434" s="206" t="s">
        <v>109</v>
      </c>
      <c r="E434" s="200">
        <v>2000000000</v>
      </c>
      <c r="F434" s="200">
        <v>0</v>
      </c>
      <c r="G434" s="200">
        <f>2000000000+F434</f>
        <v>2000000000</v>
      </c>
      <c r="H434" s="200">
        <f t="shared" si="8"/>
        <v>0</v>
      </c>
      <c r="I434" s="201">
        <v>3.3</v>
      </c>
      <c r="J434" s="202" t="s">
        <v>247</v>
      </c>
    </row>
    <row r="435" spans="1:10" ht="14.25" customHeight="1">
      <c r="A435" s="215"/>
      <c r="B435" s="206">
        <v>7</v>
      </c>
      <c r="C435" s="205" t="s">
        <v>185</v>
      </c>
      <c r="D435" s="206" t="s">
        <v>110</v>
      </c>
      <c r="E435" s="200">
        <v>839842385</v>
      </c>
      <c r="F435" s="200">
        <v>0</v>
      </c>
      <c r="G435" s="200">
        <f>839842385+F435</f>
        <v>839842385</v>
      </c>
      <c r="H435" s="200">
        <f t="shared" si="8"/>
        <v>0</v>
      </c>
      <c r="I435" s="201">
        <v>2.8</v>
      </c>
      <c r="J435" s="202" t="s">
        <v>1530</v>
      </c>
    </row>
    <row r="436" spans="1:10" ht="14.25" customHeight="1">
      <c r="A436" s="203"/>
      <c r="B436" s="206">
        <v>8</v>
      </c>
      <c r="C436" s="205" t="s">
        <v>266</v>
      </c>
      <c r="D436" s="206" t="s">
        <v>110</v>
      </c>
      <c r="E436" s="200">
        <v>2000000000</v>
      </c>
      <c r="F436" s="200">
        <v>0</v>
      </c>
      <c r="G436" s="200">
        <f>2000000000+F436</f>
        <v>2000000000</v>
      </c>
      <c r="H436" s="200">
        <f t="shared" si="8"/>
        <v>0</v>
      </c>
      <c r="I436" s="201">
        <v>2.6</v>
      </c>
      <c r="J436" s="216" t="s">
        <v>249</v>
      </c>
    </row>
    <row r="437" spans="1:10" ht="14.25" customHeight="1">
      <c r="A437" s="203"/>
      <c r="B437" s="206">
        <v>8</v>
      </c>
      <c r="C437" s="205" t="s">
        <v>189</v>
      </c>
      <c r="D437" s="206" t="s">
        <v>1345</v>
      </c>
      <c r="E437" s="200">
        <v>908000000</v>
      </c>
      <c r="F437" s="200">
        <v>36514161</v>
      </c>
      <c r="G437" s="200">
        <f>289561240+F437</f>
        <v>326075401</v>
      </c>
      <c r="H437" s="200">
        <f t="shared" si="8"/>
        <v>581924599</v>
      </c>
      <c r="I437" s="201">
        <v>2.85</v>
      </c>
      <c r="J437" s="216" t="s">
        <v>287</v>
      </c>
    </row>
    <row r="438" spans="1:10" ht="14.25" customHeight="1">
      <c r="A438" s="203"/>
      <c r="B438" s="206">
        <v>8</v>
      </c>
      <c r="C438" s="205" t="s">
        <v>189</v>
      </c>
      <c r="D438" s="206" t="s">
        <v>111</v>
      </c>
      <c r="E438" s="200">
        <v>1164000000</v>
      </c>
      <c r="F438" s="200">
        <v>46734045</v>
      </c>
      <c r="G438" s="200">
        <f>369746336+F438</f>
        <v>416480381</v>
      </c>
      <c r="H438" s="200">
        <f t="shared" si="8"/>
        <v>747519619</v>
      </c>
      <c r="I438" s="201">
        <v>2.9</v>
      </c>
      <c r="J438" s="216" t="s">
        <v>287</v>
      </c>
    </row>
    <row r="439" spans="1:10" ht="14.25" customHeight="1">
      <c r="A439" s="203"/>
      <c r="B439" s="206">
        <v>9</v>
      </c>
      <c r="C439" s="205" t="s">
        <v>266</v>
      </c>
      <c r="D439" s="206" t="s">
        <v>112</v>
      </c>
      <c r="E439" s="200">
        <v>2000000000</v>
      </c>
      <c r="F439" s="200">
        <v>0</v>
      </c>
      <c r="G439" s="200">
        <f>2000000000+F439</f>
        <v>2000000000</v>
      </c>
      <c r="H439" s="200">
        <f t="shared" si="8"/>
        <v>0</v>
      </c>
      <c r="I439" s="201">
        <v>2</v>
      </c>
      <c r="J439" s="216" t="s">
        <v>251</v>
      </c>
    </row>
    <row r="440" spans="1:10" ht="14.25" customHeight="1">
      <c r="A440" s="203"/>
      <c r="B440" s="206">
        <v>8</v>
      </c>
      <c r="C440" s="205" t="s">
        <v>185</v>
      </c>
      <c r="D440" s="206" t="s">
        <v>113</v>
      </c>
      <c r="E440" s="200">
        <v>286740422</v>
      </c>
      <c r="F440" s="200">
        <v>0</v>
      </c>
      <c r="G440" s="200">
        <f>286740422+F440</f>
        <v>286740422</v>
      </c>
      <c r="H440" s="200">
        <f t="shared" si="8"/>
        <v>0</v>
      </c>
      <c r="I440" s="201">
        <v>2.1</v>
      </c>
      <c r="J440" s="216" t="s">
        <v>1530</v>
      </c>
    </row>
    <row r="441" spans="1:10" ht="14.25" customHeight="1">
      <c r="A441" s="203"/>
      <c r="B441" s="206">
        <v>8</v>
      </c>
      <c r="C441" s="205" t="s">
        <v>189</v>
      </c>
      <c r="D441" s="206" t="s">
        <v>113</v>
      </c>
      <c r="E441" s="200">
        <v>2118000000</v>
      </c>
      <c r="F441" s="200">
        <v>85169253</v>
      </c>
      <c r="G441" s="200">
        <f>627819941+F441</f>
        <v>712989194</v>
      </c>
      <c r="H441" s="200">
        <f t="shared" si="8"/>
        <v>1405010806</v>
      </c>
      <c r="I441" s="201">
        <v>2.15</v>
      </c>
      <c r="J441" s="216" t="s">
        <v>293</v>
      </c>
    </row>
    <row r="442" spans="1:10" ht="14.25" customHeight="1">
      <c r="A442" s="203"/>
      <c r="B442" s="206">
        <v>9</v>
      </c>
      <c r="C442" s="205" t="s">
        <v>189</v>
      </c>
      <c r="D442" s="206" t="s">
        <v>114</v>
      </c>
      <c r="E442" s="200">
        <v>1001000000</v>
      </c>
      <c r="F442" s="200">
        <v>39928087</v>
      </c>
      <c r="G442" s="200">
        <f>299827818+F442</f>
        <v>339755905</v>
      </c>
      <c r="H442" s="200">
        <f t="shared" si="8"/>
        <v>661244095</v>
      </c>
      <c r="I442" s="201">
        <v>2.2000000000000002</v>
      </c>
      <c r="J442" s="216" t="s">
        <v>293</v>
      </c>
    </row>
    <row r="443" spans="1:10" ht="14.25" customHeight="1">
      <c r="A443" s="203"/>
      <c r="B443" s="206">
        <v>9</v>
      </c>
      <c r="C443" s="205" t="s">
        <v>189</v>
      </c>
      <c r="D443" s="206" t="s">
        <v>114</v>
      </c>
      <c r="E443" s="200">
        <v>930000000</v>
      </c>
      <c r="F443" s="200">
        <v>37168533</v>
      </c>
      <c r="G443" s="200">
        <f>279673672+F443</f>
        <v>316842205</v>
      </c>
      <c r="H443" s="200">
        <f t="shared" si="8"/>
        <v>613157795</v>
      </c>
      <c r="I443" s="201">
        <v>2.15</v>
      </c>
      <c r="J443" s="216" t="s">
        <v>293</v>
      </c>
    </row>
    <row r="444" spans="1:10" ht="14.25" customHeight="1">
      <c r="A444" s="203"/>
      <c r="B444" s="206">
        <v>10</v>
      </c>
      <c r="C444" s="205" t="s">
        <v>266</v>
      </c>
      <c r="D444" s="206" t="s">
        <v>115</v>
      </c>
      <c r="E444" s="200">
        <v>2000000000</v>
      </c>
      <c r="F444" s="200">
        <v>0</v>
      </c>
      <c r="G444" s="200">
        <f>2000000000+F444</f>
        <v>2000000000</v>
      </c>
      <c r="H444" s="200">
        <f t="shared" si="8"/>
        <v>0</v>
      </c>
      <c r="I444" s="201">
        <v>1.9</v>
      </c>
      <c r="J444" s="216" t="s">
        <v>253</v>
      </c>
    </row>
    <row r="445" spans="1:10" ht="14.25" customHeight="1">
      <c r="A445" s="203"/>
      <c r="B445" s="206">
        <v>9</v>
      </c>
      <c r="C445" s="205" t="s">
        <v>189</v>
      </c>
      <c r="D445" s="206" t="s">
        <v>116</v>
      </c>
      <c r="E445" s="200">
        <v>625000000</v>
      </c>
      <c r="F445" s="200">
        <v>25563248</v>
      </c>
      <c r="G445" s="200">
        <f>187382238+F445</f>
        <v>212945486</v>
      </c>
      <c r="H445" s="200">
        <f t="shared" si="8"/>
        <v>412054514</v>
      </c>
      <c r="I445" s="201">
        <v>1.35</v>
      </c>
      <c r="J445" s="216" t="s">
        <v>294</v>
      </c>
    </row>
    <row r="446" spans="1:10" ht="14.25" customHeight="1">
      <c r="A446" s="203"/>
      <c r="B446" s="206">
        <v>9</v>
      </c>
      <c r="C446" s="205" t="s">
        <v>185</v>
      </c>
      <c r="D446" s="206" t="s">
        <v>44</v>
      </c>
      <c r="E446" s="200">
        <v>124925255</v>
      </c>
      <c r="F446" s="200">
        <v>0</v>
      </c>
      <c r="G446" s="200">
        <f>124925255+F446</f>
        <v>124925255</v>
      </c>
      <c r="H446" s="200">
        <f t="shared" si="8"/>
        <v>0</v>
      </c>
      <c r="I446" s="201">
        <v>2.2000000000000002</v>
      </c>
      <c r="J446" s="216" t="s">
        <v>1530</v>
      </c>
    </row>
    <row r="447" spans="1:10" ht="14.25" customHeight="1">
      <c r="A447" s="203"/>
      <c r="B447" s="206">
        <v>10</v>
      </c>
      <c r="C447" s="205" t="s">
        <v>189</v>
      </c>
      <c r="D447" s="206" t="s">
        <v>117</v>
      </c>
      <c r="E447" s="200">
        <v>1085000000</v>
      </c>
      <c r="F447" s="200">
        <v>42521715</v>
      </c>
      <c r="G447" s="200">
        <f>285557154+F447</f>
        <v>328078869</v>
      </c>
      <c r="H447" s="200">
        <f t="shared" si="8"/>
        <v>756921131</v>
      </c>
      <c r="I447" s="201">
        <v>2.1</v>
      </c>
      <c r="J447" s="216" t="s">
        <v>294</v>
      </c>
    </row>
    <row r="448" spans="1:10" ht="14.25" customHeight="1">
      <c r="A448" s="203"/>
      <c r="B448" s="206">
        <v>10</v>
      </c>
      <c r="C448" s="205" t="s">
        <v>189</v>
      </c>
      <c r="D448" s="206" t="s">
        <v>118</v>
      </c>
      <c r="E448" s="200">
        <v>1063000000</v>
      </c>
      <c r="F448" s="200">
        <v>41659524</v>
      </c>
      <c r="G448" s="200">
        <f>279767056+F448</f>
        <v>321426580</v>
      </c>
      <c r="H448" s="200">
        <f t="shared" si="8"/>
        <v>741573420</v>
      </c>
      <c r="I448" s="201">
        <v>2.1</v>
      </c>
      <c r="J448" s="216" t="s">
        <v>294</v>
      </c>
    </row>
    <row r="449" spans="1:10" ht="14.25" customHeight="1">
      <c r="A449" s="203"/>
      <c r="B449" s="206">
        <v>10</v>
      </c>
      <c r="C449" s="205" t="s">
        <v>185</v>
      </c>
      <c r="D449" s="206" t="s">
        <v>119</v>
      </c>
      <c r="E449" s="200">
        <v>53192729</v>
      </c>
      <c r="F449" s="200">
        <v>0</v>
      </c>
      <c r="G449" s="200">
        <f>53192729+F449</f>
        <v>53192729</v>
      </c>
      <c r="H449" s="200">
        <f t="shared" si="8"/>
        <v>0</v>
      </c>
      <c r="I449" s="201">
        <v>2.1</v>
      </c>
      <c r="J449" s="216" t="s">
        <v>1530</v>
      </c>
    </row>
    <row r="450" spans="1:10" ht="14.25" customHeight="1">
      <c r="A450" s="203"/>
      <c r="B450" s="206">
        <v>11</v>
      </c>
      <c r="C450" s="205" t="s">
        <v>189</v>
      </c>
      <c r="D450" s="206" t="s">
        <v>120</v>
      </c>
      <c r="E450" s="200">
        <v>663000000</v>
      </c>
      <c r="F450" s="200">
        <v>24571870</v>
      </c>
      <c r="G450" s="200">
        <f>170857241+F450</f>
        <v>195429111</v>
      </c>
      <c r="H450" s="200">
        <f t="shared" si="8"/>
        <v>467570889</v>
      </c>
      <c r="I450" s="201">
        <v>2</v>
      </c>
      <c r="J450" s="216" t="s">
        <v>121</v>
      </c>
    </row>
    <row r="451" spans="1:10" ht="14.25" customHeight="1">
      <c r="A451" s="203"/>
      <c r="B451" s="206">
        <v>11</v>
      </c>
      <c r="C451" s="205" t="s">
        <v>189</v>
      </c>
      <c r="D451" s="206" t="s">
        <v>306</v>
      </c>
      <c r="E451" s="200">
        <v>433000000</v>
      </c>
      <c r="F451" s="200">
        <v>16047692</v>
      </c>
      <c r="G451" s="200">
        <f>111585498+F451</f>
        <v>127633190</v>
      </c>
      <c r="H451" s="200">
        <f t="shared" si="8"/>
        <v>305366810</v>
      </c>
      <c r="I451" s="201">
        <v>2</v>
      </c>
      <c r="J451" s="216" t="s">
        <v>121</v>
      </c>
    </row>
    <row r="452" spans="1:10" ht="14.25" customHeight="1">
      <c r="A452" s="203"/>
      <c r="B452" s="206">
        <v>11</v>
      </c>
      <c r="C452" s="205" t="s">
        <v>185</v>
      </c>
      <c r="D452" s="206" t="s">
        <v>122</v>
      </c>
      <c r="E452" s="200">
        <v>31008169</v>
      </c>
      <c r="F452" s="200">
        <v>0</v>
      </c>
      <c r="G452" s="200">
        <f>31008169+F452</f>
        <v>31008169</v>
      </c>
      <c r="H452" s="200">
        <f t="shared" si="8"/>
        <v>0</v>
      </c>
      <c r="I452" s="201">
        <v>2</v>
      </c>
      <c r="J452" s="216" t="s">
        <v>1530</v>
      </c>
    </row>
    <row r="453" spans="1:10" ht="14.25" customHeight="1">
      <c r="A453" s="203"/>
      <c r="B453" s="206">
        <v>12</v>
      </c>
      <c r="C453" s="205" t="s">
        <v>164</v>
      </c>
      <c r="D453" s="206" t="s">
        <v>123</v>
      </c>
      <c r="E453" s="200">
        <v>103000000</v>
      </c>
      <c r="F453" s="200">
        <v>0</v>
      </c>
      <c r="G453" s="200">
        <f>103000000+F453</f>
        <v>103000000</v>
      </c>
      <c r="H453" s="200">
        <f t="shared" si="8"/>
        <v>0</v>
      </c>
      <c r="I453" s="201">
        <v>1.6</v>
      </c>
      <c r="J453" s="216" t="s">
        <v>1530</v>
      </c>
    </row>
    <row r="454" spans="1:10" ht="14.25" customHeight="1">
      <c r="A454" s="203"/>
      <c r="B454" s="206">
        <v>13</v>
      </c>
      <c r="C454" s="205" t="s">
        <v>165</v>
      </c>
      <c r="D454" s="206" t="s">
        <v>124</v>
      </c>
      <c r="E454" s="200">
        <v>47194000</v>
      </c>
      <c r="F454" s="200">
        <v>0</v>
      </c>
      <c r="G454" s="200">
        <v>47194000</v>
      </c>
      <c r="H454" s="200">
        <f t="shared" si="8"/>
        <v>0</v>
      </c>
      <c r="I454" s="201" t="s">
        <v>125</v>
      </c>
      <c r="J454" s="216" t="s">
        <v>151</v>
      </c>
    </row>
    <row r="455" spans="1:10" ht="14.25" customHeight="1">
      <c r="A455" s="203"/>
      <c r="B455" s="206">
        <v>13</v>
      </c>
      <c r="C455" s="205" t="s">
        <v>164</v>
      </c>
      <c r="D455" s="206" t="s">
        <v>152</v>
      </c>
      <c r="E455" s="200">
        <v>42000000</v>
      </c>
      <c r="F455" s="200">
        <v>0</v>
      </c>
      <c r="G455" s="200">
        <f>42000000+F455</f>
        <v>42000000</v>
      </c>
      <c r="H455" s="200">
        <f t="shared" si="8"/>
        <v>0</v>
      </c>
      <c r="I455" s="201">
        <v>1.4</v>
      </c>
      <c r="J455" s="202" t="s">
        <v>1530</v>
      </c>
    </row>
    <row r="456" spans="1:10" ht="14.25" customHeight="1">
      <c r="A456" s="203"/>
      <c r="B456" s="206">
        <v>14</v>
      </c>
      <c r="C456" s="205" t="s">
        <v>189</v>
      </c>
      <c r="D456" s="206" t="s">
        <v>153</v>
      </c>
      <c r="E456" s="200">
        <v>46000000</v>
      </c>
      <c r="F456" s="200">
        <v>1791227</v>
      </c>
      <c r="G456" s="200">
        <f>5369338+F456</f>
        <v>7160565</v>
      </c>
      <c r="H456" s="200">
        <f t="shared" si="8"/>
        <v>38839435</v>
      </c>
      <c r="I456" s="201">
        <v>1.3</v>
      </c>
      <c r="J456" s="216" t="s">
        <v>154</v>
      </c>
    </row>
    <row r="457" spans="1:10" ht="14.25" customHeight="1">
      <c r="A457" s="203"/>
      <c r="B457" s="206">
        <v>15</v>
      </c>
      <c r="C457" s="205" t="s">
        <v>189</v>
      </c>
      <c r="D457" s="206" t="s">
        <v>155</v>
      </c>
      <c r="E457" s="200">
        <v>1137000000</v>
      </c>
      <c r="F457" s="200">
        <v>41372094</v>
      </c>
      <c r="G457" s="200">
        <f>80433681+F457</f>
        <v>121805775</v>
      </c>
      <c r="H457" s="200">
        <f t="shared" si="8"/>
        <v>1015194225</v>
      </c>
      <c r="I457" s="201">
        <v>1.9</v>
      </c>
      <c r="J457" s="216" t="s">
        <v>156</v>
      </c>
    </row>
    <row r="458" spans="1:10" ht="14.25" customHeight="1">
      <c r="A458" s="218"/>
      <c r="B458" s="204">
        <v>14</v>
      </c>
      <c r="C458" s="205" t="s">
        <v>164</v>
      </c>
      <c r="D458" s="206" t="s">
        <v>157</v>
      </c>
      <c r="E458" s="200">
        <v>6867162</v>
      </c>
      <c r="F458" s="200">
        <v>0</v>
      </c>
      <c r="G458" s="200">
        <f>6867162+F458</f>
        <v>6867162</v>
      </c>
      <c r="H458" s="200">
        <f t="shared" si="8"/>
        <v>0</v>
      </c>
      <c r="I458" s="201">
        <v>2</v>
      </c>
      <c r="J458" s="216" t="s">
        <v>1530</v>
      </c>
    </row>
    <row r="459" spans="1:10" ht="14.25" customHeight="1">
      <c r="A459" s="218"/>
      <c r="B459" s="206">
        <v>15</v>
      </c>
      <c r="C459" s="205" t="s">
        <v>189</v>
      </c>
      <c r="D459" s="206" t="s">
        <v>158</v>
      </c>
      <c r="E459" s="200">
        <v>398000000</v>
      </c>
      <c r="F459" s="200">
        <v>14199460</v>
      </c>
      <c r="G459" s="200">
        <f>20776318+F459</f>
        <v>34975778</v>
      </c>
      <c r="H459" s="200">
        <f t="shared" si="8"/>
        <v>363024222</v>
      </c>
      <c r="I459" s="201">
        <v>2</v>
      </c>
      <c r="J459" s="202" t="s">
        <v>159</v>
      </c>
    </row>
    <row r="460" spans="1:10" ht="14.25" customHeight="1">
      <c r="A460" s="218"/>
      <c r="B460" s="206">
        <v>15</v>
      </c>
      <c r="C460" s="205" t="s">
        <v>164</v>
      </c>
      <c r="D460" s="206" t="s">
        <v>160</v>
      </c>
      <c r="E460" s="200">
        <v>3390000000</v>
      </c>
      <c r="F460" s="200">
        <v>107666439</v>
      </c>
      <c r="G460" s="200">
        <f>157340560+F460</f>
        <v>265006999</v>
      </c>
      <c r="H460" s="200">
        <f t="shared" si="8"/>
        <v>3124993001</v>
      </c>
      <c r="I460" s="201">
        <v>2.1</v>
      </c>
      <c r="J460" s="216" t="s">
        <v>161</v>
      </c>
    </row>
    <row r="461" spans="1:10" ht="14.25" customHeight="1">
      <c r="A461" s="218"/>
      <c r="B461" s="204">
        <v>7</v>
      </c>
      <c r="C461" s="205" t="s">
        <v>164</v>
      </c>
      <c r="D461" s="206" t="s">
        <v>162</v>
      </c>
      <c r="E461" s="200">
        <v>8684157615</v>
      </c>
      <c r="F461" s="200">
        <v>342946861</v>
      </c>
      <c r="G461" s="200">
        <f>1868968408+F461</f>
        <v>2211915269</v>
      </c>
      <c r="H461" s="200">
        <f t="shared" si="8"/>
        <v>6472242346</v>
      </c>
      <c r="I461" s="201">
        <v>2.8</v>
      </c>
      <c r="J461" s="216" t="s">
        <v>294</v>
      </c>
    </row>
    <row r="462" spans="1:10" ht="14.25" customHeight="1">
      <c r="A462" s="218"/>
      <c r="B462" s="206">
        <v>8</v>
      </c>
      <c r="C462" s="205" t="s">
        <v>164</v>
      </c>
      <c r="D462" s="206" t="s">
        <v>126</v>
      </c>
      <c r="E462" s="200">
        <v>4067259578</v>
      </c>
      <c r="F462" s="200">
        <v>157778993</v>
      </c>
      <c r="G462" s="200">
        <f>880486230+F462</f>
        <v>1038265223</v>
      </c>
      <c r="H462" s="200">
        <f t="shared" si="8"/>
        <v>3028994355</v>
      </c>
      <c r="I462" s="201">
        <v>2.1</v>
      </c>
      <c r="J462" s="216" t="s">
        <v>127</v>
      </c>
    </row>
    <row r="463" spans="1:10" ht="14.25" customHeight="1">
      <c r="A463" s="218"/>
      <c r="B463" s="206">
        <v>11</v>
      </c>
      <c r="C463" s="205" t="s">
        <v>164</v>
      </c>
      <c r="D463" s="206" t="s">
        <v>126</v>
      </c>
      <c r="E463" s="200">
        <v>586991831</v>
      </c>
      <c r="F463" s="200">
        <v>20419801</v>
      </c>
      <c r="G463" s="200">
        <f>105325820+F463</f>
        <v>125745621</v>
      </c>
      <c r="H463" s="200">
        <f t="shared" si="8"/>
        <v>461246210</v>
      </c>
      <c r="I463" s="201">
        <v>2</v>
      </c>
      <c r="J463" s="202" t="s">
        <v>128</v>
      </c>
    </row>
    <row r="464" spans="1:10" ht="14.25" customHeight="1">
      <c r="A464" s="218"/>
      <c r="B464" s="206">
        <v>12</v>
      </c>
      <c r="C464" s="205" t="s">
        <v>164</v>
      </c>
      <c r="D464" s="206" t="s">
        <v>126</v>
      </c>
      <c r="E464" s="200">
        <v>1398000000</v>
      </c>
      <c r="F464" s="200">
        <v>49688490</v>
      </c>
      <c r="G464" s="200">
        <f>236904274+F464</f>
        <v>286592764</v>
      </c>
      <c r="H464" s="200">
        <f t="shared" si="8"/>
        <v>1111407236</v>
      </c>
      <c r="I464" s="201">
        <v>1.6</v>
      </c>
      <c r="J464" s="202" t="s">
        <v>128</v>
      </c>
    </row>
    <row r="465" spans="1:10" ht="14.25" customHeight="1">
      <c r="A465" s="218"/>
      <c r="B465" s="206">
        <v>14</v>
      </c>
      <c r="C465" s="205" t="s">
        <v>164</v>
      </c>
      <c r="D465" s="206" t="s">
        <v>126</v>
      </c>
      <c r="E465" s="200">
        <v>2371132838</v>
      </c>
      <c r="F465" s="200">
        <v>76935308</v>
      </c>
      <c r="G465" s="200">
        <f>149352698+F465</f>
        <v>226288006</v>
      </c>
      <c r="H465" s="200">
        <f t="shared" si="8"/>
        <v>2144844832</v>
      </c>
      <c r="I465" s="201">
        <v>2</v>
      </c>
      <c r="J465" s="202" t="s">
        <v>129</v>
      </c>
    </row>
    <row r="466" spans="1:10" ht="14.25" customHeight="1" thickBot="1">
      <c r="A466" s="218"/>
      <c r="B466" s="206">
        <v>16</v>
      </c>
      <c r="C466" s="205" t="s">
        <v>189</v>
      </c>
      <c r="D466" s="206" t="s">
        <v>699</v>
      </c>
      <c r="E466" s="200">
        <v>4470000000</v>
      </c>
      <c r="F466" s="200">
        <v>156203813</v>
      </c>
      <c r="G466" s="200">
        <f>152974484+F466</f>
        <v>309178297</v>
      </c>
      <c r="H466" s="200">
        <f t="shared" si="8"/>
        <v>4160821703</v>
      </c>
      <c r="I466" s="201">
        <v>2.1</v>
      </c>
      <c r="J466" s="202" t="s">
        <v>700</v>
      </c>
    </row>
    <row r="467" spans="1:10" ht="9.75" customHeight="1" thickBot="1">
      <c r="A467" s="257"/>
      <c r="B467" s="258"/>
      <c r="C467" s="257"/>
      <c r="D467" s="258"/>
      <c r="E467" s="259"/>
      <c r="F467" s="259"/>
      <c r="G467" s="259"/>
      <c r="H467" s="259"/>
      <c r="I467" s="260"/>
      <c r="J467" s="261"/>
    </row>
    <row r="468" spans="1:10">
      <c r="A468" s="479" t="s">
        <v>130</v>
      </c>
      <c r="B468" s="481" t="s">
        <v>311</v>
      </c>
      <c r="C468" s="483" t="s">
        <v>131</v>
      </c>
      <c r="D468" s="481" t="s">
        <v>312</v>
      </c>
      <c r="E468" s="485" t="s">
        <v>132</v>
      </c>
      <c r="F468" s="487" t="s">
        <v>133</v>
      </c>
      <c r="G468" s="493"/>
      <c r="H468" s="489" t="s">
        <v>174</v>
      </c>
      <c r="I468" s="491" t="s">
        <v>134</v>
      </c>
      <c r="J468" s="477" t="s">
        <v>313</v>
      </c>
    </row>
    <row r="469" spans="1:10">
      <c r="A469" s="480"/>
      <c r="B469" s="482"/>
      <c r="C469" s="484"/>
      <c r="D469" s="482"/>
      <c r="E469" s="486"/>
      <c r="F469" s="207" t="s">
        <v>176</v>
      </c>
      <c r="G469" s="207" t="s">
        <v>305</v>
      </c>
      <c r="H469" s="490"/>
      <c r="I469" s="492"/>
      <c r="J469" s="478"/>
    </row>
    <row r="470" spans="1:10">
      <c r="A470" s="209"/>
      <c r="B470" s="210"/>
      <c r="C470" s="210"/>
      <c r="D470" s="211" t="s">
        <v>177</v>
      </c>
      <c r="E470" s="212" t="s">
        <v>178</v>
      </c>
      <c r="F470" s="212" t="s">
        <v>172</v>
      </c>
      <c r="G470" s="212" t="s">
        <v>178</v>
      </c>
      <c r="H470" s="212" t="s">
        <v>178</v>
      </c>
      <c r="I470" s="213" t="s">
        <v>135</v>
      </c>
      <c r="J470" s="214" t="s">
        <v>175</v>
      </c>
    </row>
    <row r="471" spans="1:10" ht="14.25" customHeight="1">
      <c r="A471" s="215" t="s">
        <v>300</v>
      </c>
      <c r="B471" s="204" t="s">
        <v>343</v>
      </c>
      <c r="C471" s="205" t="s">
        <v>164</v>
      </c>
      <c r="D471" s="206" t="s">
        <v>701</v>
      </c>
      <c r="E471" s="200">
        <v>2132074745</v>
      </c>
      <c r="F471" s="200">
        <v>79998622</v>
      </c>
      <c r="G471" s="200">
        <f>444916820+F471</f>
        <v>524915442</v>
      </c>
      <c r="H471" s="200">
        <f t="shared" ref="H471:H491" si="9">E471-G471</f>
        <v>1607159303</v>
      </c>
      <c r="I471" s="201">
        <v>2.2000000000000002</v>
      </c>
      <c r="J471" s="202" t="s">
        <v>136</v>
      </c>
    </row>
    <row r="472" spans="1:10" ht="14.25" customHeight="1">
      <c r="A472" s="203" t="s">
        <v>182</v>
      </c>
      <c r="B472" s="206">
        <v>10</v>
      </c>
      <c r="C472" s="205" t="s">
        <v>164</v>
      </c>
      <c r="D472" s="206" t="s">
        <v>301</v>
      </c>
      <c r="E472" s="200">
        <v>2010807271</v>
      </c>
      <c r="F472" s="200">
        <v>71997039</v>
      </c>
      <c r="G472" s="200">
        <f>401779731+F472</f>
        <v>473776770</v>
      </c>
      <c r="H472" s="200">
        <f t="shared" si="9"/>
        <v>1537030501</v>
      </c>
      <c r="I472" s="201">
        <v>2.1</v>
      </c>
      <c r="J472" s="202" t="s">
        <v>1318</v>
      </c>
    </row>
    <row r="473" spans="1:10" ht="14.25" customHeight="1">
      <c r="A473" s="215"/>
      <c r="B473" s="204">
        <v>13</v>
      </c>
      <c r="C473" s="205" t="s">
        <v>164</v>
      </c>
      <c r="D473" s="206" t="s">
        <v>301</v>
      </c>
      <c r="E473" s="200">
        <v>1799000000</v>
      </c>
      <c r="F473" s="200">
        <v>63590847</v>
      </c>
      <c r="G473" s="200">
        <f>215709693+F473</f>
        <v>279300540</v>
      </c>
      <c r="H473" s="200">
        <f t="shared" si="9"/>
        <v>1519699460</v>
      </c>
      <c r="I473" s="201">
        <v>1.4</v>
      </c>
      <c r="J473" s="216" t="s">
        <v>1319</v>
      </c>
    </row>
    <row r="474" spans="1:10" ht="14.25" customHeight="1">
      <c r="A474" s="203"/>
      <c r="B474" s="206">
        <v>16</v>
      </c>
      <c r="C474" s="205" t="s">
        <v>164</v>
      </c>
      <c r="D474" s="206" t="s">
        <v>1320</v>
      </c>
      <c r="E474" s="200">
        <v>1424000000</v>
      </c>
      <c r="F474" s="200">
        <v>44845170</v>
      </c>
      <c r="G474" s="200">
        <f>22090129+F474</f>
        <v>66935299</v>
      </c>
      <c r="H474" s="200">
        <f t="shared" si="9"/>
        <v>1357064701</v>
      </c>
      <c r="I474" s="201">
        <v>2</v>
      </c>
      <c r="J474" s="202" t="s">
        <v>1389</v>
      </c>
    </row>
    <row r="475" spans="1:10" ht="14.25" customHeight="1">
      <c r="A475" s="203"/>
      <c r="B475" s="206">
        <v>16</v>
      </c>
      <c r="C475" s="205" t="s">
        <v>189</v>
      </c>
      <c r="D475" s="206" t="s">
        <v>1320</v>
      </c>
      <c r="E475" s="200">
        <v>279000000</v>
      </c>
      <c r="F475" s="200">
        <v>9868071</v>
      </c>
      <c r="G475" s="200">
        <f>4864497+F475</f>
        <v>14732568</v>
      </c>
      <c r="H475" s="200">
        <f t="shared" si="9"/>
        <v>264267432</v>
      </c>
      <c r="I475" s="201">
        <v>1.9</v>
      </c>
      <c r="J475" s="202" t="s">
        <v>1390</v>
      </c>
    </row>
    <row r="476" spans="1:10" ht="14.25" customHeight="1">
      <c r="A476" s="203"/>
      <c r="B476" s="206">
        <v>17</v>
      </c>
      <c r="C476" s="205" t="s">
        <v>189</v>
      </c>
      <c r="D476" s="206" t="s">
        <v>1391</v>
      </c>
      <c r="E476" s="200">
        <v>6488000000</v>
      </c>
      <c r="F476" s="200">
        <v>224665020</v>
      </c>
      <c r="G476" s="200">
        <f>F476</f>
        <v>224665020</v>
      </c>
      <c r="H476" s="200">
        <f t="shared" si="9"/>
        <v>6263334980</v>
      </c>
      <c r="I476" s="201">
        <v>2</v>
      </c>
      <c r="J476" s="202" t="s">
        <v>1390</v>
      </c>
    </row>
    <row r="477" spans="1:10" ht="14.25" customHeight="1">
      <c r="A477" s="203"/>
      <c r="B477" s="206">
        <v>18</v>
      </c>
      <c r="C477" s="205" t="s">
        <v>189</v>
      </c>
      <c r="D477" s="204" t="s">
        <v>1392</v>
      </c>
      <c r="E477" s="200">
        <v>803000000</v>
      </c>
      <c r="F477" s="200">
        <v>0</v>
      </c>
      <c r="G477" s="200">
        <v>0</v>
      </c>
      <c r="H477" s="200">
        <f t="shared" si="9"/>
        <v>803000000</v>
      </c>
      <c r="I477" s="201">
        <v>2.1</v>
      </c>
      <c r="J477" s="202" t="s">
        <v>1393</v>
      </c>
    </row>
    <row r="478" spans="1:10" ht="14.25" customHeight="1">
      <c r="A478" s="203"/>
      <c r="B478" s="206">
        <v>18</v>
      </c>
      <c r="C478" s="205" t="s">
        <v>189</v>
      </c>
      <c r="D478" s="204" t="s">
        <v>1392</v>
      </c>
      <c r="E478" s="200">
        <v>3571000000</v>
      </c>
      <c r="F478" s="200">
        <v>0</v>
      </c>
      <c r="G478" s="200">
        <v>0</v>
      </c>
      <c r="H478" s="200">
        <f t="shared" si="9"/>
        <v>3571000000</v>
      </c>
      <c r="I478" s="201">
        <v>2.1</v>
      </c>
      <c r="J478" s="202" t="s">
        <v>344</v>
      </c>
    </row>
    <row r="479" spans="1:10" ht="14.25" customHeight="1">
      <c r="A479" s="203"/>
      <c r="B479" s="206">
        <v>18</v>
      </c>
      <c r="C479" s="205" t="s">
        <v>164</v>
      </c>
      <c r="D479" s="204" t="s">
        <v>1321</v>
      </c>
      <c r="E479" s="200">
        <v>1940000000</v>
      </c>
      <c r="F479" s="200">
        <v>0</v>
      </c>
      <c r="G479" s="200">
        <v>0</v>
      </c>
      <c r="H479" s="200">
        <f t="shared" si="9"/>
        <v>1940000000</v>
      </c>
      <c r="I479" s="201">
        <v>2.1</v>
      </c>
      <c r="J479" s="202" t="s">
        <v>1322</v>
      </c>
    </row>
    <row r="480" spans="1:10" ht="14.25" customHeight="1">
      <c r="A480" s="203"/>
      <c r="B480" s="206">
        <v>18</v>
      </c>
      <c r="C480" s="205" t="s">
        <v>164</v>
      </c>
      <c r="D480" s="204" t="s">
        <v>1323</v>
      </c>
      <c r="E480" s="200">
        <v>4606000000</v>
      </c>
      <c r="F480" s="200">
        <v>0</v>
      </c>
      <c r="G480" s="200">
        <v>0</v>
      </c>
      <c r="H480" s="200">
        <f t="shared" si="9"/>
        <v>4606000000</v>
      </c>
      <c r="I480" s="201">
        <v>2.1</v>
      </c>
      <c r="J480" s="202" t="s">
        <v>1324</v>
      </c>
    </row>
    <row r="481" spans="1:10" ht="14.25" customHeight="1">
      <c r="A481" s="203"/>
      <c r="B481" s="206">
        <v>18</v>
      </c>
      <c r="C481" s="205" t="s">
        <v>1325</v>
      </c>
      <c r="D481" s="204" t="s">
        <v>1326</v>
      </c>
      <c r="E481" s="200">
        <v>38000000</v>
      </c>
      <c r="F481" s="200">
        <v>0</v>
      </c>
      <c r="G481" s="200">
        <v>0</v>
      </c>
      <c r="H481" s="200">
        <f t="shared" si="9"/>
        <v>38000000</v>
      </c>
      <c r="I481" s="201">
        <v>2.1</v>
      </c>
      <c r="J481" s="202" t="s">
        <v>1327</v>
      </c>
    </row>
    <row r="482" spans="1:10" ht="14.25" customHeight="1">
      <c r="A482" s="203"/>
      <c r="B482" s="206">
        <v>19</v>
      </c>
      <c r="C482" s="205" t="s">
        <v>1325</v>
      </c>
      <c r="D482" s="204" t="s">
        <v>1328</v>
      </c>
      <c r="E482" s="200">
        <v>1139000000</v>
      </c>
      <c r="F482" s="200">
        <v>0</v>
      </c>
      <c r="G482" s="200">
        <v>0</v>
      </c>
      <c r="H482" s="200">
        <f t="shared" si="9"/>
        <v>1139000000</v>
      </c>
      <c r="I482" s="201">
        <v>2.0499999999999998</v>
      </c>
      <c r="J482" s="202" t="s">
        <v>1327</v>
      </c>
    </row>
    <row r="483" spans="1:10" ht="14.25" customHeight="1">
      <c r="A483" s="203"/>
      <c r="B483" s="206">
        <v>19</v>
      </c>
      <c r="C483" s="205" t="s">
        <v>164</v>
      </c>
      <c r="D483" s="204" t="s">
        <v>1329</v>
      </c>
      <c r="E483" s="200">
        <v>1099000000</v>
      </c>
      <c r="F483" s="200">
        <v>0</v>
      </c>
      <c r="G483" s="200">
        <v>0</v>
      </c>
      <c r="H483" s="200">
        <f t="shared" si="9"/>
        <v>1099000000</v>
      </c>
      <c r="I483" s="201">
        <v>1.9</v>
      </c>
      <c r="J483" s="202" t="s">
        <v>1330</v>
      </c>
    </row>
    <row r="484" spans="1:10" ht="14.25" customHeight="1">
      <c r="A484" s="203"/>
      <c r="B484" s="206">
        <v>20</v>
      </c>
      <c r="C484" s="217" t="s">
        <v>695</v>
      </c>
      <c r="D484" s="204" t="s">
        <v>1331</v>
      </c>
      <c r="E484" s="200">
        <v>32000000</v>
      </c>
      <c r="F484" s="200">
        <v>0</v>
      </c>
      <c r="G484" s="200">
        <v>0</v>
      </c>
      <c r="H484" s="200">
        <f t="shared" si="9"/>
        <v>32000000</v>
      </c>
      <c r="I484" s="201">
        <v>1.8</v>
      </c>
      <c r="J484" s="202" t="s">
        <v>1322</v>
      </c>
    </row>
    <row r="485" spans="1:10" ht="14.25" customHeight="1">
      <c r="A485" s="203"/>
      <c r="B485" s="206">
        <v>20</v>
      </c>
      <c r="C485" s="217" t="s">
        <v>695</v>
      </c>
      <c r="D485" s="204" t="s">
        <v>1332</v>
      </c>
      <c r="E485" s="200">
        <v>1232000000</v>
      </c>
      <c r="F485" s="200">
        <v>0</v>
      </c>
      <c r="G485" s="200">
        <v>0</v>
      </c>
      <c r="H485" s="200">
        <f t="shared" si="9"/>
        <v>1232000000</v>
      </c>
      <c r="I485" s="201">
        <v>1.9</v>
      </c>
      <c r="J485" s="202" t="s">
        <v>1322</v>
      </c>
    </row>
    <row r="486" spans="1:10" ht="14.25" customHeight="1">
      <c r="A486" s="203"/>
      <c r="B486" s="206">
        <v>20</v>
      </c>
      <c r="C486" s="205" t="s">
        <v>164</v>
      </c>
      <c r="D486" s="204" t="s">
        <v>1333</v>
      </c>
      <c r="E486" s="200">
        <v>1184000000</v>
      </c>
      <c r="F486" s="200">
        <v>0</v>
      </c>
      <c r="G486" s="200">
        <v>0</v>
      </c>
      <c r="H486" s="200">
        <f t="shared" si="9"/>
        <v>1184000000</v>
      </c>
      <c r="I486" s="201">
        <v>2.1</v>
      </c>
      <c r="J486" s="202" t="s">
        <v>1334</v>
      </c>
    </row>
    <row r="487" spans="1:10" ht="14.25" customHeight="1">
      <c r="A487" s="218"/>
      <c r="B487" s="206">
        <v>21</v>
      </c>
      <c r="C487" s="217" t="s">
        <v>698</v>
      </c>
      <c r="D487" s="204" t="s">
        <v>1335</v>
      </c>
      <c r="E487" s="200">
        <v>495000000</v>
      </c>
      <c r="F487" s="200">
        <v>0</v>
      </c>
      <c r="G487" s="200">
        <v>0</v>
      </c>
      <c r="H487" s="200">
        <f t="shared" si="9"/>
        <v>495000000</v>
      </c>
      <c r="I487" s="201">
        <v>2.1</v>
      </c>
      <c r="J487" s="202" t="s">
        <v>696</v>
      </c>
    </row>
    <row r="488" spans="1:10" ht="14.25" customHeight="1">
      <c r="A488" s="218"/>
      <c r="B488" s="206">
        <v>21</v>
      </c>
      <c r="C488" s="217" t="s">
        <v>698</v>
      </c>
      <c r="D488" s="204" t="s">
        <v>1336</v>
      </c>
      <c r="E488" s="200">
        <v>76000000</v>
      </c>
      <c r="F488" s="200">
        <v>0</v>
      </c>
      <c r="G488" s="200">
        <v>0</v>
      </c>
      <c r="H488" s="200">
        <f>E488-G488</f>
        <v>76000000</v>
      </c>
      <c r="I488" s="201">
        <v>1.9</v>
      </c>
      <c r="J488" s="202" t="s">
        <v>1337</v>
      </c>
    </row>
    <row r="489" spans="1:10" ht="14.25" customHeight="1">
      <c r="A489" s="218"/>
      <c r="B489" s="206">
        <v>21</v>
      </c>
      <c r="C489" s="217" t="s">
        <v>886</v>
      </c>
      <c r="D489" s="204" t="s">
        <v>1338</v>
      </c>
      <c r="E489" s="200">
        <v>999000000</v>
      </c>
      <c r="F489" s="200">
        <v>0</v>
      </c>
      <c r="G489" s="200">
        <v>0</v>
      </c>
      <c r="H489" s="200">
        <f>E489-G489</f>
        <v>999000000</v>
      </c>
      <c r="I489" s="201">
        <v>1.9</v>
      </c>
      <c r="J489" s="202" t="s">
        <v>1337</v>
      </c>
    </row>
    <row r="490" spans="1:10" ht="14.25" customHeight="1">
      <c r="A490" s="218"/>
      <c r="B490" s="206">
        <v>22</v>
      </c>
      <c r="C490" s="217" t="s">
        <v>886</v>
      </c>
      <c r="D490" s="204" t="s">
        <v>1338</v>
      </c>
      <c r="E490" s="200">
        <v>1019000000</v>
      </c>
      <c r="F490" s="200">
        <v>0</v>
      </c>
      <c r="G490" s="200">
        <v>0</v>
      </c>
      <c r="H490" s="200">
        <f t="shared" si="9"/>
        <v>1019000000</v>
      </c>
      <c r="I490" s="201">
        <v>1.9</v>
      </c>
      <c r="J490" s="202" t="s">
        <v>1337</v>
      </c>
    </row>
    <row r="491" spans="1:10" ht="14.25" customHeight="1">
      <c r="A491" s="218"/>
      <c r="B491" s="206">
        <v>23</v>
      </c>
      <c r="C491" s="217" t="s">
        <v>1317</v>
      </c>
      <c r="D491" s="204" t="s">
        <v>1339</v>
      </c>
      <c r="E491" s="200">
        <v>2000000000</v>
      </c>
      <c r="F491" s="200">
        <v>0</v>
      </c>
      <c r="G491" s="200">
        <v>0</v>
      </c>
      <c r="H491" s="200">
        <f t="shared" si="9"/>
        <v>2000000000</v>
      </c>
      <c r="I491" s="201">
        <v>1.7</v>
      </c>
      <c r="J491" s="202" t="s">
        <v>1340</v>
      </c>
    </row>
    <row r="492" spans="1:10" ht="17.25" customHeight="1">
      <c r="A492" s="219" t="s">
        <v>1341</v>
      </c>
      <c r="B492" s="220" t="s">
        <v>173</v>
      </c>
      <c r="C492" s="221" t="s">
        <v>173</v>
      </c>
      <c r="D492" s="222" t="s">
        <v>173</v>
      </c>
      <c r="E492" s="245">
        <f>SUM(E428:E466,E471:E491)</f>
        <v>108534194000</v>
      </c>
      <c r="F492" s="245">
        <f>SUM(F428:F466,F471:F490)</f>
        <v>2883572700</v>
      </c>
      <c r="G492" s="245">
        <f>SUM(G428:G466,G471:G490)</f>
        <v>31025503325</v>
      </c>
      <c r="H492" s="245">
        <f>SUM(H428:H466,H471:H491)</f>
        <v>77508690675</v>
      </c>
      <c r="I492" s="223"/>
      <c r="J492" s="224" t="s">
        <v>173</v>
      </c>
    </row>
    <row r="493" spans="1:10" ht="14.25" customHeight="1">
      <c r="A493" s="215" t="s">
        <v>1342</v>
      </c>
      <c r="B493" s="204" t="s">
        <v>1343</v>
      </c>
      <c r="C493" s="205" t="s">
        <v>185</v>
      </c>
      <c r="D493" s="206" t="s">
        <v>1344</v>
      </c>
      <c r="E493" s="200">
        <v>598000000</v>
      </c>
      <c r="F493" s="200">
        <v>21569402</v>
      </c>
      <c r="G493" s="200">
        <f>169363466+F493</f>
        <v>190932868</v>
      </c>
      <c r="H493" s="200">
        <f t="shared" ref="H493:H529" si="10">E493-G493</f>
        <v>407067132</v>
      </c>
      <c r="I493" s="201">
        <v>2.8</v>
      </c>
      <c r="J493" s="216" t="s">
        <v>294</v>
      </c>
    </row>
    <row r="494" spans="1:10" ht="14.25" customHeight="1">
      <c r="A494" s="203" t="s">
        <v>302</v>
      </c>
      <c r="B494" s="204">
        <v>8</v>
      </c>
      <c r="C494" s="205" t="s">
        <v>189</v>
      </c>
      <c r="D494" s="206" t="s">
        <v>1345</v>
      </c>
      <c r="E494" s="200">
        <v>490000000</v>
      </c>
      <c r="F494" s="200">
        <v>19781699</v>
      </c>
      <c r="G494" s="200">
        <f>154958221+F494</f>
        <v>174739920</v>
      </c>
      <c r="H494" s="200">
        <f t="shared" si="10"/>
        <v>315260080</v>
      </c>
      <c r="I494" s="201">
        <v>2.85</v>
      </c>
      <c r="J494" s="216" t="s">
        <v>287</v>
      </c>
    </row>
    <row r="495" spans="1:10" ht="17.25" customHeight="1">
      <c r="A495" s="219" t="s">
        <v>1346</v>
      </c>
      <c r="B495" s="220"/>
      <c r="C495" s="221"/>
      <c r="D495" s="222"/>
      <c r="E495" s="245">
        <f>SUM(E493:E494)</f>
        <v>1088000000</v>
      </c>
      <c r="F495" s="245">
        <f>SUM(F493:F494)</f>
        <v>41351101</v>
      </c>
      <c r="G495" s="245">
        <f>SUM(G493:G494)</f>
        <v>365672788</v>
      </c>
      <c r="H495" s="245">
        <f>SUM(H493:H494)</f>
        <v>722327212</v>
      </c>
      <c r="I495" s="223"/>
      <c r="J495" s="224"/>
    </row>
    <row r="496" spans="1:10" ht="14.25" customHeight="1">
      <c r="A496" s="225" t="s">
        <v>702</v>
      </c>
      <c r="B496" s="204" t="s">
        <v>317</v>
      </c>
      <c r="C496" s="205" t="s">
        <v>266</v>
      </c>
      <c r="D496" s="206" t="s">
        <v>1347</v>
      </c>
      <c r="E496" s="200">
        <v>509000000</v>
      </c>
      <c r="F496" s="200">
        <v>0</v>
      </c>
      <c r="G496" s="200">
        <f>509000000+F496</f>
        <v>509000000</v>
      </c>
      <c r="H496" s="200">
        <f t="shared" si="10"/>
        <v>0</v>
      </c>
      <c r="I496" s="201">
        <v>1.7</v>
      </c>
      <c r="J496" s="216" t="s">
        <v>1348</v>
      </c>
    </row>
    <row r="497" spans="1:10" ht="14.25" customHeight="1">
      <c r="A497" s="226" t="s">
        <v>703</v>
      </c>
      <c r="B497" s="206">
        <v>13</v>
      </c>
      <c r="C497" s="205" t="s">
        <v>1349</v>
      </c>
      <c r="D497" s="206" t="s">
        <v>1350</v>
      </c>
      <c r="E497" s="200">
        <v>466000000</v>
      </c>
      <c r="F497" s="200">
        <v>68984487</v>
      </c>
      <c r="G497" s="200">
        <f>397015513+F497</f>
        <v>466000000</v>
      </c>
      <c r="H497" s="200">
        <f t="shared" si="10"/>
        <v>0</v>
      </c>
      <c r="I497" s="201">
        <v>1.2</v>
      </c>
      <c r="J497" s="216" t="s">
        <v>1351</v>
      </c>
    </row>
    <row r="498" spans="1:10" ht="17.25" customHeight="1">
      <c r="A498" s="219" t="s">
        <v>1346</v>
      </c>
      <c r="B498" s="220" t="s">
        <v>173</v>
      </c>
      <c r="C498" s="221" t="s">
        <v>173</v>
      </c>
      <c r="D498" s="222" t="s">
        <v>173</v>
      </c>
      <c r="E498" s="245">
        <f>SUM(E496:E497)</f>
        <v>975000000</v>
      </c>
      <c r="F498" s="245">
        <f>SUM(F496:F497)</f>
        <v>68984487</v>
      </c>
      <c r="G498" s="245">
        <f>SUM(G496:G497)</f>
        <v>975000000</v>
      </c>
      <c r="H498" s="245">
        <f>SUM(H496:H497)</f>
        <v>0</v>
      </c>
      <c r="I498" s="223"/>
      <c r="J498" s="224" t="s">
        <v>173</v>
      </c>
    </row>
    <row r="499" spans="1:10" ht="14.25" customHeight="1">
      <c r="A499" s="227" t="s">
        <v>704</v>
      </c>
      <c r="B499" s="204" t="s">
        <v>318</v>
      </c>
      <c r="C499" s="205" t="s">
        <v>163</v>
      </c>
      <c r="D499" s="206" t="s">
        <v>307</v>
      </c>
      <c r="E499" s="200">
        <v>584000000</v>
      </c>
      <c r="F499" s="200">
        <v>20266553</v>
      </c>
      <c r="G499" s="200">
        <f>68442714+F499</f>
        <v>88709267</v>
      </c>
      <c r="H499" s="200">
        <f t="shared" si="10"/>
        <v>495290733</v>
      </c>
      <c r="I499" s="201">
        <v>1.6</v>
      </c>
      <c r="J499" s="216" t="s">
        <v>1352</v>
      </c>
    </row>
    <row r="500" spans="1:10" ht="14.25" customHeight="1">
      <c r="A500" s="228" t="s">
        <v>302</v>
      </c>
      <c r="B500" s="204">
        <v>14</v>
      </c>
      <c r="C500" s="205" t="s">
        <v>163</v>
      </c>
      <c r="D500" s="206" t="s">
        <v>1353</v>
      </c>
      <c r="E500" s="200">
        <v>341000000</v>
      </c>
      <c r="F500" s="200">
        <v>12202129</v>
      </c>
      <c r="G500" s="200">
        <f>35742561+F500</f>
        <v>47944690</v>
      </c>
      <c r="H500" s="200">
        <f t="shared" si="10"/>
        <v>293055310</v>
      </c>
      <c r="I500" s="201">
        <v>1.2</v>
      </c>
      <c r="J500" s="216" t="s">
        <v>1352</v>
      </c>
    </row>
    <row r="501" spans="1:10" ht="17.25" customHeight="1">
      <c r="A501" s="219" t="s">
        <v>1346</v>
      </c>
      <c r="B501" s="220" t="s">
        <v>173</v>
      </c>
      <c r="C501" s="221" t="s">
        <v>173</v>
      </c>
      <c r="D501" s="222" t="s">
        <v>173</v>
      </c>
      <c r="E501" s="245">
        <f>SUM(E499:E500)</f>
        <v>925000000</v>
      </c>
      <c r="F501" s="245">
        <f>SUM(F499:F500)</f>
        <v>32468682</v>
      </c>
      <c r="G501" s="245">
        <f>SUM(G499:G500)</f>
        <v>136653957</v>
      </c>
      <c r="H501" s="245">
        <f>SUM(H499:H500)</f>
        <v>788346043</v>
      </c>
      <c r="I501" s="229"/>
      <c r="J501" s="224" t="s">
        <v>173</v>
      </c>
    </row>
    <row r="502" spans="1:10" ht="14.25" customHeight="1">
      <c r="A502" s="230" t="s">
        <v>705</v>
      </c>
      <c r="B502" s="204" t="s">
        <v>318</v>
      </c>
      <c r="C502" s="205" t="s">
        <v>189</v>
      </c>
      <c r="D502" s="204" t="s">
        <v>308</v>
      </c>
      <c r="E502" s="200">
        <v>329000000</v>
      </c>
      <c r="F502" s="200">
        <v>0</v>
      </c>
      <c r="G502" s="200">
        <f>329000000+F502</f>
        <v>329000000</v>
      </c>
      <c r="H502" s="200">
        <f t="shared" si="10"/>
        <v>0</v>
      </c>
      <c r="I502" s="201">
        <v>1</v>
      </c>
      <c r="J502" s="216" t="s">
        <v>1348</v>
      </c>
    </row>
    <row r="503" spans="1:10" ht="14.25" customHeight="1">
      <c r="A503" s="231" t="s">
        <v>166</v>
      </c>
      <c r="B503" s="204">
        <v>13</v>
      </c>
      <c r="C503" s="205" t="s">
        <v>1349</v>
      </c>
      <c r="D503" s="206" t="s">
        <v>1350</v>
      </c>
      <c r="E503" s="200">
        <v>728000000</v>
      </c>
      <c r="F503" s="200">
        <v>26873423</v>
      </c>
      <c r="G503" s="200">
        <f>101802195+F503</f>
        <v>128675618</v>
      </c>
      <c r="H503" s="200">
        <f t="shared" si="10"/>
        <v>599324382</v>
      </c>
      <c r="I503" s="201">
        <v>2.2000000000000002</v>
      </c>
      <c r="J503" s="216" t="s">
        <v>303</v>
      </c>
    </row>
    <row r="504" spans="1:10" ht="14.25" customHeight="1">
      <c r="A504" s="231"/>
      <c r="B504" s="204">
        <v>13</v>
      </c>
      <c r="C504" s="205" t="s">
        <v>1354</v>
      </c>
      <c r="D504" s="206" t="s">
        <v>1355</v>
      </c>
      <c r="E504" s="200">
        <v>59000000</v>
      </c>
      <c r="F504" s="200">
        <v>2208605</v>
      </c>
      <c r="G504" s="200">
        <f>7409355+F504</f>
        <v>9617960</v>
      </c>
      <c r="H504" s="200">
        <f t="shared" si="10"/>
        <v>49382040</v>
      </c>
      <c r="I504" s="201">
        <v>1.9</v>
      </c>
      <c r="J504" s="216" t="s">
        <v>1356</v>
      </c>
    </row>
    <row r="505" spans="1:10" ht="14.25" customHeight="1">
      <c r="A505" s="231"/>
      <c r="B505" s="204">
        <v>14</v>
      </c>
      <c r="C505" s="205" t="s">
        <v>266</v>
      </c>
      <c r="D505" s="206" t="s">
        <v>1357</v>
      </c>
      <c r="E505" s="200">
        <v>2500000000</v>
      </c>
      <c r="F505" s="200">
        <v>0</v>
      </c>
      <c r="G505" s="200">
        <v>0</v>
      </c>
      <c r="H505" s="200">
        <f t="shared" si="10"/>
        <v>2500000000</v>
      </c>
      <c r="I505" s="201">
        <v>0.8</v>
      </c>
      <c r="J505" s="216" t="s">
        <v>1358</v>
      </c>
    </row>
    <row r="506" spans="1:10" ht="14.25" customHeight="1">
      <c r="A506" s="231"/>
      <c r="B506" s="204">
        <v>14</v>
      </c>
      <c r="C506" s="205" t="s">
        <v>1354</v>
      </c>
      <c r="D506" s="206" t="s">
        <v>1359</v>
      </c>
      <c r="E506" s="200">
        <v>530000000</v>
      </c>
      <c r="F506" s="200">
        <v>76621454</v>
      </c>
      <c r="G506" s="200">
        <f>376296674+F506</f>
        <v>452918128</v>
      </c>
      <c r="H506" s="200">
        <f t="shared" si="10"/>
        <v>77081872</v>
      </c>
      <c r="I506" s="201">
        <v>0.6</v>
      </c>
      <c r="J506" s="216" t="s">
        <v>1358</v>
      </c>
    </row>
    <row r="507" spans="1:10" ht="14.25" customHeight="1">
      <c r="A507" s="231"/>
      <c r="B507" s="204">
        <v>15</v>
      </c>
      <c r="C507" s="205" t="s">
        <v>266</v>
      </c>
      <c r="D507" s="206" t="s">
        <v>1360</v>
      </c>
      <c r="E507" s="200">
        <v>2000000000</v>
      </c>
      <c r="F507" s="200">
        <v>0</v>
      </c>
      <c r="G507" s="200">
        <v>0</v>
      </c>
      <c r="H507" s="200">
        <f t="shared" si="10"/>
        <v>2000000000</v>
      </c>
      <c r="I507" s="201">
        <v>1.4</v>
      </c>
      <c r="J507" s="216" t="s">
        <v>1361</v>
      </c>
    </row>
    <row r="508" spans="1:10" ht="14.25" customHeight="1">
      <c r="A508" s="231"/>
      <c r="B508" s="204">
        <v>14</v>
      </c>
      <c r="C508" s="205" t="s">
        <v>189</v>
      </c>
      <c r="D508" s="206" t="s">
        <v>304</v>
      </c>
      <c r="E508" s="200">
        <v>70000000</v>
      </c>
      <c r="F508" s="200">
        <v>10148731</v>
      </c>
      <c r="G508" s="200">
        <f>44437089+F508</f>
        <v>54585820</v>
      </c>
      <c r="H508" s="200">
        <f t="shared" si="10"/>
        <v>15414180</v>
      </c>
      <c r="I508" s="201">
        <v>1</v>
      </c>
      <c r="J508" s="216" t="s">
        <v>1361</v>
      </c>
    </row>
    <row r="509" spans="1:10" ht="14.25" customHeight="1">
      <c r="A509" s="231"/>
      <c r="B509" s="204">
        <v>15</v>
      </c>
      <c r="C509" s="205" t="s">
        <v>189</v>
      </c>
      <c r="D509" s="206" t="s">
        <v>1362</v>
      </c>
      <c r="E509" s="200">
        <v>989000000</v>
      </c>
      <c r="F509" s="200">
        <v>142809758</v>
      </c>
      <c r="G509" s="200">
        <f>555827670+F509</f>
        <v>698637428</v>
      </c>
      <c r="H509" s="200">
        <f t="shared" si="10"/>
        <v>290362572</v>
      </c>
      <c r="I509" s="201">
        <v>1.1000000000000001</v>
      </c>
      <c r="J509" s="216" t="s">
        <v>267</v>
      </c>
    </row>
    <row r="510" spans="1:10" ht="14.25" customHeight="1">
      <c r="A510" s="231"/>
      <c r="B510" s="204">
        <v>16</v>
      </c>
      <c r="C510" s="205" t="s">
        <v>266</v>
      </c>
      <c r="D510" s="206" t="s">
        <v>1363</v>
      </c>
      <c r="E510" s="200">
        <v>2000000000</v>
      </c>
      <c r="F510" s="200">
        <v>0</v>
      </c>
      <c r="G510" s="200">
        <v>0</v>
      </c>
      <c r="H510" s="200">
        <f t="shared" si="10"/>
        <v>2000000000</v>
      </c>
      <c r="I510" s="201">
        <v>1.3</v>
      </c>
      <c r="J510" s="216" t="s">
        <v>1364</v>
      </c>
    </row>
    <row r="511" spans="1:10" ht="14.25" customHeight="1">
      <c r="A511" s="231"/>
      <c r="B511" s="204">
        <v>17</v>
      </c>
      <c r="C511" s="205" t="s">
        <v>266</v>
      </c>
      <c r="D511" s="206" t="s">
        <v>1365</v>
      </c>
      <c r="E511" s="200">
        <v>2000000000</v>
      </c>
      <c r="F511" s="200">
        <v>0</v>
      </c>
      <c r="G511" s="200">
        <v>0</v>
      </c>
      <c r="H511" s="200">
        <f t="shared" si="10"/>
        <v>2000000000</v>
      </c>
      <c r="I511" s="201">
        <v>1.5</v>
      </c>
      <c r="J511" s="216" t="s">
        <v>167</v>
      </c>
    </row>
    <row r="512" spans="1:10" ht="14.25" customHeight="1">
      <c r="A512" s="231"/>
      <c r="B512" s="204">
        <v>16</v>
      </c>
      <c r="C512" s="205" t="s">
        <v>189</v>
      </c>
      <c r="D512" s="206" t="s">
        <v>1366</v>
      </c>
      <c r="E512" s="200">
        <v>255000000</v>
      </c>
      <c r="F512" s="200">
        <v>36200940</v>
      </c>
      <c r="G512" s="200">
        <f>88629951+F512</f>
        <v>124830891</v>
      </c>
      <c r="H512" s="200">
        <f t="shared" si="10"/>
        <v>130169109</v>
      </c>
      <c r="I512" s="201">
        <v>1.2</v>
      </c>
      <c r="J512" s="216" t="s">
        <v>1367</v>
      </c>
    </row>
    <row r="513" spans="1:10" ht="14.25" customHeight="1">
      <c r="A513" s="231"/>
      <c r="B513" s="204">
        <v>18</v>
      </c>
      <c r="C513" s="205" t="s">
        <v>266</v>
      </c>
      <c r="D513" s="204" t="s">
        <v>1368</v>
      </c>
      <c r="E513" s="200">
        <v>500000000</v>
      </c>
      <c r="F513" s="200">
        <v>0</v>
      </c>
      <c r="G513" s="200">
        <v>0</v>
      </c>
      <c r="H513" s="200">
        <f t="shared" si="10"/>
        <v>500000000</v>
      </c>
      <c r="I513" s="201">
        <v>1.8</v>
      </c>
      <c r="J513" s="202" t="s">
        <v>1369</v>
      </c>
    </row>
    <row r="514" spans="1:10" ht="14.25" customHeight="1">
      <c r="A514" s="231"/>
      <c r="B514" s="204">
        <v>18</v>
      </c>
      <c r="C514" s="205" t="s">
        <v>189</v>
      </c>
      <c r="D514" s="204" t="s">
        <v>347</v>
      </c>
      <c r="E514" s="200">
        <v>187000000</v>
      </c>
      <c r="F514" s="200">
        <v>25836646</v>
      </c>
      <c r="G514" s="200">
        <f>25415559+F514</f>
        <v>51252205</v>
      </c>
      <c r="H514" s="200">
        <f t="shared" si="10"/>
        <v>135747795</v>
      </c>
      <c r="I514" s="201">
        <v>1.65</v>
      </c>
      <c r="J514" s="202" t="s">
        <v>276</v>
      </c>
    </row>
    <row r="515" spans="1:10" ht="14.25" customHeight="1">
      <c r="A515" s="231"/>
      <c r="B515" s="204">
        <v>19</v>
      </c>
      <c r="C515" s="205" t="s">
        <v>1370</v>
      </c>
      <c r="D515" s="204" t="s">
        <v>1371</v>
      </c>
      <c r="E515" s="200">
        <v>2000000000</v>
      </c>
      <c r="F515" s="200">
        <v>0</v>
      </c>
      <c r="G515" s="200">
        <v>0</v>
      </c>
      <c r="H515" s="200">
        <f t="shared" si="10"/>
        <v>2000000000</v>
      </c>
      <c r="I515" s="201">
        <v>1.65</v>
      </c>
      <c r="J515" s="202" t="s">
        <v>1372</v>
      </c>
    </row>
    <row r="516" spans="1:10" ht="14.25" customHeight="1">
      <c r="A516" s="231"/>
      <c r="B516" s="204">
        <v>19</v>
      </c>
      <c r="C516" s="205" t="s">
        <v>189</v>
      </c>
      <c r="D516" s="204" t="s">
        <v>348</v>
      </c>
      <c r="E516" s="200">
        <v>273000000</v>
      </c>
      <c r="F516" s="200">
        <v>37443596</v>
      </c>
      <c r="G516" s="200">
        <f>F516</f>
        <v>37443596</v>
      </c>
      <c r="H516" s="200">
        <f t="shared" si="10"/>
        <v>235556404</v>
      </c>
      <c r="I516" s="201">
        <v>1.35</v>
      </c>
      <c r="J516" s="202" t="s">
        <v>277</v>
      </c>
    </row>
    <row r="517" spans="1:10" ht="14.25" customHeight="1">
      <c r="A517" s="231"/>
      <c r="B517" s="204">
        <v>20</v>
      </c>
      <c r="C517" s="205" t="s">
        <v>266</v>
      </c>
      <c r="D517" s="204" t="s">
        <v>1373</v>
      </c>
      <c r="E517" s="200">
        <v>2000000000</v>
      </c>
      <c r="F517" s="200">
        <v>0</v>
      </c>
      <c r="G517" s="200">
        <v>0</v>
      </c>
      <c r="H517" s="200">
        <f t="shared" si="10"/>
        <v>2000000000</v>
      </c>
      <c r="I517" s="201">
        <v>1.48</v>
      </c>
      <c r="J517" s="202" t="s">
        <v>280</v>
      </c>
    </row>
    <row r="518" spans="1:10" ht="14.25" customHeight="1">
      <c r="A518" s="231"/>
      <c r="B518" s="204">
        <v>20</v>
      </c>
      <c r="C518" s="217" t="s">
        <v>695</v>
      </c>
      <c r="D518" s="204" t="s">
        <v>1374</v>
      </c>
      <c r="E518" s="200">
        <v>605000000</v>
      </c>
      <c r="F518" s="200">
        <v>0</v>
      </c>
      <c r="G518" s="200">
        <v>0</v>
      </c>
      <c r="H518" s="200">
        <f t="shared" si="10"/>
        <v>605000000</v>
      </c>
      <c r="I518" s="201">
        <v>1</v>
      </c>
      <c r="J518" s="202" t="s">
        <v>280</v>
      </c>
    </row>
    <row r="519" spans="1:10" ht="14.25" customHeight="1">
      <c r="A519" s="232"/>
      <c r="B519" s="204">
        <v>20</v>
      </c>
      <c r="C519" s="217" t="s">
        <v>695</v>
      </c>
      <c r="D519" s="204" t="s">
        <v>1374</v>
      </c>
      <c r="E519" s="200">
        <v>363000000</v>
      </c>
      <c r="F519" s="200">
        <v>0</v>
      </c>
      <c r="G519" s="200">
        <v>0</v>
      </c>
      <c r="H519" s="200">
        <f t="shared" si="10"/>
        <v>363000000</v>
      </c>
      <c r="I519" s="201">
        <v>1</v>
      </c>
      <c r="J519" s="202" t="s">
        <v>1375</v>
      </c>
    </row>
    <row r="520" spans="1:10" ht="14.25" customHeight="1">
      <c r="A520" s="231"/>
      <c r="B520" s="204">
        <v>21</v>
      </c>
      <c r="C520" s="217" t="s">
        <v>698</v>
      </c>
      <c r="D520" s="204" t="s">
        <v>1376</v>
      </c>
      <c r="E520" s="200">
        <v>1423000000</v>
      </c>
      <c r="F520" s="200">
        <v>0</v>
      </c>
      <c r="G520" s="200">
        <v>0</v>
      </c>
      <c r="H520" s="200">
        <f>E520-G520</f>
        <v>1423000000</v>
      </c>
      <c r="I520" s="201">
        <v>0.9</v>
      </c>
      <c r="J520" s="202" t="s">
        <v>283</v>
      </c>
    </row>
    <row r="521" spans="1:10" ht="14.25" customHeight="1">
      <c r="A521" s="231"/>
      <c r="B521" s="204">
        <v>22</v>
      </c>
      <c r="C521" s="217" t="s">
        <v>886</v>
      </c>
      <c r="D521" s="204" t="s">
        <v>1339</v>
      </c>
      <c r="E521" s="200">
        <v>965000000</v>
      </c>
      <c r="F521" s="200">
        <v>0</v>
      </c>
      <c r="G521" s="200">
        <v>0</v>
      </c>
      <c r="H521" s="200">
        <f t="shared" si="10"/>
        <v>965000000</v>
      </c>
      <c r="I521" s="201">
        <v>0.7</v>
      </c>
      <c r="J521" s="202" t="s">
        <v>1377</v>
      </c>
    </row>
    <row r="522" spans="1:10" ht="17.25" customHeight="1">
      <c r="A522" s="219" t="s">
        <v>1341</v>
      </c>
      <c r="B522" s="220" t="s">
        <v>173</v>
      </c>
      <c r="C522" s="221" t="s">
        <v>173</v>
      </c>
      <c r="D522" s="222" t="s">
        <v>173</v>
      </c>
      <c r="E522" s="245">
        <f>SUM(E502:E521)</f>
        <v>19776000000</v>
      </c>
      <c r="F522" s="245">
        <f>SUM(F502:F521)</f>
        <v>358143153</v>
      </c>
      <c r="G522" s="245">
        <f>SUM(G502:G521)</f>
        <v>1886961646</v>
      </c>
      <c r="H522" s="245">
        <f>SUM(H502:H521)</f>
        <v>17889038354</v>
      </c>
      <c r="I522" s="223"/>
      <c r="J522" s="224" t="s">
        <v>173</v>
      </c>
    </row>
    <row r="523" spans="1:10" ht="14.25" customHeight="1">
      <c r="A523" s="225" t="s">
        <v>168</v>
      </c>
      <c r="B523" s="204" t="s">
        <v>319</v>
      </c>
      <c r="C523" s="233" t="s">
        <v>189</v>
      </c>
      <c r="D523" s="206" t="s">
        <v>309</v>
      </c>
      <c r="E523" s="234">
        <v>29000000</v>
      </c>
      <c r="F523" s="200">
        <v>1648275</v>
      </c>
      <c r="G523" s="200">
        <f>7975530+F523</f>
        <v>9623805</v>
      </c>
      <c r="H523" s="200">
        <f t="shared" si="10"/>
        <v>19376195</v>
      </c>
      <c r="I523" s="201">
        <v>1.1000000000000001</v>
      </c>
      <c r="J523" s="235" t="s">
        <v>1378</v>
      </c>
    </row>
    <row r="524" spans="1:10" ht="14.25" customHeight="1">
      <c r="A524" s="236" t="s">
        <v>169</v>
      </c>
      <c r="B524" s="204">
        <v>15</v>
      </c>
      <c r="C524" s="237" t="s">
        <v>189</v>
      </c>
      <c r="D524" s="206" t="s">
        <v>1362</v>
      </c>
      <c r="E524" s="238">
        <v>67000000</v>
      </c>
      <c r="F524" s="200">
        <v>3686539</v>
      </c>
      <c r="G524" s="200">
        <f>14172456+F524</f>
        <v>17858995</v>
      </c>
      <c r="H524" s="200">
        <f t="shared" si="10"/>
        <v>49141005</v>
      </c>
      <c r="I524" s="201">
        <v>1.6</v>
      </c>
      <c r="J524" s="216" t="s">
        <v>1379</v>
      </c>
    </row>
    <row r="525" spans="1:10" ht="14.25" customHeight="1">
      <c r="A525" s="236"/>
      <c r="B525" s="204">
        <v>16</v>
      </c>
      <c r="C525" s="237" t="s">
        <v>189</v>
      </c>
      <c r="D525" s="206" t="s">
        <v>1380</v>
      </c>
      <c r="E525" s="238">
        <v>62000000</v>
      </c>
      <c r="F525" s="200">
        <v>3339577</v>
      </c>
      <c r="G525" s="200">
        <f>9686134+F525</f>
        <v>13025711</v>
      </c>
      <c r="H525" s="200">
        <f t="shared" si="10"/>
        <v>48974289</v>
      </c>
      <c r="I525" s="201">
        <v>1.7</v>
      </c>
      <c r="J525" s="202" t="s">
        <v>1381</v>
      </c>
    </row>
    <row r="526" spans="1:10" ht="14.25" customHeight="1">
      <c r="A526" s="236"/>
      <c r="B526" s="204">
        <v>17</v>
      </c>
      <c r="C526" s="237" t="s">
        <v>189</v>
      </c>
      <c r="D526" s="206" t="s">
        <v>1382</v>
      </c>
      <c r="E526" s="238">
        <v>124000000</v>
      </c>
      <c r="F526" s="200">
        <v>6525392</v>
      </c>
      <c r="G526" s="200">
        <f>12705172+F526</f>
        <v>19230564</v>
      </c>
      <c r="H526" s="200">
        <f t="shared" si="10"/>
        <v>104769436</v>
      </c>
      <c r="I526" s="201">
        <v>1.8</v>
      </c>
      <c r="J526" s="202" t="s">
        <v>1383</v>
      </c>
    </row>
    <row r="527" spans="1:10" ht="14.25" customHeight="1">
      <c r="A527" s="236"/>
      <c r="B527" s="204">
        <v>18</v>
      </c>
      <c r="C527" s="237" t="s">
        <v>189</v>
      </c>
      <c r="D527" s="206" t="s">
        <v>347</v>
      </c>
      <c r="E527" s="238">
        <v>38000000</v>
      </c>
      <c r="F527" s="200">
        <v>1949773</v>
      </c>
      <c r="G527" s="200">
        <f>1913249+F527</f>
        <v>3863022</v>
      </c>
      <c r="H527" s="200">
        <f t="shared" si="10"/>
        <v>34136978</v>
      </c>
      <c r="I527" s="201">
        <v>1.9</v>
      </c>
      <c r="J527" s="202" t="s">
        <v>294</v>
      </c>
    </row>
    <row r="528" spans="1:10" ht="14.25" customHeight="1">
      <c r="A528" s="236"/>
      <c r="B528" s="204">
        <v>19</v>
      </c>
      <c r="C528" s="237" t="s">
        <v>1384</v>
      </c>
      <c r="D528" s="204" t="s">
        <v>1385</v>
      </c>
      <c r="E528" s="238">
        <v>71000000</v>
      </c>
      <c r="F528" s="200">
        <v>3619859</v>
      </c>
      <c r="G528" s="200">
        <f>F528</f>
        <v>3619859</v>
      </c>
      <c r="H528" s="200">
        <f t="shared" si="10"/>
        <v>67380141</v>
      </c>
      <c r="I528" s="201">
        <v>1.75</v>
      </c>
      <c r="J528" s="202" t="s">
        <v>1386</v>
      </c>
    </row>
    <row r="529" spans="1:10" ht="14.25" customHeight="1">
      <c r="A529" s="236"/>
      <c r="B529" s="204">
        <v>20</v>
      </c>
      <c r="C529" s="217" t="s">
        <v>695</v>
      </c>
      <c r="D529" s="204" t="s">
        <v>1387</v>
      </c>
      <c r="E529" s="238">
        <v>55000000</v>
      </c>
      <c r="F529" s="200">
        <v>0</v>
      </c>
      <c r="G529" s="200">
        <v>0</v>
      </c>
      <c r="H529" s="200">
        <f t="shared" si="10"/>
        <v>55000000</v>
      </c>
      <c r="I529" s="201">
        <v>1.6</v>
      </c>
      <c r="J529" s="202" t="s">
        <v>296</v>
      </c>
    </row>
    <row r="530" spans="1:10" ht="17.25" customHeight="1" thickBot="1">
      <c r="A530" s="239" t="s">
        <v>1388</v>
      </c>
      <c r="B530" s="240" t="s">
        <v>173</v>
      </c>
      <c r="C530" s="241" t="s">
        <v>173</v>
      </c>
      <c r="D530" s="242" t="s">
        <v>173</v>
      </c>
      <c r="E530" s="246">
        <f>SUM(E523:E529)</f>
        <v>446000000</v>
      </c>
      <c r="F530" s="246">
        <f>SUM(F523:F529)</f>
        <v>20769415</v>
      </c>
      <c r="G530" s="246">
        <f>SUM(G523:G529)</f>
        <v>67221956</v>
      </c>
      <c r="H530" s="246">
        <f>SUM(H523:H529)</f>
        <v>378778044</v>
      </c>
      <c r="I530" s="243"/>
      <c r="J530" s="244" t="s">
        <v>173</v>
      </c>
    </row>
    <row r="531" spans="1:10" ht="17.25" customHeight="1" thickBot="1">
      <c r="A531" s="261"/>
      <c r="B531" s="272"/>
      <c r="C531" s="257"/>
      <c r="D531" s="270"/>
      <c r="E531" s="259"/>
      <c r="F531" s="259"/>
      <c r="G531" s="259"/>
      <c r="H531" s="259"/>
      <c r="I531" s="260"/>
      <c r="J531" s="270"/>
    </row>
    <row r="532" spans="1:10" ht="14.25" customHeight="1">
      <c r="A532" s="479" t="s">
        <v>85</v>
      </c>
      <c r="B532" s="481" t="s">
        <v>311</v>
      </c>
      <c r="C532" s="483" t="s">
        <v>86</v>
      </c>
      <c r="D532" s="481" t="s">
        <v>312</v>
      </c>
      <c r="E532" s="485" t="s">
        <v>87</v>
      </c>
      <c r="F532" s="487" t="s">
        <v>88</v>
      </c>
      <c r="G532" s="493"/>
      <c r="H532" s="489" t="s">
        <v>174</v>
      </c>
      <c r="I532" s="491" t="s">
        <v>89</v>
      </c>
      <c r="J532" s="477" t="s">
        <v>313</v>
      </c>
    </row>
    <row r="533" spans="1:10" ht="14.25" customHeight="1">
      <c r="A533" s="480"/>
      <c r="B533" s="482"/>
      <c r="C533" s="484"/>
      <c r="D533" s="482"/>
      <c r="E533" s="486"/>
      <c r="F533" s="207" t="s">
        <v>176</v>
      </c>
      <c r="G533" s="207" t="s">
        <v>305</v>
      </c>
      <c r="H533" s="490"/>
      <c r="I533" s="492"/>
      <c r="J533" s="478"/>
    </row>
    <row r="534" spans="1:10" ht="14.25" customHeight="1">
      <c r="A534" s="247" t="s">
        <v>706</v>
      </c>
      <c r="B534" s="248" t="s">
        <v>320</v>
      </c>
      <c r="C534" s="249" t="s">
        <v>163</v>
      </c>
      <c r="D534" s="211" t="s">
        <v>310</v>
      </c>
      <c r="E534" s="250">
        <v>1006000000</v>
      </c>
      <c r="F534" s="200">
        <v>32641326</v>
      </c>
      <c r="G534" s="200">
        <f>63365835+F534</f>
        <v>96007161</v>
      </c>
      <c r="H534" s="200">
        <f t="shared" ref="H534:H543" si="11">E534-G534</f>
        <v>909992839</v>
      </c>
      <c r="I534" s="213">
        <v>2</v>
      </c>
      <c r="J534" s="235" t="s">
        <v>63</v>
      </c>
    </row>
    <row r="535" spans="1:10" ht="14.25" customHeight="1">
      <c r="A535" s="236" t="s">
        <v>707</v>
      </c>
      <c r="B535" s="204">
        <v>16</v>
      </c>
      <c r="C535" s="237" t="s">
        <v>189</v>
      </c>
      <c r="D535" s="206" t="s">
        <v>137</v>
      </c>
      <c r="E535" s="200">
        <v>288000000</v>
      </c>
      <c r="F535" s="200">
        <v>10064139</v>
      </c>
      <c r="G535" s="200">
        <f>9856074+F535</f>
        <v>19920213</v>
      </c>
      <c r="H535" s="200">
        <f t="shared" si="11"/>
        <v>268079787</v>
      </c>
      <c r="I535" s="201">
        <v>2.1</v>
      </c>
      <c r="J535" s="202" t="s">
        <v>58</v>
      </c>
    </row>
    <row r="536" spans="1:10" ht="14.25" customHeight="1">
      <c r="A536" s="232"/>
      <c r="B536" s="204">
        <v>16</v>
      </c>
      <c r="C536" s="205" t="s">
        <v>163</v>
      </c>
      <c r="D536" s="206" t="s">
        <v>138</v>
      </c>
      <c r="E536" s="200">
        <v>2952000000</v>
      </c>
      <c r="F536" s="200">
        <v>92781350</v>
      </c>
      <c r="G536" s="200">
        <f>90863205+F536</f>
        <v>183644555</v>
      </c>
      <c r="H536" s="200">
        <f t="shared" si="11"/>
        <v>2768355445</v>
      </c>
      <c r="I536" s="201">
        <v>2.1</v>
      </c>
      <c r="J536" s="202" t="s">
        <v>139</v>
      </c>
    </row>
    <row r="537" spans="1:10" ht="14.25" customHeight="1">
      <c r="A537" s="232"/>
      <c r="B537" s="204">
        <v>17</v>
      </c>
      <c r="C537" s="205" t="s">
        <v>163</v>
      </c>
      <c r="D537" s="206" t="s">
        <v>140</v>
      </c>
      <c r="E537" s="200">
        <v>3534000000</v>
      </c>
      <c r="F537" s="200">
        <v>108777293</v>
      </c>
      <c r="G537" s="200">
        <f>F537</f>
        <v>108777293</v>
      </c>
      <c r="H537" s="200">
        <f t="shared" si="11"/>
        <v>3425222707</v>
      </c>
      <c r="I537" s="201">
        <v>2.1</v>
      </c>
      <c r="J537" s="202" t="s">
        <v>141</v>
      </c>
    </row>
    <row r="538" spans="1:10" ht="14.25" customHeight="1">
      <c r="A538" s="232"/>
      <c r="B538" s="204">
        <v>18</v>
      </c>
      <c r="C538" s="205" t="s">
        <v>266</v>
      </c>
      <c r="D538" s="204" t="s">
        <v>346</v>
      </c>
      <c r="E538" s="200">
        <v>1500000000</v>
      </c>
      <c r="F538" s="200">
        <v>0</v>
      </c>
      <c r="G538" s="200">
        <v>0</v>
      </c>
      <c r="H538" s="200">
        <f t="shared" si="11"/>
        <v>1500000000</v>
      </c>
      <c r="I538" s="201">
        <v>1.8</v>
      </c>
      <c r="J538" s="202" t="s">
        <v>276</v>
      </c>
    </row>
    <row r="539" spans="1:10" ht="14.25" customHeight="1">
      <c r="A539" s="232"/>
      <c r="B539" s="204">
        <v>18</v>
      </c>
      <c r="C539" s="205" t="s">
        <v>163</v>
      </c>
      <c r="D539" s="204" t="s">
        <v>1394</v>
      </c>
      <c r="E539" s="200">
        <v>1800000000</v>
      </c>
      <c r="F539" s="200">
        <v>0</v>
      </c>
      <c r="G539" s="200">
        <v>0</v>
      </c>
      <c r="H539" s="200">
        <f t="shared" si="11"/>
        <v>1800000000</v>
      </c>
      <c r="I539" s="201">
        <v>2.1</v>
      </c>
      <c r="J539" s="202" t="s">
        <v>1395</v>
      </c>
    </row>
    <row r="540" spans="1:10" ht="14.25" customHeight="1">
      <c r="A540" s="232"/>
      <c r="B540" s="204">
        <v>19</v>
      </c>
      <c r="C540" s="205" t="s">
        <v>345</v>
      </c>
      <c r="D540" s="204" t="s">
        <v>1385</v>
      </c>
      <c r="E540" s="200">
        <v>3666000000</v>
      </c>
      <c r="F540" s="200">
        <v>0</v>
      </c>
      <c r="G540" s="200">
        <v>0</v>
      </c>
      <c r="H540" s="200">
        <f t="shared" si="11"/>
        <v>3666000000</v>
      </c>
      <c r="I540" s="201">
        <v>2.1</v>
      </c>
      <c r="J540" s="202" t="s">
        <v>1396</v>
      </c>
    </row>
    <row r="541" spans="1:10" ht="14.25" customHeight="1">
      <c r="A541" s="232"/>
      <c r="B541" s="204">
        <v>20</v>
      </c>
      <c r="C541" s="205" t="s">
        <v>345</v>
      </c>
      <c r="D541" s="204" t="s">
        <v>1387</v>
      </c>
      <c r="E541" s="200">
        <v>3348000000</v>
      </c>
      <c r="F541" s="200">
        <v>0</v>
      </c>
      <c r="G541" s="200">
        <v>0</v>
      </c>
      <c r="H541" s="200">
        <f t="shared" si="11"/>
        <v>3348000000</v>
      </c>
      <c r="I541" s="201">
        <v>1.9</v>
      </c>
      <c r="J541" s="202" t="s">
        <v>636</v>
      </c>
    </row>
    <row r="542" spans="1:10" ht="14.25" customHeight="1">
      <c r="A542" s="232"/>
      <c r="B542" s="204">
        <v>21</v>
      </c>
      <c r="C542" s="237" t="s">
        <v>163</v>
      </c>
      <c r="D542" s="204" t="s">
        <v>1376</v>
      </c>
      <c r="E542" s="200">
        <v>1744000000</v>
      </c>
      <c r="F542" s="200">
        <v>0</v>
      </c>
      <c r="G542" s="200">
        <v>0</v>
      </c>
      <c r="H542" s="200">
        <f>E542-G542</f>
        <v>1744000000</v>
      </c>
      <c r="I542" s="201">
        <v>2.1</v>
      </c>
      <c r="J542" s="202" t="s">
        <v>696</v>
      </c>
    </row>
    <row r="543" spans="1:10" ht="14.25" customHeight="1">
      <c r="A543" s="232"/>
      <c r="B543" s="204">
        <v>22</v>
      </c>
      <c r="C543" s="237" t="s">
        <v>163</v>
      </c>
      <c r="D543" s="204" t="s">
        <v>1338</v>
      </c>
      <c r="E543" s="200">
        <v>416000000</v>
      </c>
      <c r="F543" s="200">
        <v>0</v>
      </c>
      <c r="G543" s="200">
        <v>0</v>
      </c>
      <c r="H543" s="200">
        <f t="shared" si="11"/>
        <v>416000000</v>
      </c>
      <c r="I543" s="201">
        <v>1.9</v>
      </c>
      <c r="J543" s="202" t="s">
        <v>1337</v>
      </c>
    </row>
    <row r="544" spans="1:10">
      <c r="A544" s="219" t="s">
        <v>1341</v>
      </c>
      <c r="B544" s="220"/>
      <c r="C544" s="221"/>
      <c r="D544" s="222"/>
      <c r="E544" s="245">
        <f>SUM(E534:E543)</f>
        <v>20254000000</v>
      </c>
      <c r="F544" s="245">
        <f>SUM(F534:F543)</f>
        <v>244264108</v>
      </c>
      <c r="G544" s="245">
        <f>SUM(G534:G543)</f>
        <v>408349222</v>
      </c>
      <c r="H544" s="245">
        <f>SUM(H534:H543)</f>
        <v>19845650778</v>
      </c>
      <c r="I544" s="223"/>
      <c r="J544" s="224"/>
    </row>
    <row r="545" spans="1:10" ht="14.25" thickBot="1">
      <c r="A545" s="239" t="s">
        <v>170</v>
      </c>
      <c r="B545" s="240" t="s">
        <v>173</v>
      </c>
      <c r="C545" s="241" t="s">
        <v>173</v>
      </c>
      <c r="D545" s="242" t="s">
        <v>173</v>
      </c>
      <c r="E545" s="246">
        <f>E24+E43+E78+E161+E195+E287+E385+E389+E427+E492+E495+E498+E501+E522+E530+E544</f>
        <v>523595236889</v>
      </c>
      <c r="F545" s="246">
        <f>F24+F43+F78+F161+F195+F287+F385+F389+F427+F492+F495+F498+F501+F522+F530+F544</f>
        <v>8467989990</v>
      </c>
      <c r="G545" s="246">
        <f>G24+G43+G78+G161+G195+G287+G385+G389+G427+G492+G495+G498+G501+G522+G530+G544</f>
        <v>328444935353</v>
      </c>
      <c r="H545" s="246">
        <f>H24+H43+H78+H161+H195+H287+H385+H389+H427+H492+H495+H498+H501+H522+H530+H544</f>
        <v>195150301536</v>
      </c>
      <c r="I545" s="243"/>
      <c r="J545" s="244" t="s">
        <v>173</v>
      </c>
    </row>
    <row r="546" spans="1:10">
      <c r="H546" s="274"/>
    </row>
    <row r="548" spans="1:10">
      <c r="E548" s="274"/>
    </row>
  </sheetData>
  <mergeCells count="90">
    <mergeCell ref="I532:I533"/>
    <mergeCell ref="J532:J533"/>
    <mergeCell ref="H468:H469"/>
    <mergeCell ref="I468:I469"/>
    <mergeCell ref="J468:J469"/>
    <mergeCell ref="H532:H533"/>
    <mergeCell ref="A532:A533"/>
    <mergeCell ref="B532:B533"/>
    <mergeCell ref="E468:E469"/>
    <mergeCell ref="F468:G468"/>
    <mergeCell ref="C532:C533"/>
    <mergeCell ref="D532:D533"/>
    <mergeCell ref="E532:E533"/>
    <mergeCell ref="F532:G532"/>
    <mergeCell ref="F408:G408"/>
    <mergeCell ref="H408:H409"/>
    <mergeCell ref="I408:I409"/>
    <mergeCell ref="J408:J409"/>
    <mergeCell ref="A468:A469"/>
    <mergeCell ref="B468:B469"/>
    <mergeCell ref="C468:C469"/>
    <mergeCell ref="D468:D469"/>
    <mergeCell ref="A408:A409"/>
    <mergeCell ref="B408:B409"/>
    <mergeCell ref="C408:C409"/>
    <mergeCell ref="D408:D409"/>
    <mergeCell ref="E408:E409"/>
    <mergeCell ref="E228:E229"/>
    <mergeCell ref="F228:G228"/>
    <mergeCell ref="A228:A229"/>
    <mergeCell ref="B228:B229"/>
    <mergeCell ref="C228:C229"/>
    <mergeCell ref="D228:D229"/>
    <mergeCell ref="A289:A290"/>
    <mergeCell ref="B289:B290"/>
    <mergeCell ref="C289:C290"/>
    <mergeCell ref="D289:D290"/>
    <mergeCell ref="E289:E290"/>
    <mergeCell ref="A346:A347"/>
    <mergeCell ref="B346:B347"/>
    <mergeCell ref="C346:C347"/>
    <mergeCell ref="D346:D347"/>
    <mergeCell ref="E346:E347"/>
    <mergeCell ref="F346:G346"/>
    <mergeCell ref="H346:H347"/>
    <mergeCell ref="I346:I347"/>
    <mergeCell ref="J346:J347"/>
    <mergeCell ref="H228:H229"/>
    <mergeCell ref="I228:I229"/>
    <mergeCell ref="F289:G289"/>
    <mergeCell ref="H289:H290"/>
    <mergeCell ref="I289:I290"/>
    <mergeCell ref="J228:J229"/>
    <mergeCell ref="J289:J290"/>
    <mergeCell ref="H171:H172"/>
    <mergeCell ref="I171:I172"/>
    <mergeCell ref="J171:J172"/>
    <mergeCell ref="J2:J3"/>
    <mergeCell ref="J113:J114"/>
    <mergeCell ref="H113:H114"/>
    <mergeCell ref="I113:I114"/>
    <mergeCell ref="J57:J58"/>
    <mergeCell ref="H2:H3"/>
    <mergeCell ref="I2:I3"/>
    <mergeCell ref="A2:A3"/>
    <mergeCell ref="B2:B3"/>
    <mergeCell ref="C2:C3"/>
    <mergeCell ref="D2:D3"/>
    <mergeCell ref="F171:G171"/>
    <mergeCell ref="F113:G113"/>
    <mergeCell ref="A171:A172"/>
    <mergeCell ref="B171:B172"/>
    <mergeCell ref="C171:C172"/>
    <mergeCell ref="D171:D172"/>
    <mergeCell ref="E171:E172"/>
    <mergeCell ref="A113:A114"/>
    <mergeCell ref="B113:B114"/>
    <mergeCell ref="C113:C114"/>
    <mergeCell ref="D113:D114"/>
    <mergeCell ref="A57:A58"/>
    <mergeCell ref="B57:B58"/>
    <mergeCell ref="C57:C58"/>
    <mergeCell ref="D57:D58"/>
    <mergeCell ref="E57:E58"/>
    <mergeCell ref="E113:E114"/>
    <mergeCell ref="F57:G57"/>
    <mergeCell ref="H57:H58"/>
    <mergeCell ref="I57:I58"/>
    <mergeCell ref="E2:E3"/>
    <mergeCell ref="F2:G2"/>
  </mergeCells>
  <phoneticPr fontId="2"/>
  <pageMargins left="0.98425196850393704" right="0.39370078740157483" top="0.98425196850393704" bottom="0.74803149606299213" header="0.31496062992125984" footer="0.31496062992125984"/>
  <pageSetup paperSize="9" scale="84" orientation="portrait" r:id="rId1"/>
  <rowBreaks count="9" manualBreakCount="9">
    <brk id="56" max="16383" man="1"/>
    <brk id="112" max="16383" man="1"/>
    <brk id="170" max="16383" man="1"/>
    <brk id="227" max="16383" man="1"/>
    <brk id="288" max="16383" man="1"/>
    <brk id="345" max="16383" man="1"/>
    <brk id="407" max="16383" man="1"/>
    <brk id="467" max="16383" man="1"/>
    <brk id="5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</sheetPr>
  <dimension ref="A1:J547"/>
  <sheetViews>
    <sheetView view="pageBreakPreview" zoomScaleNormal="100" zoomScaleSheetLayoutView="100" workbookViewId="0">
      <selection activeCell="A2" sqref="A2:A3"/>
    </sheetView>
  </sheetViews>
  <sheetFormatPr defaultColWidth="9" defaultRowHeight="13.5"/>
  <cols>
    <col min="1" max="1" width="10.875" style="114" customWidth="1"/>
    <col min="2" max="2" width="4.5" style="114" customWidth="1"/>
    <col min="3" max="3" width="12.75" style="114" customWidth="1"/>
    <col min="4" max="4" width="8.875" style="114" customWidth="1"/>
    <col min="5" max="5" width="12.75" style="92" customWidth="1"/>
    <col min="6" max="6" width="11.875" style="92" customWidth="1"/>
    <col min="7" max="8" width="12.75" style="92" customWidth="1"/>
    <col min="9" max="9" width="5" style="114" customWidth="1"/>
    <col min="10" max="10" width="4.25" style="114" customWidth="1"/>
    <col min="11" max="16384" width="9" style="114"/>
  </cols>
  <sheetData>
    <row r="1" spans="1:10" ht="20.25" customHeight="1" thickBot="1">
      <c r="A1" s="109" t="s">
        <v>889</v>
      </c>
      <c r="B1" s="110"/>
      <c r="C1" s="111"/>
      <c r="D1" s="110"/>
      <c r="E1" s="23"/>
      <c r="F1" s="112"/>
      <c r="G1" s="23"/>
      <c r="H1" s="23"/>
      <c r="I1" s="113"/>
      <c r="J1" s="111"/>
    </row>
    <row r="2" spans="1:10">
      <c r="A2" s="500" t="s">
        <v>890</v>
      </c>
      <c r="B2" s="502" t="s">
        <v>311</v>
      </c>
      <c r="C2" s="504" t="s">
        <v>891</v>
      </c>
      <c r="D2" s="502" t="s">
        <v>312</v>
      </c>
      <c r="E2" s="506" t="s">
        <v>892</v>
      </c>
      <c r="F2" s="508" t="s">
        <v>893</v>
      </c>
      <c r="G2" s="510"/>
      <c r="H2" s="494" t="s">
        <v>174</v>
      </c>
      <c r="I2" s="496" t="s">
        <v>894</v>
      </c>
      <c r="J2" s="498" t="s">
        <v>313</v>
      </c>
    </row>
    <row r="3" spans="1:10">
      <c r="A3" s="501"/>
      <c r="B3" s="503"/>
      <c r="C3" s="505"/>
      <c r="D3" s="503"/>
      <c r="E3" s="507"/>
      <c r="F3" s="115" t="s">
        <v>176</v>
      </c>
      <c r="G3" s="115" t="s">
        <v>305</v>
      </c>
      <c r="H3" s="495"/>
      <c r="I3" s="497"/>
      <c r="J3" s="499"/>
    </row>
    <row r="4" spans="1:10" ht="14.25" customHeight="1">
      <c r="A4" s="117"/>
      <c r="B4" s="118"/>
      <c r="C4" s="118"/>
      <c r="D4" s="119" t="s">
        <v>177</v>
      </c>
      <c r="E4" s="44" t="s">
        <v>178</v>
      </c>
      <c r="F4" s="44" t="s">
        <v>172</v>
      </c>
      <c r="G4" s="44" t="s">
        <v>178</v>
      </c>
      <c r="H4" s="44" t="s">
        <v>178</v>
      </c>
      <c r="I4" s="120" t="s">
        <v>895</v>
      </c>
      <c r="J4" s="121" t="s">
        <v>175</v>
      </c>
    </row>
    <row r="5" spans="1:10" ht="14.25" customHeight="1">
      <c r="A5" s="122" t="s">
        <v>179</v>
      </c>
      <c r="B5" s="123" t="s">
        <v>356</v>
      </c>
      <c r="C5" s="124" t="s">
        <v>180</v>
      </c>
      <c r="D5" s="123" t="s">
        <v>357</v>
      </c>
      <c r="E5" s="13">
        <v>40000000</v>
      </c>
      <c r="F5" s="13">
        <v>0</v>
      </c>
      <c r="G5" s="13">
        <v>40000000</v>
      </c>
      <c r="H5" s="13">
        <f t="shared" ref="H5:H55" si="0">E5-G5</f>
        <v>0</v>
      </c>
      <c r="I5" s="125">
        <v>7.8</v>
      </c>
      <c r="J5" s="126" t="s">
        <v>358</v>
      </c>
    </row>
    <row r="6" spans="1:10" ht="14.25" customHeight="1">
      <c r="A6" s="127" t="s">
        <v>182</v>
      </c>
      <c r="B6" s="128" t="s">
        <v>183</v>
      </c>
      <c r="C6" s="124" t="s">
        <v>184</v>
      </c>
      <c r="D6" s="123" t="s">
        <v>359</v>
      </c>
      <c r="E6" s="13">
        <v>10000000</v>
      </c>
      <c r="F6" s="13">
        <v>0</v>
      </c>
      <c r="G6" s="13">
        <v>10000000</v>
      </c>
      <c r="H6" s="13">
        <f t="shared" si="0"/>
        <v>0</v>
      </c>
      <c r="I6" s="125">
        <v>7.8</v>
      </c>
      <c r="J6" s="126" t="s">
        <v>181</v>
      </c>
    </row>
    <row r="7" spans="1:10" ht="14.25" customHeight="1">
      <c r="A7" s="127"/>
      <c r="B7" s="128" t="s">
        <v>183</v>
      </c>
      <c r="C7" s="129" t="s">
        <v>185</v>
      </c>
      <c r="D7" s="123" t="s">
        <v>360</v>
      </c>
      <c r="E7" s="13">
        <v>50000000</v>
      </c>
      <c r="F7" s="13">
        <v>0</v>
      </c>
      <c r="G7" s="13">
        <v>50000000</v>
      </c>
      <c r="H7" s="13">
        <f t="shared" si="0"/>
        <v>0</v>
      </c>
      <c r="I7" s="125">
        <v>6.5</v>
      </c>
      <c r="J7" s="126" t="s">
        <v>186</v>
      </c>
    </row>
    <row r="8" spans="1:10" ht="14.25" customHeight="1">
      <c r="A8" s="127"/>
      <c r="B8" s="128" t="s">
        <v>187</v>
      </c>
      <c r="C8" s="129" t="s">
        <v>185</v>
      </c>
      <c r="D8" s="123" t="s">
        <v>361</v>
      </c>
      <c r="E8" s="13">
        <v>150000000</v>
      </c>
      <c r="F8" s="13">
        <v>0</v>
      </c>
      <c r="G8" s="13">
        <v>150000000</v>
      </c>
      <c r="H8" s="13">
        <f t="shared" si="0"/>
        <v>0</v>
      </c>
      <c r="I8" s="125">
        <v>6.5</v>
      </c>
      <c r="J8" s="126" t="s">
        <v>188</v>
      </c>
    </row>
    <row r="9" spans="1:10" ht="14.25" customHeight="1">
      <c r="A9" s="127"/>
      <c r="B9" s="128" t="s">
        <v>187</v>
      </c>
      <c r="C9" s="129" t="s">
        <v>189</v>
      </c>
      <c r="D9" s="123" t="s">
        <v>362</v>
      </c>
      <c r="E9" s="13">
        <v>200000000</v>
      </c>
      <c r="F9" s="13">
        <v>0</v>
      </c>
      <c r="G9" s="13">
        <v>200000000</v>
      </c>
      <c r="H9" s="13">
        <f t="shared" si="0"/>
        <v>0</v>
      </c>
      <c r="I9" s="125">
        <v>7.6</v>
      </c>
      <c r="J9" s="126" t="s">
        <v>190</v>
      </c>
    </row>
    <row r="10" spans="1:10" ht="14.25" customHeight="1">
      <c r="A10" s="127"/>
      <c r="B10" s="128" t="s">
        <v>191</v>
      </c>
      <c r="C10" s="129" t="s">
        <v>189</v>
      </c>
      <c r="D10" s="123" t="s">
        <v>363</v>
      </c>
      <c r="E10" s="13">
        <v>200000000</v>
      </c>
      <c r="F10" s="13">
        <v>0</v>
      </c>
      <c r="G10" s="13">
        <v>200000000</v>
      </c>
      <c r="H10" s="13">
        <f t="shared" si="0"/>
        <v>0</v>
      </c>
      <c r="I10" s="125">
        <v>7.6</v>
      </c>
      <c r="J10" s="126" t="s">
        <v>192</v>
      </c>
    </row>
    <row r="11" spans="1:10" ht="14.25" customHeight="1">
      <c r="A11" s="127"/>
      <c r="B11" s="128" t="s">
        <v>191</v>
      </c>
      <c r="C11" s="129" t="s">
        <v>193</v>
      </c>
      <c r="D11" s="123" t="s">
        <v>364</v>
      </c>
      <c r="E11" s="13">
        <v>200000000</v>
      </c>
      <c r="F11" s="13">
        <v>0</v>
      </c>
      <c r="G11" s="13">
        <v>200000000</v>
      </c>
      <c r="H11" s="13">
        <f t="shared" si="0"/>
        <v>0</v>
      </c>
      <c r="I11" s="125">
        <v>6.5</v>
      </c>
      <c r="J11" s="126" t="s">
        <v>194</v>
      </c>
    </row>
    <row r="12" spans="1:10" ht="14.25" customHeight="1">
      <c r="A12" s="127"/>
      <c r="B12" s="128" t="s">
        <v>195</v>
      </c>
      <c r="C12" s="129" t="s">
        <v>189</v>
      </c>
      <c r="D12" s="123" t="s">
        <v>365</v>
      </c>
      <c r="E12" s="13">
        <v>250000000</v>
      </c>
      <c r="F12" s="13">
        <v>0</v>
      </c>
      <c r="G12" s="13">
        <v>250000000</v>
      </c>
      <c r="H12" s="13">
        <f t="shared" si="0"/>
        <v>0</v>
      </c>
      <c r="I12" s="125">
        <v>7.6</v>
      </c>
      <c r="J12" s="126" t="s">
        <v>196</v>
      </c>
    </row>
    <row r="13" spans="1:10" ht="14.25" customHeight="1">
      <c r="A13" s="127"/>
      <c r="B13" s="128" t="s">
        <v>195</v>
      </c>
      <c r="C13" s="124" t="s">
        <v>180</v>
      </c>
      <c r="D13" s="123" t="s">
        <v>366</v>
      </c>
      <c r="E13" s="13">
        <v>100000000</v>
      </c>
      <c r="F13" s="13">
        <v>0</v>
      </c>
      <c r="G13" s="13">
        <v>100000000</v>
      </c>
      <c r="H13" s="13">
        <f t="shared" si="0"/>
        <v>0</v>
      </c>
      <c r="I13" s="125">
        <v>7.3</v>
      </c>
      <c r="J13" s="126" t="s">
        <v>197</v>
      </c>
    </row>
    <row r="14" spans="1:10" ht="14.25" customHeight="1">
      <c r="A14" s="127"/>
      <c r="B14" s="128" t="s">
        <v>195</v>
      </c>
      <c r="C14" s="129" t="s">
        <v>193</v>
      </c>
      <c r="D14" s="123" t="s">
        <v>367</v>
      </c>
      <c r="E14" s="13">
        <v>250000000</v>
      </c>
      <c r="F14" s="13">
        <v>0</v>
      </c>
      <c r="G14" s="13">
        <v>250000000</v>
      </c>
      <c r="H14" s="13">
        <f t="shared" si="0"/>
        <v>0</v>
      </c>
      <c r="I14" s="125">
        <v>6.5</v>
      </c>
      <c r="J14" s="126" t="s">
        <v>198</v>
      </c>
    </row>
    <row r="15" spans="1:10" ht="14.25" customHeight="1">
      <c r="A15" s="127"/>
      <c r="B15" s="128" t="s">
        <v>199</v>
      </c>
      <c r="C15" s="129" t="s">
        <v>189</v>
      </c>
      <c r="D15" s="123" t="s">
        <v>368</v>
      </c>
      <c r="E15" s="13">
        <v>100000000</v>
      </c>
      <c r="F15" s="13">
        <v>0</v>
      </c>
      <c r="G15" s="13">
        <v>100000000</v>
      </c>
      <c r="H15" s="13">
        <f t="shared" si="0"/>
        <v>0</v>
      </c>
      <c r="I15" s="125">
        <v>7.6</v>
      </c>
      <c r="J15" s="126" t="s">
        <v>186</v>
      </c>
    </row>
    <row r="16" spans="1:10" ht="14.25" customHeight="1">
      <c r="A16" s="127"/>
      <c r="B16" s="128" t="s">
        <v>199</v>
      </c>
      <c r="C16" s="129" t="s">
        <v>189</v>
      </c>
      <c r="D16" s="123" t="s">
        <v>369</v>
      </c>
      <c r="E16" s="13">
        <v>170000000</v>
      </c>
      <c r="F16" s="13">
        <v>0</v>
      </c>
      <c r="G16" s="13">
        <v>170000000</v>
      </c>
      <c r="H16" s="13">
        <f t="shared" si="0"/>
        <v>0</v>
      </c>
      <c r="I16" s="125">
        <v>7.6</v>
      </c>
      <c r="J16" s="126" t="s">
        <v>186</v>
      </c>
    </row>
    <row r="17" spans="1:10" ht="14.25" customHeight="1">
      <c r="A17" s="127"/>
      <c r="B17" s="128" t="s">
        <v>199</v>
      </c>
      <c r="C17" s="124" t="s">
        <v>180</v>
      </c>
      <c r="D17" s="123" t="s">
        <v>370</v>
      </c>
      <c r="E17" s="13">
        <v>60000000</v>
      </c>
      <c r="F17" s="13">
        <v>0</v>
      </c>
      <c r="G17" s="13">
        <v>60000000</v>
      </c>
      <c r="H17" s="13">
        <f t="shared" si="0"/>
        <v>0</v>
      </c>
      <c r="I17" s="125">
        <v>7.3</v>
      </c>
      <c r="J17" s="126" t="s">
        <v>200</v>
      </c>
    </row>
    <row r="18" spans="1:10" ht="14.25" customHeight="1">
      <c r="A18" s="127"/>
      <c r="B18" s="128" t="s">
        <v>199</v>
      </c>
      <c r="C18" s="129" t="s">
        <v>193</v>
      </c>
      <c r="D18" s="123" t="s">
        <v>371</v>
      </c>
      <c r="E18" s="13">
        <v>270000000</v>
      </c>
      <c r="F18" s="13">
        <v>0</v>
      </c>
      <c r="G18" s="13">
        <v>270000000</v>
      </c>
      <c r="H18" s="13">
        <f t="shared" si="0"/>
        <v>0</v>
      </c>
      <c r="I18" s="125">
        <v>6.5</v>
      </c>
      <c r="J18" s="126" t="s">
        <v>201</v>
      </c>
    </row>
    <row r="19" spans="1:10" ht="14.25" customHeight="1">
      <c r="A19" s="127"/>
      <c r="B19" s="128" t="s">
        <v>202</v>
      </c>
      <c r="C19" s="129" t="s">
        <v>189</v>
      </c>
      <c r="D19" s="123" t="s">
        <v>372</v>
      </c>
      <c r="E19" s="13">
        <v>160000000</v>
      </c>
      <c r="F19" s="13">
        <v>0</v>
      </c>
      <c r="G19" s="13">
        <v>160000000</v>
      </c>
      <c r="H19" s="13">
        <f t="shared" si="0"/>
        <v>0</v>
      </c>
      <c r="I19" s="125">
        <v>7.4</v>
      </c>
      <c r="J19" s="126" t="s">
        <v>203</v>
      </c>
    </row>
    <row r="20" spans="1:10" ht="14.25" customHeight="1">
      <c r="A20" s="127"/>
      <c r="B20" s="128" t="s">
        <v>202</v>
      </c>
      <c r="C20" s="129" t="s">
        <v>193</v>
      </c>
      <c r="D20" s="123" t="s">
        <v>373</v>
      </c>
      <c r="E20" s="13">
        <v>200000000</v>
      </c>
      <c r="F20" s="13">
        <v>0</v>
      </c>
      <c r="G20" s="13">
        <v>200000000</v>
      </c>
      <c r="H20" s="13">
        <f t="shared" si="0"/>
        <v>0</v>
      </c>
      <c r="I20" s="125">
        <v>6.5</v>
      </c>
      <c r="J20" s="126" t="s">
        <v>204</v>
      </c>
    </row>
    <row r="21" spans="1:10" ht="14.25" customHeight="1">
      <c r="A21" s="127"/>
      <c r="B21" s="128" t="s">
        <v>205</v>
      </c>
      <c r="C21" s="124" t="s">
        <v>180</v>
      </c>
      <c r="D21" s="123" t="s">
        <v>374</v>
      </c>
      <c r="E21" s="13">
        <v>30000000</v>
      </c>
      <c r="F21" s="13">
        <v>0</v>
      </c>
      <c r="G21" s="13">
        <v>30000000</v>
      </c>
      <c r="H21" s="13">
        <f t="shared" si="0"/>
        <v>0</v>
      </c>
      <c r="I21" s="125">
        <v>7.1</v>
      </c>
      <c r="J21" s="126" t="s">
        <v>206</v>
      </c>
    </row>
    <row r="22" spans="1:10" ht="14.25" customHeight="1">
      <c r="A22" s="127"/>
      <c r="B22" s="128" t="s">
        <v>205</v>
      </c>
      <c r="C22" s="124" t="s">
        <v>184</v>
      </c>
      <c r="D22" s="123" t="s">
        <v>375</v>
      </c>
      <c r="E22" s="13">
        <v>50000000</v>
      </c>
      <c r="F22" s="13">
        <v>0</v>
      </c>
      <c r="G22" s="13">
        <v>50000000</v>
      </c>
      <c r="H22" s="13">
        <f t="shared" si="0"/>
        <v>0</v>
      </c>
      <c r="I22" s="125">
        <v>7.1</v>
      </c>
      <c r="J22" s="126" t="s">
        <v>171</v>
      </c>
    </row>
    <row r="23" spans="1:10" ht="14.25" customHeight="1">
      <c r="A23" s="130"/>
      <c r="B23" s="131" t="s">
        <v>205</v>
      </c>
      <c r="C23" s="132" t="s">
        <v>207</v>
      </c>
      <c r="D23" s="133" t="s">
        <v>375</v>
      </c>
      <c r="E23" s="134">
        <v>50000000</v>
      </c>
      <c r="F23" s="13">
        <v>0</v>
      </c>
      <c r="G23" s="13">
        <v>50000000</v>
      </c>
      <c r="H23" s="13">
        <f t="shared" si="0"/>
        <v>0</v>
      </c>
      <c r="I23" s="116">
        <v>7.1</v>
      </c>
      <c r="J23" s="135" t="s">
        <v>171</v>
      </c>
    </row>
    <row r="24" spans="1:10" ht="17.25" customHeight="1">
      <c r="A24" s="136" t="s">
        <v>376</v>
      </c>
      <c r="B24" s="137" t="s">
        <v>173</v>
      </c>
      <c r="C24" s="138" t="s">
        <v>173</v>
      </c>
      <c r="D24" s="139" t="s">
        <v>173</v>
      </c>
      <c r="E24" s="18">
        <f>SUM(E5:E23)</f>
        <v>2540000000</v>
      </c>
      <c r="F24" s="18">
        <f>SUM(F5:F23)</f>
        <v>0</v>
      </c>
      <c r="G24" s="18">
        <f>SUM(G5:G23)</f>
        <v>2540000000</v>
      </c>
      <c r="H24" s="18">
        <f>SUM(H5:H23)</f>
        <v>0</v>
      </c>
      <c r="I24" s="140"/>
      <c r="J24" s="141" t="s">
        <v>173</v>
      </c>
    </row>
    <row r="25" spans="1:10" ht="14.25" customHeight="1">
      <c r="A25" s="117" t="s">
        <v>208</v>
      </c>
      <c r="B25" s="142" t="s">
        <v>377</v>
      </c>
      <c r="C25" s="143" t="s">
        <v>189</v>
      </c>
      <c r="D25" s="119" t="s">
        <v>378</v>
      </c>
      <c r="E25" s="144">
        <v>340000000</v>
      </c>
      <c r="F25" s="13">
        <v>0</v>
      </c>
      <c r="G25" s="13">
        <v>340000000</v>
      </c>
      <c r="H25" s="13">
        <f t="shared" si="0"/>
        <v>0</v>
      </c>
      <c r="I25" s="120">
        <v>7.4</v>
      </c>
      <c r="J25" s="145" t="s">
        <v>209</v>
      </c>
    </row>
    <row r="26" spans="1:10" ht="14.25" customHeight="1">
      <c r="A26" s="127" t="s">
        <v>182</v>
      </c>
      <c r="B26" s="146" t="s">
        <v>205</v>
      </c>
      <c r="C26" s="124" t="s">
        <v>180</v>
      </c>
      <c r="D26" s="123" t="s">
        <v>375</v>
      </c>
      <c r="E26" s="13">
        <v>200000000</v>
      </c>
      <c r="F26" s="13">
        <v>0</v>
      </c>
      <c r="G26" s="13">
        <v>200000000</v>
      </c>
      <c r="H26" s="13">
        <f t="shared" si="0"/>
        <v>0</v>
      </c>
      <c r="I26" s="125">
        <v>7.1</v>
      </c>
      <c r="J26" s="126" t="s">
        <v>171</v>
      </c>
    </row>
    <row r="27" spans="1:10" ht="14.25" customHeight="1">
      <c r="A27" s="127"/>
      <c r="B27" s="146" t="s">
        <v>205</v>
      </c>
      <c r="C27" s="129" t="s">
        <v>193</v>
      </c>
      <c r="D27" s="123" t="s">
        <v>379</v>
      </c>
      <c r="E27" s="13">
        <v>370000000</v>
      </c>
      <c r="F27" s="13">
        <v>0</v>
      </c>
      <c r="G27" s="13">
        <v>370000000</v>
      </c>
      <c r="H27" s="13">
        <f t="shared" si="0"/>
        <v>0</v>
      </c>
      <c r="I27" s="125">
        <v>6.5</v>
      </c>
      <c r="J27" s="126" t="s">
        <v>210</v>
      </c>
    </row>
    <row r="28" spans="1:10" ht="14.25" customHeight="1">
      <c r="A28" s="127"/>
      <c r="B28" s="146" t="s">
        <v>211</v>
      </c>
      <c r="C28" s="129" t="s">
        <v>189</v>
      </c>
      <c r="D28" s="123" t="s">
        <v>380</v>
      </c>
      <c r="E28" s="13">
        <v>200000000</v>
      </c>
      <c r="F28" s="13">
        <v>0</v>
      </c>
      <c r="G28" s="13">
        <v>200000000</v>
      </c>
      <c r="H28" s="13">
        <f t="shared" si="0"/>
        <v>0</v>
      </c>
      <c r="I28" s="125">
        <v>7.3</v>
      </c>
      <c r="J28" s="126" t="s">
        <v>212</v>
      </c>
    </row>
    <row r="29" spans="1:10" ht="14.25" customHeight="1">
      <c r="A29" s="127"/>
      <c r="B29" s="146" t="s">
        <v>211</v>
      </c>
      <c r="C29" s="129" t="s">
        <v>213</v>
      </c>
      <c r="D29" s="123" t="s">
        <v>381</v>
      </c>
      <c r="E29" s="13">
        <v>300000000</v>
      </c>
      <c r="F29" s="13">
        <v>0</v>
      </c>
      <c r="G29" s="13">
        <v>300000000</v>
      </c>
      <c r="H29" s="13">
        <f t="shared" si="0"/>
        <v>0</v>
      </c>
      <c r="I29" s="125">
        <v>6.5</v>
      </c>
      <c r="J29" s="126" t="s">
        <v>214</v>
      </c>
    </row>
    <row r="30" spans="1:10" ht="14.25" customHeight="1">
      <c r="A30" s="127"/>
      <c r="B30" s="146" t="s">
        <v>211</v>
      </c>
      <c r="C30" s="129" t="s">
        <v>189</v>
      </c>
      <c r="D30" s="123" t="s">
        <v>382</v>
      </c>
      <c r="E30" s="13">
        <v>220000000</v>
      </c>
      <c r="F30" s="13">
        <v>0</v>
      </c>
      <c r="G30" s="13">
        <v>220000000</v>
      </c>
      <c r="H30" s="13">
        <f t="shared" si="0"/>
        <v>0</v>
      </c>
      <c r="I30" s="125">
        <v>7.3</v>
      </c>
      <c r="J30" s="126" t="s">
        <v>212</v>
      </c>
    </row>
    <row r="31" spans="1:10" ht="14.25" customHeight="1">
      <c r="A31" s="127"/>
      <c r="B31" s="146" t="s">
        <v>211</v>
      </c>
      <c r="C31" s="124" t="s">
        <v>180</v>
      </c>
      <c r="D31" s="123" t="s">
        <v>383</v>
      </c>
      <c r="E31" s="13">
        <v>100000000</v>
      </c>
      <c r="F31" s="13">
        <v>0</v>
      </c>
      <c r="G31" s="13">
        <v>100000000</v>
      </c>
      <c r="H31" s="13">
        <f t="shared" si="0"/>
        <v>0</v>
      </c>
      <c r="I31" s="125">
        <v>7.3</v>
      </c>
      <c r="J31" s="126" t="s">
        <v>171</v>
      </c>
    </row>
    <row r="32" spans="1:10" ht="14.25" customHeight="1">
      <c r="A32" s="127"/>
      <c r="B32" s="146" t="s">
        <v>211</v>
      </c>
      <c r="C32" s="129" t="s">
        <v>193</v>
      </c>
      <c r="D32" s="123" t="s">
        <v>384</v>
      </c>
      <c r="E32" s="13">
        <v>480000000</v>
      </c>
      <c r="F32" s="13">
        <v>0</v>
      </c>
      <c r="G32" s="13">
        <v>480000000</v>
      </c>
      <c r="H32" s="13">
        <f t="shared" si="0"/>
        <v>0</v>
      </c>
      <c r="I32" s="125">
        <v>6.5</v>
      </c>
      <c r="J32" s="126" t="s">
        <v>214</v>
      </c>
    </row>
    <row r="33" spans="1:10" ht="14.25" customHeight="1">
      <c r="A33" s="127"/>
      <c r="B33" s="146" t="s">
        <v>215</v>
      </c>
      <c r="C33" s="129" t="s">
        <v>189</v>
      </c>
      <c r="D33" s="123" t="s">
        <v>385</v>
      </c>
      <c r="E33" s="13">
        <v>300000000</v>
      </c>
      <c r="F33" s="13">
        <v>0</v>
      </c>
      <c r="G33" s="13">
        <v>300000000</v>
      </c>
      <c r="H33" s="13">
        <f t="shared" si="0"/>
        <v>0</v>
      </c>
      <c r="I33" s="125">
        <v>7.3</v>
      </c>
      <c r="J33" s="126" t="s">
        <v>188</v>
      </c>
    </row>
    <row r="34" spans="1:10" ht="14.25" customHeight="1">
      <c r="A34" s="127"/>
      <c r="B34" s="146" t="s">
        <v>215</v>
      </c>
      <c r="C34" s="129" t="s">
        <v>189</v>
      </c>
      <c r="D34" s="123" t="s">
        <v>385</v>
      </c>
      <c r="E34" s="13">
        <v>620000000</v>
      </c>
      <c r="F34" s="13">
        <v>0</v>
      </c>
      <c r="G34" s="13">
        <v>620000000</v>
      </c>
      <c r="H34" s="13">
        <f t="shared" si="0"/>
        <v>0</v>
      </c>
      <c r="I34" s="125">
        <v>7.3</v>
      </c>
      <c r="J34" s="126" t="s">
        <v>188</v>
      </c>
    </row>
    <row r="35" spans="1:10" ht="14.25" customHeight="1">
      <c r="A35" s="127"/>
      <c r="B35" s="146" t="s">
        <v>215</v>
      </c>
      <c r="C35" s="124" t="s">
        <v>180</v>
      </c>
      <c r="D35" s="123" t="s">
        <v>386</v>
      </c>
      <c r="E35" s="13">
        <v>100000000</v>
      </c>
      <c r="F35" s="13">
        <v>0</v>
      </c>
      <c r="G35" s="13">
        <v>100000000</v>
      </c>
      <c r="H35" s="13">
        <f t="shared" si="0"/>
        <v>0</v>
      </c>
      <c r="I35" s="125">
        <v>7.1</v>
      </c>
      <c r="J35" s="126" t="s">
        <v>216</v>
      </c>
    </row>
    <row r="36" spans="1:10" ht="14.25" customHeight="1">
      <c r="A36" s="127"/>
      <c r="B36" s="146" t="s">
        <v>215</v>
      </c>
      <c r="C36" s="129" t="s">
        <v>193</v>
      </c>
      <c r="D36" s="123" t="s">
        <v>387</v>
      </c>
      <c r="E36" s="13">
        <v>280000000</v>
      </c>
      <c r="F36" s="13">
        <v>0</v>
      </c>
      <c r="G36" s="13">
        <v>280000000</v>
      </c>
      <c r="H36" s="13">
        <f t="shared" si="0"/>
        <v>0</v>
      </c>
      <c r="I36" s="125">
        <v>6.5</v>
      </c>
      <c r="J36" s="147" t="s">
        <v>217</v>
      </c>
    </row>
    <row r="37" spans="1:10" ht="14.25" customHeight="1">
      <c r="A37" s="127"/>
      <c r="B37" s="146" t="s">
        <v>218</v>
      </c>
      <c r="C37" s="129" t="s">
        <v>189</v>
      </c>
      <c r="D37" s="123" t="s">
        <v>388</v>
      </c>
      <c r="E37" s="13">
        <v>350000000</v>
      </c>
      <c r="F37" s="13">
        <v>0</v>
      </c>
      <c r="G37" s="13">
        <v>350000000</v>
      </c>
      <c r="H37" s="13">
        <f t="shared" si="0"/>
        <v>0</v>
      </c>
      <c r="I37" s="125">
        <v>7.3</v>
      </c>
      <c r="J37" s="147" t="s">
        <v>214</v>
      </c>
    </row>
    <row r="38" spans="1:10" ht="14.25" customHeight="1">
      <c r="A38" s="127"/>
      <c r="B38" s="146" t="s">
        <v>218</v>
      </c>
      <c r="C38" s="129" t="s">
        <v>185</v>
      </c>
      <c r="D38" s="123" t="s">
        <v>389</v>
      </c>
      <c r="E38" s="13">
        <v>780000000</v>
      </c>
      <c r="F38" s="13">
        <v>0</v>
      </c>
      <c r="G38" s="13">
        <v>780000000</v>
      </c>
      <c r="H38" s="13">
        <f t="shared" si="0"/>
        <v>0</v>
      </c>
      <c r="I38" s="125">
        <v>6.5</v>
      </c>
      <c r="J38" s="147" t="s">
        <v>219</v>
      </c>
    </row>
    <row r="39" spans="1:10" ht="14.25" customHeight="1">
      <c r="A39" s="127"/>
      <c r="B39" s="146" t="s">
        <v>218</v>
      </c>
      <c r="C39" s="129" t="s">
        <v>189</v>
      </c>
      <c r="D39" s="123" t="s">
        <v>390</v>
      </c>
      <c r="E39" s="13">
        <v>210000000</v>
      </c>
      <c r="F39" s="13">
        <v>0</v>
      </c>
      <c r="G39" s="13">
        <v>210000000</v>
      </c>
      <c r="H39" s="13">
        <f t="shared" si="0"/>
        <v>0</v>
      </c>
      <c r="I39" s="125">
        <v>7.3</v>
      </c>
      <c r="J39" s="147" t="s">
        <v>214</v>
      </c>
    </row>
    <row r="40" spans="1:10" ht="14.25" customHeight="1">
      <c r="A40" s="127"/>
      <c r="B40" s="146" t="s">
        <v>220</v>
      </c>
      <c r="C40" s="129" t="s">
        <v>189</v>
      </c>
      <c r="D40" s="123" t="s">
        <v>391</v>
      </c>
      <c r="E40" s="13">
        <v>200000000</v>
      </c>
      <c r="F40" s="13">
        <v>0</v>
      </c>
      <c r="G40" s="13">
        <v>200000000</v>
      </c>
      <c r="H40" s="13">
        <f t="shared" si="0"/>
        <v>0</v>
      </c>
      <c r="I40" s="125">
        <v>7</v>
      </c>
      <c r="J40" s="147" t="s">
        <v>217</v>
      </c>
    </row>
    <row r="41" spans="1:10" ht="14.25" customHeight="1">
      <c r="A41" s="127"/>
      <c r="B41" s="146" t="s">
        <v>220</v>
      </c>
      <c r="C41" s="129" t="s">
        <v>193</v>
      </c>
      <c r="D41" s="123" t="s">
        <v>392</v>
      </c>
      <c r="E41" s="13">
        <v>230000000</v>
      </c>
      <c r="F41" s="13">
        <v>0</v>
      </c>
      <c r="G41" s="13">
        <v>230000000</v>
      </c>
      <c r="H41" s="13">
        <f t="shared" si="0"/>
        <v>0</v>
      </c>
      <c r="I41" s="125">
        <v>6.5</v>
      </c>
      <c r="J41" s="147" t="s">
        <v>221</v>
      </c>
    </row>
    <row r="42" spans="1:10" ht="14.25" customHeight="1">
      <c r="A42" s="130"/>
      <c r="B42" s="146" t="s">
        <v>218</v>
      </c>
      <c r="C42" s="129" t="s">
        <v>180</v>
      </c>
      <c r="D42" s="123" t="s">
        <v>393</v>
      </c>
      <c r="E42" s="13">
        <v>60000000</v>
      </c>
      <c r="F42" s="13">
        <v>0</v>
      </c>
      <c r="G42" s="13">
        <v>60000000</v>
      </c>
      <c r="H42" s="13">
        <f t="shared" si="0"/>
        <v>0</v>
      </c>
      <c r="I42" s="125">
        <v>7.1</v>
      </c>
      <c r="J42" s="147" t="s">
        <v>196</v>
      </c>
    </row>
    <row r="43" spans="1:10" ht="17.25" customHeight="1">
      <c r="A43" s="136" t="s">
        <v>376</v>
      </c>
      <c r="B43" s="137" t="s">
        <v>173</v>
      </c>
      <c r="C43" s="138" t="s">
        <v>173</v>
      </c>
      <c r="D43" s="139" t="s">
        <v>173</v>
      </c>
      <c r="E43" s="18">
        <f>SUM(E25:E42)</f>
        <v>5340000000</v>
      </c>
      <c r="F43" s="18">
        <f>SUM(F25:F42)</f>
        <v>0</v>
      </c>
      <c r="G43" s="18">
        <f>SUM(G25:G42)</f>
        <v>5340000000</v>
      </c>
      <c r="H43" s="18">
        <f>SUM(H25:H42)</f>
        <v>0</v>
      </c>
      <c r="I43" s="140"/>
      <c r="J43" s="141" t="s">
        <v>173</v>
      </c>
    </row>
    <row r="44" spans="1:10" ht="14.25" customHeight="1">
      <c r="A44" s="122" t="s">
        <v>222</v>
      </c>
      <c r="B44" s="128" t="s">
        <v>394</v>
      </c>
      <c r="C44" s="129" t="s">
        <v>189</v>
      </c>
      <c r="D44" s="123" t="s">
        <v>395</v>
      </c>
      <c r="E44" s="13">
        <v>40000000</v>
      </c>
      <c r="F44" s="13">
        <v>0</v>
      </c>
      <c r="G44" s="13">
        <v>40000000</v>
      </c>
      <c r="H44" s="13">
        <f t="shared" si="0"/>
        <v>0</v>
      </c>
      <c r="I44" s="125">
        <v>7.3</v>
      </c>
      <c r="J44" s="147" t="s">
        <v>214</v>
      </c>
    </row>
    <row r="45" spans="1:10" ht="14.25" customHeight="1">
      <c r="A45" s="127" t="s">
        <v>182</v>
      </c>
      <c r="B45" s="128" t="s">
        <v>218</v>
      </c>
      <c r="C45" s="129" t="s">
        <v>185</v>
      </c>
      <c r="D45" s="123" t="s">
        <v>396</v>
      </c>
      <c r="E45" s="13">
        <v>25000000</v>
      </c>
      <c r="F45" s="13">
        <v>0</v>
      </c>
      <c r="G45" s="13">
        <v>25000000</v>
      </c>
      <c r="H45" s="13">
        <f t="shared" si="0"/>
        <v>0</v>
      </c>
      <c r="I45" s="125">
        <v>6.5</v>
      </c>
      <c r="J45" s="147" t="s">
        <v>219</v>
      </c>
    </row>
    <row r="46" spans="1:10" ht="14.25" customHeight="1">
      <c r="A46" s="127"/>
      <c r="B46" s="128" t="s">
        <v>220</v>
      </c>
      <c r="C46" s="129" t="s">
        <v>189</v>
      </c>
      <c r="D46" s="123" t="s">
        <v>391</v>
      </c>
      <c r="E46" s="13">
        <v>300000000</v>
      </c>
      <c r="F46" s="13">
        <v>0</v>
      </c>
      <c r="G46" s="13">
        <v>300000000</v>
      </c>
      <c r="H46" s="13">
        <f t="shared" si="0"/>
        <v>0</v>
      </c>
      <c r="I46" s="125">
        <v>7</v>
      </c>
      <c r="J46" s="147" t="s">
        <v>217</v>
      </c>
    </row>
    <row r="47" spans="1:10" ht="14.25" customHeight="1">
      <c r="A47" s="127"/>
      <c r="B47" s="128" t="s">
        <v>220</v>
      </c>
      <c r="C47" s="129" t="s">
        <v>189</v>
      </c>
      <c r="D47" s="123" t="s">
        <v>397</v>
      </c>
      <c r="E47" s="13">
        <v>570000000</v>
      </c>
      <c r="F47" s="13">
        <v>0</v>
      </c>
      <c r="G47" s="13">
        <v>570000000</v>
      </c>
      <c r="H47" s="13">
        <f t="shared" si="0"/>
        <v>0</v>
      </c>
      <c r="I47" s="125">
        <v>7</v>
      </c>
      <c r="J47" s="147" t="s">
        <v>217</v>
      </c>
    </row>
    <row r="48" spans="1:10" ht="14.25" customHeight="1">
      <c r="A48" s="122"/>
      <c r="B48" s="128" t="s">
        <v>220</v>
      </c>
      <c r="C48" s="129" t="s">
        <v>180</v>
      </c>
      <c r="D48" s="123" t="s">
        <v>398</v>
      </c>
      <c r="E48" s="13">
        <v>300000000</v>
      </c>
      <c r="F48" s="13">
        <v>0</v>
      </c>
      <c r="G48" s="13">
        <v>300000000</v>
      </c>
      <c r="H48" s="13">
        <f t="shared" si="0"/>
        <v>0</v>
      </c>
      <c r="I48" s="125">
        <v>7.1</v>
      </c>
      <c r="J48" s="147" t="s">
        <v>203</v>
      </c>
    </row>
    <row r="49" spans="1:10" ht="14.25" customHeight="1">
      <c r="A49" s="122"/>
      <c r="B49" s="128" t="s">
        <v>218</v>
      </c>
      <c r="C49" s="129" t="s">
        <v>180</v>
      </c>
      <c r="D49" s="123" t="s">
        <v>393</v>
      </c>
      <c r="E49" s="13">
        <v>650000000</v>
      </c>
      <c r="F49" s="13">
        <v>0</v>
      </c>
      <c r="G49" s="13">
        <v>650000000</v>
      </c>
      <c r="H49" s="13">
        <f t="shared" si="0"/>
        <v>0</v>
      </c>
      <c r="I49" s="125">
        <v>7.1</v>
      </c>
      <c r="J49" s="147" t="s">
        <v>196</v>
      </c>
    </row>
    <row r="50" spans="1:10" ht="14.25" customHeight="1">
      <c r="A50" s="122"/>
      <c r="B50" s="123" t="s">
        <v>399</v>
      </c>
      <c r="C50" s="129" t="s">
        <v>185</v>
      </c>
      <c r="D50" s="123" t="s">
        <v>400</v>
      </c>
      <c r="E50" s="13">
        <v>1330000000</v>
      </c>
      <c r="F50" s="13">
        <v>0</v>
      </c>
      <c r="G50" s="13">
        <v>1330000000</v>
      </c>
      <c r="H50" s="13">
        <f t="shared" si="0"/>
        <v>0</v>
      </c>
      <c r="I50" s="125">
        <v>6.5</v>
      </c>
      <c r="J50" s="147" t="s">
        <v>221</v>
      </c>
    </row>
    <row r="51" spans="1:10" ht="14.25" customHeight="1">
      <c r="A51" s="122"/>
      <c r="B51" s="128">
        <v>42</v>
      </c>
      <c r="C51" s="129" t="s">
        <v>189</v>
      </c>
      <c r="D51" s="123" t="s">
        <v>401</v>
      </c>
      <c r="E51" s="13">
        <v>480000000</v>
      </c>
      <c r="F51" s="13">
        <v>0</v>
      </c>
      <c r="G51" s="13">
        <v>480000000</v>
      </c>
      <c r="H51" s="13">
        <f t="shared" si="0"/>
        <v>0</v>
      </c>
      <c r="I51" s="125">
        <v>7</v>
      </c>
      <c r="J51" s="147" t="s">
        <v>223</v>
      </c>
    </row>
    <row r="52" spans="1:10" ht="14.25" customHeight="1">
      <c r="A52" s="127"/>
      <c r="B52" s="128" t="s">
        <v>224</v>
      </c>
      <c r="C52" s="129" t="s">
        <v>185</v>
      </c>
      <c r="D52" s="123" t="s">
        <v>402</v>
      </c>
      <c r="E52" s="13">
        <v>990000000</v>
      </c>
      <c r="F52" s="13">
        <v>0</v>
      </c>
      <c r="G52" s="13">
        <v>990000000</v>
      </c>
      <c r="H52" s="13">
        <f t="shared" si="0"/>
        <v>0</v>
      </c>
      <c r="I52" s="125">
        <v>6.5</v>
      </c>
      <c r="J52" s="147" t="s">
        <v>225</v>
      </c>
    </row>
    <row r="53" spans="1:10" ht="14.25" customHeight="1">
      <c r="A53" s="148"/>
      <c r="B53" s="128">
        <v>42</v>
      </c>
      <c r="C53" s="129" t="s">
        <v>180</v>
      </c>
      <c r="D53" s="123" t="s">
        <v>711</v>
      </c>
      <c r="E53" s="13">
        <v>230000000</v>
      </c>
      <c r="F53" s="13">
        <v>0</v>
      </c>
      <c r="G53" s="13">
        <v>230000000</v>
      </c>
      <c r="H53" s="13">
        <f t="shared" si="0"/>
        <v>0</v>
      </c>
      <c r="I53" s="125">
        <v>7.1</v>
      </c>
      <c r="J53" s="149" t="s">
        <v>203</v>
      </c>
    </row>
    <row r="54" spans="1:10" ht="14.25" customHeight="1">
      <c r="A54" s="148"/>
      <c r="B54" s="128" t="s">
        <v>226</v>
      </c>
      <c r="C54" s="129" t="s">
        <v>189</v>
      </c>
      <c r="D54" s="123" t="s">
        <v>322</v>
      </c>
      <c r="E54" s="13">
        <v>300000000</v>
      </c>
      <c r="F54" s="13">
        <v>0</v>
      </c>
      <c r="G54" s="13">
        <v>300000000</v>
      </c>
      <c r="H54" s="13">
        <f t="shared" si="0"/>
        <v>0</v>
      </c>
      <c r="I54" s="125">
        <v>7</v>
      </c>
      <c r="J54" s="149" t="s">
        <v>227</v>
      </c>
    </row>
    <row r="55" spans="1:10" ht="14.25" customHeight="1" thickBot="1">
      <c r="A55" s="150"/>
      <c r="B55" s="151">
        <v>43</v>
      </c>
      <c r="C55" s="152" t="s">
        <v>189</v>
      </c>
      <c r="D55" s="153" t="s">
        <v>323</v>
      </c>
      <c r="E55" s="22">
        <v>500000000</v>
      </c>
      <c r="F55" s="22">
        <v>0</v>
      </c>
      <c r="G55" s="22">
        <v>500000000</v>
      </c>
      <c r="H55" s="22">
        <f t="shared" si="0"/>
        <v>0</v>
      </c>
      <c r="I55" s="154">
        <v>7</v>
      </c>
      <c r="J55" s="155" t="s">
        <v>227</v>
      </c>
    </row>
    <row r="56" spans="1:10" ht="9.75" customHeight="1" thickBot="1">
      <c r="A56" s="111"/>
      <c r="B56" s="146"/>
      <c r="C56" s="111"/>
      <c r="D56" s="142"/>
      <c r="E56" s="23"/>
      <c r="F56" s="23"/>
      <c r="G56" s="23"/>
      <c r="H56" s="23"/>
      <c r="I56" s="113"/>
      <c r="J56" s="110"/>
    </row>
    <row r="57" spans="1:10">
      <c r="A57" s="500" t="s">
        <v>403</v>
      </c>
      <c r="B57" s="502" t="s">
        <v>311</v>
      </c>
      <c r="C57" s="504" t="s">
        <v>891</v>
      </c>
      <c r="D57" s="502" t="s">
        <v>312</v>
      </c>
      <c r="E57" s="506" t="s">
        <v>892</v>
      </c>
      <c r="F57" s="508" t="s">
        <v>893</v>
      </c>
      <c r="G57" s="509"/>
      <c r="H57" s="494" t="s">
        <v>174</v>
      </c>
      <c r="I57" s="496" t="s">
        <v>894</v>
      </c>
      <c r="J57" s="498" t="s">
        <v>313</v>
      </c>
    </row>
    <row r="58" spans="1:10">
      <c r="A58" s="501"/>
      <c r="B58" s="503"/>
      <c r="C58" s="505"/>
      <c r="D58" s="503"/>
      <c r="E58" s="507"/>
      <c r="F58" s="115" t="s">
        <v>176</v>
      </c>
      <c r="G58" s="156" t="s">
        <v>305</v>
      </c>
      <c r="H58" s="495"/>
      <c r="I58" s="497"/>
      <c r="J58" s="499"/>
    </row>
    <row r="59" spans="1:10">
      <c r="A59" s="117"/>
      <c r="B59" s="118"/>
      <c r="C59" s="118"/>
      <c r="D59" s="119" t="s">
        <v>177</v>
      </c>
      <c r="E59" s="44" t="s">
        <v>178</v>
      </c>
      <c r="F59" s="44" t="s">
        <v>172</v>
      </c>
      <c r="G59" s="157" t="s">
        <v>178</v>
      </c>
      <c r="H59" s="44" t="s">
        <v>178</v>
      </c>
      <c r="I59" s="120" t="s">
        <v>895</v>
      </c>
      <c r="J59" s="121" t="s">
        <v>175</v>
      </c>
    </row>
    <row r="60" spans="1:10" ht="14.25" customHeight="1">
      <c r="A60" s="122" t="s">
        <v>222</v>
      </c>
      <c r="B60" s="128" t="s">
        <v>330</v>
      </c>
      <c r="C60" s="129" t="s">
        <v>189</v>
      </c>
      <c r="D60" s="123" t="s">
        <v>690</v>
      </c>
      <c r="E60" s="13">
        <v>310000000</v>
      </c>
      <c r="F60" s="13">
        <v>0</v>
      </c>
      <c r="G60" s="158">
        <v>310000000</v>
      </c>
      <c r="H60" s="13">
        <f t="shared" ref="H60:H111" si="1">E60-G60</f>
        <v>0</v>
      </c>
      <c r="I60" s="125">
        <v>7</v>
      </c>
      <c r="J60" s="147" t="s">
        <v>227</v>
      </c>
    </row>
    <row r="61" spans="1:10" ht="14.25" customHeight="1">
      <c r="A61" s="127" t="s">
        <v>182</v>
      </c>
      <c r="B61" s="128" t="s">
        <v>226</v>
      </c>
      <c r="C61" s="129" t="s">
        <v>180</v>
      </c>
      <c r="D61" s="123" t="s">
        <v>896</v>
      </c>
      <c r="E61" s="13">
        <v>260000000</v>
      </c>
      <c r="F61" s="13">
        <v>0</v>
      </c>
      <c r="G61" s="158">
        <v>260000000</v>
      </c>
      <c r="H61" s="13">
        <f t="shared" si="1"/>
        <v>0</v>
      </c>
      <c r="I61" s="125">
        <v>7.1</v>
      </c>
      <c r="J61" s="147" t="s">
        <v>209</v>
      </c>
    </row>
    <row r="62" spans="1:10" ht="14.25" customHeight="1">
      <c r="A62" s="127"/>
      <c r="B62" s="128" t="s">
        <v>226</v>
      </c>
      <c r="C62" s="129" t="s">
        <v>185</v>
      </c>
      <c r="D62" s="123" t="s">
        <v>897</v>
      </c>
      <c r="E62" s="13">
        <v>2130000000</v>
      </c>
      <c r="F62" s="13">
        <v>0</v>
      </c>
      <c r="G62" s="158">
        <v>2130000000</v>
      </c>
      <c r="H62" s="13">
        <f t="shared" si="1"/>
        <v>0</v>
      </c>
      <c r="I62" s="125">
        <v>6.5</v>
      </c>
      <c r="J62" s="147" t="s">
        <v>228</v>
      </c>
    </row>
    <row r="63" spans="1:10" ht="14.25" customHeight="1">
      <c r="A63" s="127"/>
      <c r="B63" s="128" t="s">
        <v>229</v>
      </c>
      <c r="C63" s="129" t="s">
        <v>189</v>
      </c>
      <c r="D63" s="123" t="s">
        <v>898</v>
      </c>
      <c r="E63" s="13">
        <v>300000000</v>
      </c>
      <c r="F63" s="13">
        <v>0</v>
      </c>
      <c r="G63" s="158">
        <v>300000000</v>
      </c>
      <c r="H63" s="13">
        <f t="shared" si="1"/>
        <v>0</v>
      </c>
      <c r="I63" s="125">
        <v>7</v>
      </c>
      <c r="J63" s="147" t="s">
        <v>230</v>
      </c>
    </row>
    <row r="64" spans="1:10" ht="14.25" customHeight="1">
      <c r="A64" s="127"/>
      <c r="B64" s="128" t="s">
        <v>229</v>
      </c>
      <c r="C64" s="129" t="s">
        <v>189</v>
      </c>
      <c r="D64" s="123" t="s">
        <v>899</v>
      </c>
      <c r="E64" s="13">
        <v>520000000</v>
      </c>
      <c r="F64" s="13">
        <v>0</v>
      </c>
      <c r="G64" s="158">
        <v>520000000</v>
      </c>
      <c r="H64" s="13">
        <f t="shared" si="1"/>
        <v>0</v>
      </c>
      <c r="I64" s="125">
        <v>7</v>
      </c>
      <c r="J64" s="147" t="s">
        <v>230</v>
      </c>
    </row>
    <row r="65" spans="1:10" ht="14.25" customHeight="1">
      <c r="A65" s="127"/>
      <c r="B65" s="128" t="s">
        <v>229</v>
      </c>
      <c r="C65" s="129" t="s">
        <v>189</v>
      </c>
      <c r="D65" s="123" t="s">
        <v>900</v>
      </c>
      <c r="E65" s="13">
        <v>130000000</v>
      </c>
      <c r="F65" s="13">
        <v>0</v>
      </c>
      <c r="G65" s="158">
        <v>130000000</v>
      </c>
      <c r="H65" s="13">
        <f t="shared" si="1"/>
        <v>0</v>
      </c>
      <c r="I65" s="125">
        <v>7</v>
      </c>
      <c r="J65" s="147" t="s">
        <v>230</v>
      </c>
    </row>
    <row r="66" spans="1:10" ht="14.25" customHeight="1">
      <c r="A66" s="127"/>
      <c r="B66" s="128" t="s">
        <v>229</v>
      </c>
      <c r="C66" s="129" t="s">
        <v>180</v>
      </c>
      <c r="D66" s="123" t="s">
        <v>901</v>
      </c>
      <c r="E66" s="13">
        <v>150000000</v>
      </c>
      <c r="F66" s="13">
        <v>0</v>
      </c>
      <c r="G66" s="158">
        <v>150000000</v>
      </c>
      <c r="H66" s="13">
        <f t="shared" si="1"/>
        <v>0</v>
      </c>
      <c r="I66" s="125">
        <v>7.1</v>
      </c>
      <c r="J66" s="147" t="s">
        <v>231</v>
      </c>
    </row>
    <row r="67" spans="1:10" ht="14.25" customHeight="1">
      <c r="A67" s="127"/>
      <c r="B67" s="128" t="s">
        <v>229</v>
      </c>
      <c r="C67" s="129" t="s">
        <v>185</v>
      </c>
      <c r="D67" s="123" t="s">
        <v>902</v>
      </c>
      <c r="E67" s="13">
        <v>1700000000</v>
      </c>
      <c r="F67" s="13">
        <v>0</v>
      </c>
      <c r="G67" s="158">
        <v>1700000000</v>
      </c>
      <c r="H67" s="13">
        <f t="shared" si="1"/>
        <v>0</v>
      </c>
      <c r="I67" s="125">
        <v>6.5</v>
      </c>
      <c r="J67" s="147" t="s">
        <v>232</v>
      </c>
    </row>
    <row r="68" spans="1:10" ht="14.25" customHeight="1">
      <c r="A68" s="127"/>
      <c r="B68" s="128" t="s">
        <v>233</v>
      </c>
      <c r="C68" s="129" t="s">
        <v>189</v>
      </c>
      <c r="D68" s="123" t="s">
        <v>903</v>
      </c>
      <c r="E68" s="13">
        <v>200000000</v>
      </c>
      <c r="F68" s="13">
        <v>0</v>
      </c>
      <c r="G68" s="158">
        <v>200000000</v>
      </c>
      <c r="H68" s="13">
        <f t="shared" si="1"/>
        <v>0</v>
      </c>
      <c r="I68" s="125">
        <v>6.7</v>
      </c>
      <c r="J68" s="147" t="s">
        <v>234</v>
      </c>
    </row>
    <row r="69" spans="1:10" ht="14.25" customHeight="1">
      <c r="A69" s="127"/>
      <c r="B69" s="128" t="s">
        <v>233</v>
      </c>
      <c r="C69" s="129" t="s">
        <v>189</v>
      </c>
      <c r="D69" s="123" t="s">
        <v>903</v>
      </c>
      <c r="E69" s="13">
        <v>600000000</v>
      </c>
      <c r="F69" s="13">
        <v>0</v>
      </c>
      <c r="G69" s="158">
        <v>600000000</v>
      </c>
      <c r="H69" s="13">
        <f t="shared" si="1"/>
        <v>0</v>
      </c>
      <c r="I69" s="125">
        <v>6.7</v>
      </c>
      <c r="J69" s="147" t="s">
        <v>234</v>
      </c>
    </row>
    <row r="70" spans="1:10" ht="14.25" customHeight="1">
      <c r="A70" s="127"/>
      <c r="B70" s="128" t="s">
        <v>233</v>
      </c>
      <c r="C70" s="129" t="s">
        <v>185</v>
      </c>
      <c r="D70" s="123" t="s">
        <v>904</v>
      </c>
      <c r="E70" s="13">
        <v>1560000000</v>
      </c>
      <c r="F70" s="13">
        <v>0</v>
      </c>
      <c r="G70" s="158">
        <v>1560000000</v>
      </c>
      <c r="H70" s="13">
        <f t="shared" si="1"/>
        <v>0</v>
      </c>
      <c r="I70" s="125">
        <v>6.5</v>
      </c>
      <c r="J70" s="147" t="s">
        <v>235</v>
      </c>
    </row>
    <row r="71" spans="1:10" ht="14.25" customHeight="1">
      <c r="A71" s="127"/>
      <c r="B71" s="128" t="s">
        <v>233</v>
      </c>
      <c r="C71" s="129" t="s">
        <v>180</v>
      </c>
      <c r="D71" s="123" t="s">
        <v>905</v>
      </c>
      <c r="E71" s="13">
        <v>240000000</v>
      </c>
      <c r="F71" s="13">
        <v>0</v>
      </c>
      <c r="G71" s="158">
        <v>240000000</v>
      </c>
      <c r="H71" s="13">
        <f t="shared" si="1"/>
        <v>0</v>
      </c>
      <c r="I71" s="125">
        <v>7.1</v>
      </c>
      <c r="J71" s="147" t="s">
        <v>209</v>
      </c>
    </row>
    <row r="72" spans="1:10" ht="14.25" customHeight="1">
      <c r="A72" s="127"/>
      <c r="B72" s="128" t="s">
        <v>236</v>
      </c>
      <c r="C72" s="129" t="s">
        <v>189</v>
      </c>
      <c r="D72" s="123" t="s">
        <v>906</v>
      </c>
      <c r="E72" s="13">
        <v>108000000</v>
      </c>
      <c r="F72" s="13">
        <v>0</v>
      </c>
      <c r="G72" s="158">
        <v>108000000</v>
      </c>
      <c r="H72" s="13">
        <f t="shared" si="1"/>
        <v>0</v>
      </c>
      <c r="I72" s="125">
        <v>6.7</v>
      </c>
      <c r="J72" s="147" t="s">
        <v>237</v>
      </c>
    </row>
    <row r="73" spans="1:10" ht="14.25" customHeight="1">
      <c r="A73" s="127"/>
      <c r="B73" s="128" t="s">
        <v>236</v>
      </c>
      <c r="C73" s="129" t="s">
        <v>189</v>
      </c>
      <c r="D73" s="123" t="s">
        <v>907</v>
      </c>
      <c r="E73" s="13">
        <v>90000000</v>
      </c>
      <c r="F73" s="13">
        <v>0</v>
      </c>
      <c r="G73" s="158">
        <v>90000000</v>
      </c>
      <c r="H73" s="13">
        <f t="shared" si="1"/>
        <v>0</v>
      </c>
      <c r="I73" s="125">
        <v>6.7</v>
      </c>
      <c r="J73" s="147" t="s">
        <v>237</v>
      </c>
    </row>
    <row r="74" spans="1:10" ht="14.25" customHeight="1">
      <c r="A74" s="127"/>
      <c r="B74" s="128" t="s">
        <v>236</v>
      </c>
      <c r="C74" s="129" t="s">
        <v>180</v>
      </c>
      <c r="D74" s="123" t="s">
        <v>907</v>
      </c>
      <c r="E74" s="13">
        <v>50000000</v>
      </c>
      <c r="F74" s="13">
        <v>0</v>
      </c>
      <c r="G74" s="158">
        <v>50000000</v>
      </c>
      <c r="H74" s="13">
        <f t="shared" si="1"/>
        <v>0</v>
      </c>
      <c r="I74" s="125">
        <v>7.1</v>
      </c>
      <c r="J74" s="147" t="s">
        <v>238</v>
      </c>
    </row>
    <row r="75" spans="1:10" ht="14.25" customHeight="1">
      <c r="A75" s="127"/>
      <c r="B75" s="128" t="s">
        <v>236</v>
      </c>
      <c r="C75" s="129" t="s">
        <v>180</v>
      </c>
      <c r="D75" s="123" t="s">
        <v>908</v>
      </c>
      <c r="E75" s="13">
        <v>100000000</v>
      </c>
      <c r="F75" s="13">
        <v>0</v>
      </c>
      <c r="G75" s="158">
        <v>100000000</v>
      </c>
      <c r="H75" s="13">
        <f t="shared" si="1"/>
        <v>0</v>
      </c>
      <c r="I75" s="125">
        <v>6.9</v>
      </c>
      <c r="J75" s="147" t="s">
        <v>238</v>
      </c>
    </row>
    <row r="76" spans="1:10" ht="14.25" customHeight="1">
      <c r="A76" s="127"/>
      <c r="B76" s="128" t="s">
        <v>236</v>
      </c>
      <c r="C76" s="129" t="s">
        <v>185</v>
      </c>
      <c r="D76" s="123" t="s">
        <v>909</v>
      </c>
      <c r="E76" s="13">
        <v>232000000</v>
      </c>
      <c r="F76" s="13">
        <v>0</v>
      </c>
      <c r="G76" s="158">
        <v>232000000</v>
      </c>
      <c r="H76" s="13">
        <f t="shared" si="1"/>
        <v>0</v>
      </c>
      <c r="I76" s="125">
        <v>6.5</v>
      </c>
      <c r="J76" s="147" t="s">
        <v>239</v>
      </c>
    </row>
    <row r="77" spans="1:10" ht="14.25" customHeight="1">
      <c r="A77" s="130"/>
      <c r="B77" s="131" t="s">
        <v>236</v>
      </c>
      <c r="C77" s="159" t="s">
        <v>180</v>
      </c>
      <c r="D77" s="133" t="s">
        <v>909</v>
      </c>
      <c r="E77" s="134">
        <v>100000000</v>
      </c>
      <c r="F77" s="13">
        <v>0</v>
      </c>
      <c r="G77" s="158">
        <v>100000000</v>
      </c>
      <c r="H77" s="13">
        <f t="shared" si="1"/>
        <v>0</v>
      </c>
      <c r="I77" s="116">
        <v>6.8</v>
      </c>
      <c r="J77" s="160" t="s">
        <v>212</v>
      </c>
    </row>
    <row r="78" spans="1:10" ht="17.25" customHeight="1">
      <c r="A78" s="136" t="s">
        <v>910</v>
      </c>
      <c r="B78" s="137" t="s">
        <v>173</v>
      </c>
      <c r="C78" s="138" t="s">
        <v>173</v>
      </c>
      <c r="D78" s="139" t="s">
        <v>173</v>
      </c>
      <c r="E78" s="18">
        <f>SUM(E44:E55,E60:E77)</f>
        <v>14495000000</v>
      </c>
      <c r="F78" s="18">
        <f>SUM(F44:F55,F60:F77)</f>
        <v>0</v>
      </c>
      <c r="G78" s="18">
        <f>SUM(G44:G55,G60:G77)</f>
        <v>14495000000</v>
      </c>
      <c r="H78" s="18">
        <f>SUM(H44:H55,H60:H77)</f>
        <v>0</v>
      </c>
      <c r="I78" s="140"/>
      <c r="J78" s="141" t="s">
        <v>173</v>
      </c>
    </row>
    <row r="79" spans="1:10" ht="14.25" customHeight="1">
      <c r="A79" s="117" t="s">
        <v>240</v>
      </c>
      <c r="B79" s="119" t="s">
        <v>911</v>
      </c>
      <c r="C79" s="143" t="s">
        <v>189</v>
      </c>
      <c r="D79" s="119" t="s">
        <v>912</v>
      </c>
      <c r="E79" s="144">
        <v>150000000</v>
      </c>
      <c r="F79" s="13">
        <v>0</v>
      </c>
      <c r="G79" s="158">
        <v>150000000</v>
      </c>
      <c r="H79" s="13">
        <f t="shared" si="1"/>
        <v>0</v>
      </c>
      <c r="I79" s="120">
        <v>6.7</v>
      </c>
      <c r="J79" s="121" t="s">
        <v>237</v>
      </c>
    </row>
    <row r="80" spans="1:10" ht="14.25" customHeight="1">
      <c r="A80" s="127" t="s">
        <v>182</v>
      </c>
      <c r="B80" s="128" t="s">
        <v>236</v>
      </c>
      <c r="C80" s="129" t="s">
        <v>189</v>
      </c>
      <c r="D80" s="123" t="s">
        <v>907</v>
      </c>
      <c r="E80" s="13">
        <v>482714000</v>
      </c>
      <c r="F80" s="13">
        <v>0</v>
      </c>
      <c r="G80" s="158">
        <v>482714000</v>
      </c>
      <c r="H80" s="13">
        <f t="shared" si="1"/>
        <v>0</v>
      </c>
      <c r="I80" s="125">
        <v>6.7</v>
      </c>
      <c r="J80" s="147" t="s">
        <v>237</v>
      </c>
    </row>
    <row r="81" spans="1:10" ht="14.25" customHeight="1">
      <c r="A81" s="127"/>
      <c r="B81" s="128" t="s">
        <v>236</v>
      </c>
      <c r="C81" s="124" t="s">
        <v>180</v>
      </c>
      <c r="D81" s="123" t="s">
        <v>908</v>
      </c>
      <c r="E81" s="13">
        <v>200000000</v>
      </c>
      <c r="F81" s="13">
        <v>0</v>
      </c>
      <c r="G81" s="158">
        <v>200000000</v>
      </c>
      <c r="H81" s="13">
        <f t="shared" si="1"/>
        <v>0</v>
      </c>
      <c r="I81" s="125">
        <v>6.9</v>
      </c>
      <c r="J81" s="147" t="s">
        <v>238</v>
      </c>
    </row>
    <row r="82" spans="1:10" ht="14.25" customHeight="1">
      <c r="A82" s="127"/>
      <c r="B82" s="128" t="s">
        <v>236</v>
      </c>
      <c r="C82" s="129" t="s">
        <v>189</v>
      </c>
      <c r="D82" s="123" t="s">
        <v>913</v>
      </c>
      <c r="E82" s="13">
        <v>125000000</v>
      </c>
      <c r="F82" s="13">
        <v>0</v>
      </c>
      <c r="G82" s="158">
        <v>125000000</v>
      </c>
      <c r="H82" s="13">
        <f t="shared" si="1"/>
        <v>0</v>
      </c>
      <c r="I82" s="125">
        <v>6.7</v>
      </c>
      <c r="J82" s="147" t="s">
        <v>237</v>
      </c>
    </row>
    <row r="83" spans="1:10" ht="14.25" customHeight="1">
      <c r="A83" s="127"/>
      <c r="B83" s="128" t="s">
        <v>236</v>
      </c>
      <c r="C83" s="124" t="s">
        <v>180</v>
      </c>
      <c r="D83" s="123" t="s">
        <v>914</v>
      </c>
      <c r="E83" s="13">
        <v>500000000</v>
      </c>
      <c r="F83" s="13">
        <v>0</v>
      </c>
      <c r="G83" s="158">
        <v>500000000</v>
      </c>
      <c r="H83" s="13">
        <f t="shared" si="1"/>
        <v>0</v>
      </c>
      <c r="I83" s="125">
        <v>6.8</v>
      </c>
      <c r="J83" s="147" t="s">
        <v>238</v>
      </c>
    </row>
    <row r="84" spans="1:10" ht="14.25" customHeight="1">
      <c r="A84" s="127"/>
      <c r="B84" s="128" t="s">
        <v>236</v>
      </c>
      <c r="C84" s="124" t="s">
        <v>180</v>
      </c>
      <c r="D84" s="123" t="s">
        <v>909</v>
      </c>
      <c r="E84" s="13">
        <v>200000000</v>
      </c>
      <c r="F84" s="13">
        <v>0</v>
      </c>
      <c r="G84" s="158">
        <v>200000000</v>
      </c>
      <c r="H84" s="13">
        <f t="shared" si="1"/>
        <v>0</v>
      </c>
      <c r="I84" s="125">
        <v>6.8</v>
      </c>
      <c r="J84" s="147" t="s">
        <v>212</v>
      </c>
    </row>
    <row r="85" spans="1:10" ht="14.25" customHeight="1">
      <c r="A85" s="127"/>
      <c r="B85" s="128" t="s">
        <v>236</v>
      </c>
      <c r="C85" s="129" t="s">
        <v>185</v>
      </c>
      <c r="D85" s="123" t="s">
        <v>915</v>
      </c>
      <c r="E85" s="13">
        <v>2114870889</v>
      </c>
      <c r="F85" s="13">
        <v>0</v>
      </c>
      <c r="G85" s="158">
        <v>2114870889</v>
      </c>
      <c r="H85" s="13">
        <f t="shared" si="1"/>
        <v>0</v>
      </c>
      <c r="I85" s="125">
        <v>6.5</v>
      </c>
      <c r="J85" s="147" t="s">
        <v>239</v>
      </c>
    </row>
    <row r="86" spans="1:10" ht="14.25" customHeight="1">
      <c r="A86" s="127"/>
      <c r="B86" s="128" t="s">
        <v>236</v>
      </c>
      <c r="C86" s="124" t="s">
        <v>180</v>
      </c>
      <c r="D86" s="123" t="s">
        <v>915</v>
      </c>
      <c r="E86" s="13">
        <v>300000000</v>
      </c>
      <c r="F86" s="13">
        <v>0</v>
      </c>
      <c r="G86" s="158">
        <v>300000000</v>
      </c>
      <c r="H86" s="13">
        <f t="shared" si="1"/>
        <v>0</v>
      </c>
      <c r="I86" s="125">
        <v>6.8</v>
      </c>
      <c r="J86" s="147" t="s">
        <v>212</v>
      </c>
    </row>
    <row r="87" spans="1:10" ht="14.25" customHeight="1">
      <c r="A87" s="127"/>
      <c r="B87" s="128" t="s">
        <v>241</v>
      </c>
      <c r="C87" s="129" t="s">
        <v>189</v>
      </c>
      <c r="D87" s="123" t="s">
        <v>916</v>
      </c>
      <c r="E87" s="13">
        <v>700000000</v>
      </c>
      <c r="F87" s="13">
        <v>0</v>
      </c>
      <c r="G87" s="158">
        <v>700000000</v>
      </c>
      <c r="H87" s="13">
        <f t="shared" si="1"/>
        <v>0</v>
      </c>
      <c r="I87" s="125">
        <v>6.4</v>
      </c>
      <c r="J87" s="147" t="s">
        <v>219</v>
      </c>
    </row>
    <row r="88" spans="1:10" ht="14.25" customHeight="1">
      <c r="A88" s="122"/>
      <c r="B88" s="123">
        <v>47</v>
      </c>
      <c r="C88" s="129" t="s">
        <v>189</v>
      </c>
      <c r="D88" s="123" t="s">
        <v>917</v>
      </c>
      <c r="E88" s="13">
        <v>1361276000</v>
      </c>
      <c r="F88" s="13">
        <v>0</v>
      </c>
      <c r="G88" s="158">
        <v>1361276000</v>
      </c>
      <c r="H88" s="13">
        <f t="shared" si="1"/>
        <v>0</v>
      </c>
      <c r="I88" s="125">
        <v>6.4</v>
      </c>
      <c r="J88" s="147" t="s">
        <v>219</v>
      </c>
    </row>
    <row r="89" spans="1:10" ht="14.25" customHeight="1">
      <c r="A89" s="127"/>
      <c r="B89" s="128" t="s">
        <v>241</v>
      </c>
      <c r="C89" s="124" t="s">
        <v>180</v>
      </c>
      <c r="D89" s="123" t="s">
        <v>918</v>
      </c>
      <c r="E89" s="13">
        <v>130000000</v>
      </c>
      <c r="F89" s="13">
        <v>0</v>
      </c>
      <c r="G89" s="158">
        <v>130000000</v>
      </c>
      <c r="H89" s="13">
        <f t="shared" si="1"/>
        <v>0</v>
      </c>
      <c r="I89" s="125">
        <v>6.8</v>
      </c>
      <c r="J89" s="147" t="s">
        <v>212</v>
      </c>
    </row>
    <row r="90" spans="1:10" ht="14.25" customHeight="1">
      <c r="A90" s="127"/>
      <c r="B90" s="128" t="s">
        <v>241</v>
      </c>
      <c r="C90" s="124" t="s">
        <v>180</v>
      </c>
      <c r="D90" s="123" t="s">
        <v>919</v>
      </c>
      <c r="E90" s="13">
        <v>1280000000</v>
      </c>
      <c r="F90" s="13">
        <v>0</v>
      </c>
      <c r="G90" s="158">
        <v>1280000000</v>
      </c>
      <c r="H90" s="13">
        <f t="shared" si="1"/>
        <v>0</v>
      </c>
      <c r="I90" s="125">
        <v>7</v>
      </c>
      <c r="J90" s="147" t="s">
        <v>188</v>
      </c>
    </row>
    <row r="91" spans="1:10" ht="14.25" customHeight="1">
      <c r="A91" s="127"/>
      <c r="B91" s="128" t="s">
        <v>241</v>
      </c>
      <c r="C91" s="129" t="s">
        <v>185</v>
      </c>
      <c r="D91" s="123" t="s">
        <v>920</v>
      </c>
      <c r="E91" s="13">
        <v>3053639000</v>
      </c>
      <c r="F91" s="13">
        <v>0</v>
      </c>
      <c r="G91" s="158">
        <v>3053639000</v>
      </c>
      <c r="H91" s="13">
        <f t="shared" si="1"/>
        <v>0</v>
      </c>
      <c r="I91" s="125">
        <v>6.75</v>
      </c>
      <c r="J91" s="147" t="s">
        <v>242</v>
      </c>
    </row>
    <row r="92" spans="1:10" ht="14.25" customHeight="1">
      <c r="A92" s="127"/>
      <c r="B92" s="128" t="s">
        <v>243</v>
      </c>
      <c r="C92" s="129" t="s">
        <v>189</v>
      </c>
      <c r="D92" s="123" t="s">
        <v>921</v>
      </c>
      <c r="E92" s="13">
        <v>921935000</v>
      </c>
      <c r="F92" s="13">
        <v>0</v>
      </c>
      <c r="G92" s="158">
        <v>921935000</v>
      </c>
      <c r="H92" s="13">
        <f t="shared" si="1"/>
        <v>0</v>
      </c>
      <c r="I92" s="125">
        <v>7.7</v>
      </c>
      <c r="J92" s="147" t="s">
        <v>228</v>
      </c>
    </row>
    <row r="93" spans="1:10" ht="14.25" customHeight="1">
      <c r="A93" s="127"/>
      <c r="B93" s="128" t="s">
        <v>243</v>
      </c>
      <c r="C93" s="129" t="s">
        <v>189</v>
      </c>
      <c r="D93" s="123" t="s">
        <v>922</v>
      </c>
      <c r="E93" s="13">
        <v>565354000</v>
      </c>
      <c r="F93" s="13">
        <v>0</v>
      </c>
      <c r="G93" s="158">
        <v>565354000</v>
      </c>
      <c r="H93" s="13">
        <f t="shared" si="1"/>
        <v>0</v>
      </c>
      <c r="I93" s="125">
        <v>7.7</v>
      </c>
      <c r="J93" s="147" t="s">
        <v>228</v>
      </c>
    </row>
    <row r="94" spans="1:10" ht="14.25" customHeight="1">
      <c r="A94" s="127"/>
      <c r="B94" s="128" t="s">
        <v>243</v>
      </c>
      <c r="C94" s="129" t="s">
        <v>189</v>
      </c>
      <c r="D94" s="123" t="s">
        <v>923</v>
      </c>
      <c r="E94" s="13">
        <v>500000000</v>
      </c>
      <c r="F94" s="13">
        <v>0</v>
      </c>
      <c r="G94" s="158">
        <v>500000000</v>
      </c>
      <c r="H94" s="13">
        <f t="shared" si="1"/>
        <v>0</v>
      </c>
      <c r="I94" s="125">
        <v>7.7</v>
      </c>
      <c r="J94" s="147" t="s">
        <v>228</v>
      </c>
    </row>
    <row r="95" spans="1:10" ht="14.25" customHeight="1">
      <c r="A95" s="127"/>
      <c r="B95" s="128" t="s">
        <v>243</v>
      </c>
      <c r="C95" s="124" t="s">
        <v>180</v>
      </c>
      <c r="D95" s="123" t="s">
        <v>924</v>
      </c>
      <c r="E95" s="13">
        <v>1546000000</v>
      </c>
      <c r="F95" s="13">
        <v>0</v>
      </c>
      <c r="G95" s="158">
        <v>1546000000</v>
      </c>
      <c r="H95" s="13">
        <f t="shared" si="1"/>
        <v>0</v>
      </c>
      <c r="I95" s="125">
        <v>8.5</v>
      </c>
      <c r="J95" s="147" t="s">
        <v>194</v>
      </c>
    </row>
    <row r="96" spans="1:10" ht="14.25" customHeight="1">
      <c r="A96" s="127"/>
      <c r="B96" s="128" t="s">
        <v>243</v>
      </c>
      <c r="C96" s="129" t="s">
        <v>185</v>
      </c>
      <c r="D96" s="123" t="s">
        <v>925</v>
      </c>
      <c r="E96" s="13">
        <v>4283722000</v>
      </c>
      <c r="F96" s="13">
        <v>0</v>
      </c>
      <c r="G96" s="158">
        <v>4283722000</v>
      </c>
      <c r="H96" s="13">
        <f t="shared" si="1"/>
        <v>0</v>
      </c>
      <c r="I96" s="125">
        <v>8</v>
      </c>
      <c r="J96" s="147" t="s">
        <v>244</v>
      </c>
    </row>
    <row r="97" spans="1:10" ht="14.25" customHeight="1">
      <c r="A97" s="127"/>
      <c r="B97" s="128" t="s">
        <v>245</v>
      </c>
      <c r="C97" s="129" t="s">
        <v>189</v>
      </c>
      <c r="D97" s="123" t="s">
        <v>926</v>
      </c>
      <c r="E97" s="13">
        <v>1341938000</v>
      </c>
      <c r="F97" s="13">
        <v>0</v>
      </c>
      <c r="G97" s="158">
        <v>1341938000</v>
      </c>
      <c r="H97" s="13">
        <f t="shared" si="1"/>
        <v>0</v>
      </c>
      <c r="I97" s="125">
        <v>8.1999999999999993</v>
      </c>
      <c r="J97" s="147" t="s">
        <v>242</v>
      </c>
    </row>
    <row r="98" spans="1:10" ht="14.25" customHeight="1">
      <c r="A98" s="122"/>
      <c r="B98" s="128" t="s">
        <v>245</v>
      </c>
      <c r="C98" s="124" t="s">
        <v>180</v>
      </c>
      <c r="D98" s="123" t="s">
        <v>927</v>
      </c>
      <c r="E98" s="13">
        <v>1000000000</v>
      </c>
      <c r="F98" s="13">
        <v>0</v>
      </c>
      <c r="G98" s="158">
        <v>1000000000</v>
      </c>
      <c r="H98" s="13">
        <f t="shared" si="1"/>
        <v>0</v>
      </c>
      <c r="I98" s="125">
        <v>9.1</v>
      </c>
      <c r="J98" s="147" t="s">
        <v>198</v>
      </c>
    </row>
    <row r="99" spans="1:10" ht="14.25" customHeight="1">
      <c r="A99" s="127"/>
      <c r="B99" s="128" t="s">
        <v>245</v>
      </c>
      <c r="C99" s="129" t="s">
        <v>189</v>
      </c>
      <c r="D99" s="123" t="s">
        <v>928</v>
      </c>
      <c r="E99" s="13">
        <v>1030000000</v>
      </c>
      <c r="F99" s="13">
        <v>0</v>
      </c>
      <c r="G99" s="158">
        <v>1030000000</v>
      </c>
      <c r="H99" s="13">
        <f t="shared" si="1"/>
        <v>0</v>
      </c>
      <c r="I99" s="125">
        <v>8.1999999999999993</v>
      </c>
      <c r="J99" s="147" t="s">
        <v>242</v>
      </c>
    </row>
    <row r="100" spans="1:10" ht="14.25" customHeight="1">
      <c r="A100" s="122"/>
      <c r="B100" s="123" t="s">
        <v>929</v>
      </c>
      <c r="C100" s="124" t="s">
        <v>180</v>
      </c>
      <c r="D100" s="123" t="s">
        <v>930</v>
      </c>
      <c r="E100" s="13">
        <v>600000000</v>
      </c>
      <c r="F100" s="13">
        <v>0</v>
      </c>
      <c r="G100" s="158">
        <v>600000000</v>
      </c>
      <c r="H100" s="13">
        <f t="shared" si="1"/>
        <v>0</v>
      </c>
      <c r="I100" s="125">
        <v>9.1</v>
      </c>
      <c r="J100" s="147" t="s">
        <v>198</v>
      </c>
    </row>
    <row r="101" spans="1:10" ht="14.25" customHeight="1">
      <c r="A101" s="122"/>
      <c r="B101" s="128">
        <v>49</v>
      </c>
      <c r="C101" s="129" t="s">
        <v>189</v>
      </c>
      <c r="D101" s="123" t="s">
        <v>931</v>
      </c>
      <c r="E101" s="13">
        <v>416040000</v>
      </c>
      <c r="F101" s="13">
        <v>0</v>
      </c>
      <c r="G101" s="158">
        <v>416040000</v>
      </c>
      <c r="H101" s="13">
        <f t="shared" si="1"/>
        <v>0</v>
      </c>
      <c r="I101" s="125">
        <v>8.1999999999999993</v>
      </c>
      <c r="J101" s="147" t="s">
        <v>242</v>
      </c>
    </row>
    <row r="102" spans="1:10" ht="14.25" customHeight="1">
      <c r="A102" s="127"/>
      <c r="B102" s="128" t="s">
        <v>245</v>
      </c>
      <c r="C102" s="124" t="s">
        <v>180</v>
      </c>
      <c r="D102" s="123" t="s">
        <v>932</v>
      </c>
      <c r="E102" s="13">
        <v>310000000</v>
      </c>
      <c r="F102" s="13">
        <v>0</v>
      </c>
      <c r="G102" s="158">
        <v>310000000</v>
      </c>
      <c r="H102" s="13">
        <f t="shared" si="1"/>
        <v>0</v>
      </c>
      <c r="I102" s="125">
        <v>9.1</v>
      </c>
      <c r="J102" s="147" t="s">
        <v>201</v>
      </c>
    </row>
    <row r="103" spans="1:10" ht="14.25" customHeight="1">
      <c r="A103" s="127"/>
      <c r="B103" s="128" t="s">
        <v>245</v>
      </c>
      <c r="C103" s="124" t="s">
        <v>180</v>
      </c>
      <c r="D103" s="123" t="s">
        <v>933</v>
      </c>
      <c r="E103" s="13">
        <v>2000000000</v>
      </c>
      <c r="F103" s="13">
        <v>0</v>
      </c>
      <c r="G103" s="158">
        <v>2000000000</v>
      </c>
      <c r="H103" s="13">
        <f t="shared" si="1"/>
        <v>0</v>
      </c>
      <c r="I103" s="125">
        <v>8.6</v>
      </c>
      <c r="J103" s="147" t="s">
        <v>201</v>
      </c>
    </row>
    <row r="104" spans="1:10" ht="14.25" customHeight="1">
      <c r="A104" s="127"/>
      <c r="B104" s="128" t="s">
        <v>245</v>
      </c>
      <c r="C104" s="124" t="s">
        <v>180</v>
      </c>
      <c r="D104" s="123" t="s">
        <v>934</v>
      </c>
      <c r="E104" s="13">
        <v>1000000000</v>
      </c>
      <c r="F104" s="13">
        <v>0</v>
      </c>
      <c r="G104" s="158">
        <v>1000000000</v>
      </c>
      <c r="H104" s="13">
        <f t="shared" si="1"/>
        <v>0</v>
      </c>
      <c r="I104" s="125">
        <v>8.6</v>
      </c>
      <c r="J104" s="147" t="s">
        <v>201</v>
      </c>
    </row>
    <row r="105" spans="1:10" ht="14.25" customHeight="1">
      <c r="A105" s="127"/>
      <c r="B105" s="128">
        <v>50</v>
      </c>
      <c r="C105" s="129" t="s">
        <v>189</v>
      </c>
      <c r="D105" s="123" t="s">
        <v>935</v>
      </c>
      <c r="E105" s="13">
        <v>1422752000</v>
      </c>
      <c r="F105" s="13">
        <v>0</v>
      </c>
      <c r="G105" s="158">
        <v>1422752000</v>
      </c>
      <c r="H105" s="13">
        <f t="shared" si="1"/>
        <v>0</v>
      </c>
      <c r="I105" s="125">
        <v>7.7</v>
      </c>
      <c r="J105" s="126" t="s">
        <v>246</v>
      </c>
    </row>
    <row r="106" spans="1:10" ht="14.25" customHeight="1">
      <c r="A106" s="148"/>
      <c r="B106" s="128">
        <v>49</v>
      </c>
      <c r="C106" s="129" t="s">
        <v>185</v>
      </c>
      <c r="D106" s="123" t="s">
        <v>936</v>
      </c>
      <c r="E106" s="13">
        <v>13759150000</v>
      </c>
      <c r="F106" s="13">
        <v>0</v>
      </c>
      <c r="G106" s="13">
        <v>13759150000</v>
      </c>
      <c r="H106" s="13">
        <f t="shared" si="1"/>
        <v>0</v>
      </c>
      <c r="I106" s="125">
        <v>7.5</v>
      </c>
      <c r="J106" s="161" t="s">
        <v>247</v>
      </c>
    </row>
    <row r="107" spans="1:10" ht="14.25" customHeight="1">
      <c r="A107" s="148"/>
      <c r="B107" s="128">
        <v>50</v>
      </c>
      <c r="C107" s="129" t="s">
        <v>189</v>
      </c>
      <c r="D107" s="123" t="s">
        <v>324</v>
      </c>
      <c r="E107" s="13">
        <v>1878457000</v>
      </c>
      <c r="F107" s="13">
        <v>0</v>
      </c>
      <c r="G107" s="13">
        <v>1878457000</v>
      </c>
      <c r="H107" s="13">
        <f t="shared" si="1"/>
        <v>0</v>
      </c>
      <c r="I107" s="125">
        <v>7.7</v>
      </c>
      <c r="J107" s="161" t="s">
        <v>246</v>
      </c>
    </row>
    <row r="108" spans="1:10" ht="14.25" customHeight="1">
      <c r="A108" s="148"/>
      <c r="B108" s="128" t="s">
        <v>248</v>
      </c>
      <c r="C108" s="129" t="s">
        <v>189</v>
      </c>
      <c r="D108" s="123" t="s">
        <v>325</v>
      </c>
      <c r="E108" s="13">
        <v>2740000000</v>
      </c>
      <c r="F108" s="13">
        <v>0</v>
      </c>
      <c r="G108" s="13">
        <v>2740000000</v>
      </c>
      <c r="H108" s="13">
        <f t="shared" si="1"/>
        <v>0</v>
      </c>
      <c r="I108" s="125">
        <v>7.7</v>
      </c>
      <c r="J108" s="161" t="s">
        <v>246</v>
      </c>
    </row>
    <row r="109" spans="1:10" ht="14.25" customHeight="1">
      <c r="A109" s="148"/>
      <c r="B109" s="128" t="s">
        <v>248</v>
      </c>
      <c r="C109" s="129" t="s">
        <v>185</v>
      </c>
      <c r="D109" s="123" t="s">
        <v>326</v>
      </c>
      <c r="E109" s="13">
        <v>7512771000</v>
      </c>
      <c r="F109" s="13">
        <v>0</v>
      </c>
      <c r="G109" s="13">
        <v>7512771000</v>
      </c>
      <c r="H109" s="13">
        <f t="shared" si="1"/>
        <v>0</v>
      </c>
      <c r="I109" s="125">
        <v>7.5</v>
      </c>
      <c r="J109" s="161" t="s">
        <v>249</v>
      </c>
    </row>
    <row r="110" spans="1:10" ht="14.25" customHeight="1">
      <c r="A110" s="148"/>
      <c r="B110" s="128" t="s">
        <v>250</v>
      </c>
      <c r="C110" s="129" t="s">
        <v>189</v>
      </c>
      <c r="D110" s="123" t="s">
        <v>327</v>
      </c>
      <c r="E110" s="13">
        <v>2103702000</v>
      </c>
      <c r="F110" s="13">
        <v>0</v>
      </c>
      <c r="G110" s="13">
        <v>2103702000</v>
      </c>
      <c r="H110" s="13">
        <f t="shared" si="1"/>
        <v>0</v>
      </c>
      <c r="I110" s="125">
        <v>7.7</v>
      </c>
      <c r="J110" s="161" t="s">
        <v>244</v>
      </c>
    </row>
    <row r="111" spans="1:10" ht="14.25" customHeight="1" thickBot="1">
      <c r="A111" s="150"/>
      <c r="B111" s="151" t="s">
        <v>250</v>
      </c>
      <c r="C111" s="152" t="s">
        <v>189</v>
      </c>
      <c r="D111" s="153" t="s">
        <v>328</v>
      </c>
      <c r="E111" s="22">
        <v>1485841000</v>
      </c>
      <c r="F111" s="22">
        <v>0</v>
      </c>
      <c r="G111" s="22">
        <v>1485841000</v>
      </c>
      <c r="H111" s="13">
        <f t="shared" si="1"/>
        <v>0</v>
      </c>
      <c r="I111" s="154">
        <v>7.7</v>
      </c>
      <c r="J111" s="162" t="s">
        <v>244</v>
      </c>
    </row>
    <row r="112" spans="1:10" ht="9.75" customHeight="1" thickBot="1">
      <c r="A112" s="163"/>
      <c r="B112" s="164"/>
      <c r="C112" s="165"/>
      <c r="D112" s="166"/>
      <c r="E112" s="28"/>
      <c r="F112" s="28"/>
      <c r="G112" s="28"/>
      <c r="H112" s="28"/>
      <c r="I112" s="167"/>
      <c r="J112" s="168"/>
    </row>
    <row r="113" spans="1:10">
      <c r="A113" s="500" t="s">
        <v>937</v>
      </c>
      <c r="B113" s="502" t="s">
        <v>311</v>
      </c>
      <c r="C113" s="504" t="s">
        <v>891</v>
      </c>
      <c r="D113" s="502" t="s">
        <v>312</v>
      </c>
      <c r="E113" s="506" t="s">
        <v>892</v>
      </c>
      <c r="F113" s="508" t="s">
        <v>893</v>
      </c>
      <c r="G113" s="510"/>
      <c r="H113" s="494" t="s">
        <v>174</v>
      </c>
      <c r="I113" s="496" t="s">
        <v>894</v>
      </c>
      <c r="J113" s="498" t="s">
        <v>313</v>
      </c>
    </row>
    <row r="114" spans="1:10">
      <c r="A114" s="501"/>
      <c r="B114" s="503"/>
      <c r="C114" s="505"/>
      <c r="D114" s="503"/>
      <c r="E114" s="507"/>
      <c r="F114" s="115" t="s">
        <v>176</v>
      </c>
      <c r="G114" s="115" t="s">
        <v>305</v>
      </c>
      <c r="H114" s="495"/>
      <c r="I114" s="497"/>
      <c r="J114" s="499"/>
    </row>
    <row r="115" spans="1:10">
      <c r="A115" s="117"/>
      <c r="B115" s="118"/>
      <c r="C115" s="118"/>
      <c r="D115" s="119" t="s">
        <v>177</v>
      </c>
      <c r="E115" s="44" t="s">
        <v>178</v>
      </c>
      <c r="F115" s="44" t="s">
        <v>172</v>
      </c>
      <c r="G115" s="44" t="s">
        <v>178</v>
      </c>
      <c r="H115" s="44" t="s">
        <v>178</v>
      </c>
      <c r="I115" s="120" t="s">
        <v>895</v>
      </c>
      <c r="J115" s="121" t="s">
        <v>175</v>
      </c>
    </row>
    <row r="116" spans="1:10" ht="14.25" customHeight="1">
      <c r="A116" s="122" t="s">
        <v>240</v>
      </c>
      <c r="B116" s="128" t="s">
        <v>329</v>
      </c>
      <c r="C116" s="129" t="s">
        <v>189</v>
      </c>
      <c r="D116" s="123" t="s">
        <v>691</v>
      </c>
      <c r="E116" s="13">
        <v>4952879000</v>
      </c>
      <c r="F116" s="13">
        <v>0</v>
      </c>
      <c r="G116" s="13">
        <v>4952879000</v>
      </c>
      <c r="H116" s="13">
        <f t="shared" ref="H116:H169" si="2">E116-G116</f>
        <v>0</v>
      </c>
      <c r="I116" s="125">
        <v>7.7</v>
      </c>
      <c r="J116" s="147" t="s">
        <v>244</v>
      </c>
    </row>
    <row r="117" spans="1:10" ht="14.25" customHeight="1">
      <c r="A117" s="127" t="s">
        <v>182</v>
      </c>
      <c r="B117" s="128" t="s">
        <v>250</v>
      </c>
      <c r="C117" s="129" t="s">
        <v>189</v>
      </c>
      <c r="D117" s="123" t="s">
        <v>938</v>
      </c>
      <c r="E117" s="13">
        <v>700000000</v>
      </c>
      <c r="F117" s="13">
        <v>0</v>
      </c>
      <c r="G117" s="13">
        <v>700000000</v>
      </c>
      <c r="H117" s="13">
        <f t="shared" si="2"/>
        <v>0</v>
      </c>
      <c r="I117" s="125">
        <v>6.95</v>
      </c>
      <c r="J117" s="147" t="s">
        <v>244</v>
      </c>
    </row>
    <row r="118" spans="1:10" ht="14.25" customHeight="1">
      <c r="A118" s="127"/>
      <c r="B118" s="128" t="s">
        <v>250</v>
      </c>
      <c r="C118" s="129" t="s">
        <v>189</v>
      </c>
      <c r="D118" s="123" t="s">
        <v>939</v>
      </c>
      <c r="E118" s="13">
        <v>700000000</v>
      </c>
      <c r="F118" s="13">
        <v>0</v>
      </c>
      <c r="G118" s="13">
        <v>700000000</v>
      </c>
      <c r="H118" s="13">
        <f t="shared" si="2"/>
        <v>0</v>
      </c>
      <c r="I118" s="125">
        <v>6.95</v>
      </c>
      <c r="J118" s="147" t="s">
        <v>244</v>
      </c>
    </row>
    <row r="119" spans="1:10" ht="14.25" customHeight="1">
      <c r="A119" s="127"/>
      <c r="B119" s="128" t="s">
        <v>250</v>
      </c>
      <c r="C119" s="129" t="s">
        <v>189</v>
      </c>
      <c r="D119" s="123" t="s">
        <v>940</v>
      </c>
      <c r="E119" s="13">
        <v>2000000000</v>
      </c>
      <c r="F119" s="13">
        <v>0</v>
      </c>
      <c r="G119" s="13">
        <v>2000000000</v>
      </c>
      <c r="H119" s="13">
        <f t="shared" si="2"/>
        <v>0</v>
      </c>
      <c r="I119" s="125">
        <v>6.95</v>
      </c>
      <c r="J119" s="147" t="s">
        <v>244</v>
      </c>
    </row>
    <row r="120" spans="1:10" ht="14.25" customHeight="1">
      <c r="A120" s="127"/>
      <c r="B120" s="128" t="s">
        <v>250</v>
      </c>
      <c r="C120" s="129" t="s">
        <v>189</v>
      </c>
      <c r="D120" s="123" t="s">
        <v>941</v>
      </c>
      <c r="E120" s="13">
        <v>410000000</v>
      </c>
      <c r="F120" s="13">
        <v>0</v>
      </c>
      <c r="G120" s="13">
        <v>410000000</v>
      </c>
      <c r="H120" s="13">
        <f t="shared" si="2"/>
        <v>0</v>
      </c>
      <c r="I120" s="125">
        <v>6.95</v>
      </c>
      <c r="J120" s="147" t="s">
        <v>247</v>
      </c>
    </row>
    <row r="121" spans="1:10" ht="14.25" customHeight="1">
      <c r="A121" s="127"/>
      <c r="B121" s="128">
        <v>52</v>
      </c>
      <c r="C121" s="129" t="s">
        <v>189</v>
      </c>
      <c r="D121" s="123" t="s">
        <v>942</v>
      </c>
      <c r="E121" s="13">
        <v>906331000</v>
      </c>
      <c r="F121" s="13">
        <v>0</v>
      </c>
      <c r="G121" s="13">
        <v>906331000</v>
      </c>
      <c r="H121" s="13">
        <f t="shared" si="2"/>
        <v>0</v>
      </c>
      <c r="I121" s="125">
        <v>6.7</v>
      </c>
      <c r="J121" s="126" t="s">
        <v>247</v>
      </c>
    </row>
    <row r="122" spans="1:10" ht="14.25" customHeight="1">
      <c r="A122" s="127"/>
      <c r="B122" s="128" t="s">
        <v>250</v>
      </c>
      <c r="C122" s="129" t="s">
        <v>185</v>
      </c>
      <c r="D122" s="123" t="s">
        <v>943</v>
      </c>
      <c r="E122" s="13">
        <v>3969362000</v>
      </c>
      <c r="F122" s="13">
        <v>0</v>
      </c>
      <c r="G122" s="13">
        <v>3969362000</v>
      </c>
      <c r="H122" s="13">
        <f t="shared" si="2"/>
        <v>0</v>
      </c>
      <c r="I122" s="125">
        <v>6.5</v>
      </c>
      <c r="J122" s="147" t="s">
        <v>251</v>
      </c>
    </row>
    <row r="123" spans="1:10" ht="14.25" customHeight="1">
      <c r="A123" s="127"/>
      <c r="B123" s="128" t="s">
        <v>252</v>
      </c>
      <c r="C123" s="129" t="s">
        <v>189</v>
      </c>
      <c r="D123" s="123" t="s">
        <v>944</v>
      </c>
      <c r="E123" s="13">
        <v>1480274000</v>
      </c>
      <c r="F123" s="13">
        <v>0</v>
      </c>
      <c r="G123" s="13">
        <v>1480274000</v>
      </c>
      <c r="H123" s="13">
        <f t="shared" si="2"/>
        <v>0</v>
      </c>
      <c r="I123" s="125">
        <v>6.7</v>
      </c>
      <c r="J123" s="147" t="s">
        <v>247</v>
      </c>
    </row>
    <row r="124" spans="1:10" ht="14.25" customHeight="1">
      <c r="A124" s="127"/>
      <c r="B124" s="128" t="s">
        <v>252</v>
      </c>
      <c r="C124" s="129" t="s">
        <v>189</v>
      </c>
      <c r="D124" s="123" t="s">
        <v>945</v>
      </c>
      <c r="E124" s="13">
        <v>700000000</v>
      </c>
      <c r="F124" s="13">
        <v>0</v>
      </c>
      <c r="G124" s="13">
        <v>700000000</v>
      </c>
      <c r="H124" s="13">
        <f t="shared" si="2"/>
        <v>0</v>
      </c>
      <c r="I124" s="125">
        <v>6.25</v>
      </c>
      <c r="J124" s="147" t="s">
        <v>247</v>
      </c>
    </row>
    <row r="125" spans="1:10" ht="14.25" customHeight="1">
      <c r="A125" s="127"/>
      <c r="B125" s="128" t="s">
        <v>252</v>
      </c>
      <c r="C125" s="129" t="s">
        <v>189</v>
      </c>
      <c r="D125" s="123" t="s">
        <v>946</v>
      </c>
      <c r="E125" s="13">
        <v>2000000000</v>
      </c>
      <c r="F125" s="13">
        <v>0</v>
      </c>
      <c r="G125" s="13">
        <v>2000000000</v>
      </c>
      <c r="H125" s="13">
        <f t="shared" si="2"/>
        <v>0</v>
      </c>
      <c r="I125" s="125">
        <v>6.25</v>
      </c>
      <c r="J125" s="147" t="s">
        <v>247</v>
      </c>
    </row>
    <row r="126" spans="1:10" ht="14.25" customHeight="1">
      <c r="A126" s="127"/>
      <c r="B126" s="128" t="s">
        <v>252</v>
      </c>
      <c r="C126" s="129" t="s">
        <v>189</v>
      </c>
      <c r="D126" s="123" t="s">
        <v>947</v>
      </c>
      <c r="E126" s="13">
        <v>800000000</v>
      </c>
      <c r="F126" s="13">
        <v>0</v>
      </c>
      <c r="G126" s="13">
        <v>800000000</v>
      </c>
      <c r="H126" s="13">
        <f t="shared" si="2"/>
        <v>0</v>
      </c>
      <c r="I126" s="125">
        <v>6.25</v>
      </c>
      <c r="J126" s="147" t="s">
        <v>247</v>
      </c>
    </row>
    <row r="127" spans="1:10" ht="14.25" customHeight="1">
      <c r="A127" s="127"/>
      <c r="B127" s="128" t="s">
        <v>252</v>
      </c>
      <c r="C127" s="129" t="s">
        <v>189</v>
      </c>
      <c r="D127" s="123" t="s">
        <v>948</v>
      </c>
      <c r="E127" s="13">
        <v>2100000000</v>
      </c>
      <c r="F127" s="13">
        <v>0</v>
      </c>
      <c r="G127" s="13">
        <v>2100000000</v>
      </c>
      <c r="H127" s="13">
        <f t="shared" si="2"/>
        <v>0</v>
      </c>
      <c r="I127" s="125">
        <v>6.25</v>
      </c>
      <c r="J127" s="147" t="s">
        <v>249</v>
      </c>
    </row>
    <row r="128" spans="1:10" ht="14.25" customHeight="1">
      <c r="A128" s="127"/>
      <c r="B128" s="128" t="s">
        <v>252</v>
      </c>
      <c r="C128" s="129" t="s">
        <v>189</v>
      </c>
      <c r="D128" s="123" t="s">
        <v>949</v>
      </c>
      <c r="E128" s="13">
        <v>800000000</v>
      </c>
      <c r="F128" s="13">
        <v>0</v>
      </c>
      <c r="G128" s="13">
        <v>800000000</v>
      </c>
      <c r="H128" s="13">
        <f t="shared" si="2"/>
        <v>0</v>
      </c>
      <c r="I128" s="125">
        <v>6.25</v>
      </c>
      <c r="J128" s="147" t="s">
        <v>249</v>
      </c>
    </row>
    <row r="129" spans="1:10" ht="14.25" customHeight="1">
      <c r="A129" s="127"/>
      <c r="B129" s="128" t="s">
        <v>252</v>
      </c>
      <c r="C129" s="129" t="s">
        <v>185</v>
      </c>
      <c r="D129" s="123" t="s">
        <v>950</v>
      </c>
      <c r="E129" s="13">
        <v>1257999000</v>
      </c>
      <c r="F129" s="13">
        <v>0</v>
      </c>
      <c r="G129" s="13">
        <v>1257999000</v>
      </c>
      <c r="H129" s="13">
        <f t="shared" si="2"/>
        <v>0</v>
      </c>
      <c r="I129" s="125">
        <v>6.05</v>
      </c>
      <c r="J129" s="147" t="s">
        <v>253</v>
      </c>
    </row>
    <row r="130" spans="1:10" ht="14.25" customHeight="1">
      <c r="A130" s="127"/>
      <c r="B130" s="128" t="s">
        <v>252</v>
      </c>
      <c r="C130" s="129" t="s">
        <v>189</v>
      </c>
      <c r="D130" s="123" t="s">
        <v>950</v>
      </c>
      <c r="E130" s="13">
        <v>1525000000</v>
      </c>
      <c r="F130" s="13">
        <v>0</v>
      </c>
      <c r="G130" s="13">
        <v>1525000000</v>
      </c>
      <c r="H130" s="13">
        <f t="shared" si="2"/>
        <v>0</v>
      </c>
      <c r="I130" s="125">
        <v>6.25</v>
      </c>
      <c r="J130" s="147" t="s">
        <v>249</v>
      </c>
    </row>
    <row r="131" spans="1:10" ht="14.25" customHeight="1">
      <c r="A131" s="127"/>
      <c r="B131" s="128" t="s">
        <v>254</v>
      </c>
      <c r="C131" s="129" t="s">
        <v>189</v>
      </c>
      <c r="D131" s="123" t="s">
        <v>951</v>
      </c>
      <c r="E131" s="13">
        <v>1000000000</v>
      </c>
      <c r="F131" s="13">
        <v>0</v>
      </c>
      <c r="G131" s="13">
        <v>1000000000</v>
      </c>
      <c r="H131" s="13">
        <f t="shared" si="2"/>
        <v>0</v>
      </c>
      <c r="I131" s="125">
        <v>6.25</v>
      </c>
      <c r="J131" s="147" t="s">
        <v>249</v>
      </c>
    </row>
    <row r="132" spans="1:10" ht="14.25" customHeight="1">
      <c r="A132" s="122"/>
      <c r="B132" s="123" t="s">
        <v>255</v>
      </c>
      <c r="C132" s="129" t="s">
        <v>189</v>
      </c>
      <c r="D132" s="123" t="s">
        <v>952</v>
      </c>
      <c r="E132" s="13">
        <v>1000000000</v>
      </c>
      <c r="F132" s="13">
        <v>0</v>
      </c>
      <c r="G132" s="13">
        <v>1000000000</v>
      </c>
      <c r="H132" s="13">
        <f t="shared" si="2"/>
        <v>0</v>
      </c>
      <c r="I132" s="125">
        <v>6.25</v>
      </c>
      <c r="J132" s="147" t="s">
        <v>249</v>
      </c>
    </row>
    <row r="133" spans="1:10" ht="14.25" customHeight="1">
      <c r="A133" s="127"/>
      <c r="B133" s="128" t="s">
        <v>254</v>
      </c>
      <c r="C133" s="129" t="s">
        <v>189</v>
      </c>
      <c r="D133" s="123" t="s">
        <v>953</v>
      </c>
      <c r="E133" s="13">
        <v>1000000000</v>
      </c>
      <c r="F133" s="13">
        <v>0</v>
      </c>
      <c r="G133" s="13">
        <v>1000000000</v>
      </c>
      <c r="H133" s="13">
        <f t="shared" si="2"/>
        <v>0</v>
      </c>
      <c r="I133" s="125">
        <v>6.15</v>
      </c>
      <c r="J133" s="147" t="s">
        <v>249</v>
      </c>
    </row>
    <row r="134" spans="1:10" ht="14.25" customHeight="1">
      <c r="A134" s="127"/>
      <c r="B134" s="128" t="s">
        <v>254</v>
      </c>
      <c r="C134" s="129" t="s">
        <v>189</v>
      </c>
      <c r="D134" s="123" t="s">
        <v>954</v>
      </c>
      <c r="E134" s="13">
        <v>1000000000</v>
      </c>
      <c r="F134" s="13">
        <v>0</v>
      </c>
      <c r="G134" s="13">
        <v>1000000000</v>
      </c>
      <c r="H134" s="13">
        <f t="shared" si="2"/>
        <v>0</v>
      </c>
      <c r="I134" s="125">
        <v>6.75</v>
      </c>
      <c r="J134" s="147" t="s">
        <v>249</v>
      </c>
    </row>
    <row r="135" spans="1:10" ht="14.25" customHeight="1">
      <c r="A135" s="127"/>
      <c r="B135" s="128" t="s">
        <v>254</v>
      </c>
      <c r="C135" s="129" t="s">
        <v>189</v>
      </c>
      <c r="D135" s="123" t="s">
        <v>955</v>
      </c>
      <c r="E135" s="13">
        <v>3722000000</v>
      </c>
      <c r="F135" s="13">
        <v>0</v>
      </c>
      <c r="G135" s="13">
        <v>3722000000</v>
      </c>
      <c r="H135" s="13">
        <f t="shared" si="2"/>
        <v>0</v>
      </c>
      <c r="I135" s="125">
        <v>7.25</v>
      </c>
      <c r="J135" s="147" t="s">
        <v>251</v>
      </c>
    </row>
    <row r="136" spans="1:10" ht="14.25" customHeight="1">
      <c r="A136" s="127"/>
      <c r="B136" s="128" t="s">
        <v>254</v>
      </c>
      <c r="C136" s="129" t="s">
        <v>185</v>
      </c>
      <c r="D136" s="123" t="s">
        <v>956</v>
      </c>
      <c r="E136" s="13">
        <v>2078000000</v>
      </c>
      <c r="F136" s="13">
        <v>0</v>
      </c>
      <c r="G136" s="13">
        <v>2078000000</v>
      </c>
      <c r="H136" s="13">
        <f t="shared" si="2"/>
        <v>0</v>
      </c>
      <c r="I136" s="125">
        <v>7.15</v>
      </c>
      <c r="J136" s="147" t="s">
        <v>256</v>
      </c>
    </row>
    <row r="137" spans="1:10" ht="14.25" customHeight="1">
      <c r="A137" s="127"/>
      <c r="B137" s="128" t="s">
        <v>257</v>
      </c>
      <c r="C137" s="129" t="s">
        <v>189</v>
      </c>
      <c r="D137" s="123" t="s">
        <v>957</v>
      </c>
      <c r="E137" s="13">
        <v>3300000000</v>
      </c>
      <c r="F137" s="13">
        <v>0</v>
      </c>
      <c r="G137" s="13">
        <v>3300000000</v>
      </c>
      <c r="H137" s="13">
        <f t="shared" si="2"/>
        <v>0</v>
      </c>
      <c r="I137" s="125">
        <v>7.25</v>
      </c>
      <c r="J137" s="147" t="s">
        <v>251</v>
      </c>
    </row>
    <row r="138" spans="1:10" ht="14.25" customHeight="1">
      <c r="A138" s="127"/>
      <c r="B138" s="128" t="s">
        <v>257</v>
      </c>
      <c r="C138" s="129" t="s">
        <v>189</v>
      </c>
      <c r="D138" s="123" t="s">
        <v>958</v>
      </c>
      <c r="E138" s="13">
        <v>1000000000</v>
      </c>
      <c r="F138" s="13">
        <v>0</v>
      </c>
      <c r="G138" s="13">
        <v>1000000000</v>
      </c>
      <c r="H138" s="13">
        <f t="shared" si="2"/>
        <v>0</v>
      </c>
      <c r="I138" s="125">
        <v>8.6</v>
      </c>
      <c r="J138" s="147" t="s">
        <v>959</v>
      </c>
    </row>
    <row r="139" spans="1:10" ht="14.25" customHeight="1">
      <c r="A139" s="127"/>
      <c r="B139" s="128" t="s">
        <v>257</v>
      </c>
      <c r="C139" s="129" t="s">
        <v>189</v>
      </c>
      <c r="D139" s="123" t="s">
        <v>960</v>
      </c>
      <c r="E139" s="13">
        <v>2500000000</v>
      </c>
      <c r="F139" s="13">
        <v>0</v>
      </c>
      <c r="G139" s="13">
        <v>2500000000</v>
      </c>
      <c r="H139" s="13">
        <f t="shared" si="2"/>
        <v>0</v>
      </c>
      <c r="I139" s="125">
        <v>8.6</v>
      </c>
      <c r="J139" s="147" t="s">
        <v>961</v>
      </c>
    </row>
    <row r="140" spans="1:10" ht="14.25" customHeight="1">
      <c r="A140" s="127"/>
      <c r="B140" s="128" t="s">
        <v>257</v>
      </c>
      <c r="C140" s="129" t="s">
        <v>185</v>
      </c>
      <c r="D140" s="123" t="s">
        <v>962</v>
      </c>
      <c r="E140" s="13">
        <v>1550704816</v>
      </c>
      <c r="F140" s="13">
        <v>0</v>
      </c>
      <c r="G140" s="13">
        <v>1550704816</v>
      </c>
      <c r="H140" s="13">
        <f t="shared" si="2"/>
        <v>0</v>
      </c>
      <c r="I140" s="125">
        <v>8</v>
      </c>
      <c r="J140" s="147" t="s">
        <v>963</v>
      </c>
    </row>
    <row r="141" spans="1:10" ht="14.25" customHeight="1">
      <c r="A141" s="127"/>
      <c r="B141" s="128" t="s">
        <v>257</v>
      </c>
      <c r="C141" s="129" t="s">
        <v>189</v>
      </c>
      <c r="D141" s="123" t="s">
        <v>964</v>
      </c>
      <c r="E141" s="13">
        <v>2579000000</v>
      </c>
      <c r="F141" s="13">
        <v>0</v>
      </c>
      <c r="G141" s="13">
        <v>2579000000</v>
      </c>
      <c r="H141" s="13">
        <f t="shared" si="2"/>
        <v>0</v>
      </c>
      <c r="I141" s="125">
        <v>8.1</v>
      </c>
      <c r="J141" s="147" t="s">
        <v>253</v>
      </c>
    </row>
    <row r="142" spans="1:10" ht="14.25" customHeight="1">
      <c r="A142" s="127"/>
      <c r="B142" s="128" t="s">
        <v>258</v>
      </c>
      <c r="C142" s="129" t="s">
        <v>189</v>
      </c>
      <c r="D142" s="123" t="s">
        <v>965</v>
      </c>
      <c r="E142" s="13">
        <v>3500000000</v>
      </c>
      <c r="F142" s="13">
        <v>0</v>
      </c>
      <c r="G142" s="13">
        <v>3500000000</v>
      </c>
      <c r="H142" s="13">
        <f t="shared" si="2"/>
        <v>0</v>
      </c>
      <c r="I142" s="125">
        <v>8.1</v>
      </c>
      <c r="J142" s="147" t="s">
        <v>959</v>
      </c>
    </row>
    <row r="143" spans="1:10" ht="14.25" customHeight="1">
      <c r="A143" s="127"/>
      <c r="B143" s="128" t="s">
        <v>258</v>
      </c>
      <c r="C143" s="129" t="s">
        <v>189</v>
      </c>
      <c r="D143" s="123" t="s">
        <v>966</v>
      </c>
      <c r="E143" s="13">
        <v>1000000000</v>
      </c>
      <c r="F143" s="13">
        <v>0</v>
      </c>
      <c r="G143" s="13">
        <v>1000000000</v>
      </c>
      <c r="H143" s="13">
        <f t="shared" si="2"/>
        <v>0</v>
      </c>
      <c r="I143" s="125">
        <v>7.6</v>
      </c>
      <c r="J143" s="147" t="s">
        <v>253</v>
      </c>
    </row>
    <row r="144" spans="1:10" ht="14.25" customHeight="1">
      <c r="A144" s="127"/>
      <c r="B144" s="128" t="s">
        <v>258</v>
      </c>
      <c r="C144" s="129" t="s">
        <v>189</v>
      </c>
      <c r="D144" s="123" t="s">
        <v>967</v>
      </c>
      <c r="E144" s="13">
        <v>882000000</v>
      </c>
      <c r="F144" s="13">
        <v>0</v>
      </c>
      <c r="G144" s="13">
        <v>882000000</v>
      </c>
      <c r="H144" s="13">
        <f t="shared" si="2"/>
        <v>0</v>
      </c>
      <c r="I144" s="125">
        <v>7.6</v>
      </c>
      <c r="J144" s="147" t="s">
        <v>256</v>
      </c>
    </row>
    <row r="145" spans="1:10" ht="14.25" customHeight="1">
      <c r="A145" s="127"/>
      <c r="B145" s="128" t="s">
        <v>258</v>
      </c>
      <c r="C145" s="129" t="s">
        <v>185</v>
      </c>
      <c r="D145" s="123" t="s">
        <v>968</v>
      </c>
      <c r="E145" s="13">
        <v>2385295998</v>
      </c>
      <c r="F145" s="13">
        <v>0</v>
      </c>
      <c r="G145" s="13">
        <v>2385295998</v>
      </c>
      <c r="H145" s="13">
        <f t="shared" si="2"/>
        <v>0</v>
      </c>
      <c r="I145" s="125">
        <v>7.5</v>
      </c>
      <c r="J145" s="147" t="s">
        <v>963</v>
      </c>
    </row>
    <row r="146" spans="1:10" ht="14.25" customHeight="1">
      <c r="A146" s="127"/>
      <c r="B146" s="128" t="s">
        <v>259</v>
      </c>
      <c r="C146" s="129" t="s">
        <v>189</v>
      </c>
      <c r="D146" s="123" t="s">
        <v>969</v>
      </c>
      <c r="E146" s="13">
        <v>3800000000</v>
      </c>
      <c r="F146" s="13">
        <v>0</v>
      </c>
      <c r="G146" s="13">
        <v>3800000000</v>
      </c>
      <c r="H146" s="13">
        <f t="shared" si="2"/>
        <v>0</v>
      </c>
      <c r="I146" s="125">
        <v>7.4</v>
      </c>
      <c r="J146" s="147" t="s">
        <v>970</v>
      </c>
    </row>
    <row r="147" spans="1:10" ht="14.25" customHeight="1">
      <c r="A147" s="122"/>
      <c r="B147" s="123" t="s">
        <v>971</v>
      </c>
      <c r="C147" s="129" t="s">
        <v>189</v>
      </c>
      <c r="D147" s="123" t="s">
        <v>972</v>
      </c>
      <c r="E147" s="13">
        <v>527000000</v>
      </c>
      <c r="F147" s="13">
        <v>0</v>
      </c>
      <c r="G147" s="13">
        <v>527000000</v>
      </c>
      <c r="H147" s="13">
        <f t="shared" si="2"/>
        <v>0</v>
      </c>
      <c r="I147" s="125">
        <v>7.4</v>
      </c>
      <c r="J147" s="147" t="s">
        <v>973</v>
      </c>
    </row>
    <row r="148" spans="1:10" ht="14.25" customHeight="1">
      <c r="A148" s="127"/>
      <c r="B148" s="128" t="s">
        <v>259</v>
      </c>
      <c r="C148" s="129" t="s">
        <v>185</v>
      </c>
      <c r="D148" s="123" t="s">
        <v>974</v>
      </c>
      <c r="E148" s="13">
        <v>2101596178</v>
      </c>
      <c r="F148" s="13">
        <v>0</v>
      </c>
      <c r="G148" s="13">
        <v>2101596178</v>
      </c>
      <c r="H148" s="13">
        <f t="shared" si="2"/>
        <v>0</v>
      </c>
      <c r="I148" s="125">
        <v>7.3</v>
      </c>
      <c r="J148" s="147" t="s">
        <v>963</v>
      </c>
    </row>
    <row r="149" spans="1:10" ht="14.25" customHeight="1">
      <c r="A149" s="127"/>
      <c r="B149" s="128">
        <v>54</v>
      </c>
      <c r="C149" s="129" t="s">
        <v>163</v>
      </c>
      <c r="D149" s="123" t="s">
        <v>321</v>
      </c>
      <c r="E149" s="13">
        <v>1020295184</v>
      </c>
      <c r="F149" s="13">
        <v>0</v>
      </c>
      <c r="G149" s="13">
        <v>1020295184</v>
      </c>
      <c r="H149" s="13">
        <f t="shared" si="2"/>
        <v>0</v>
      </c>
      <c r="I149" s="125">
        <v>8</v>
      </c>
      <c r="J149" s="147" t="s">
        <v>975</v>
      </c>
    </row>
    <row r="150" spans="1:10" ht="14.25" customHeight="1">
      <c r="A150" s="127"/>
      <c r="B150" s="128">
        <v>55</v>
      </c>
      <c r="C150" s="129" t="s">
        <v>163</v>
      </c>
      <c r="D150" s="123" t="s">
        <v>976</v>
      </c>
      <c r="E150" s="13">
        <v>1862704002</v>
      </c>
      <c r="F150" s="13">
        <v>0</v>
      </c>
      <c r="G150" s="13">
        <v>1862704002</v>
      </c>
      <c r="H150" s="13">
        <f t="shared" si="2"/>
        <v>0</v>
      </c>
      <c r="I150" s="125">
        <v>7.5</v>
      </c>
      <c r="J150" s="147" t="s">
        <v>977</v>
      </c>
    </row>
    <row r="151" spans="1:10" ht="14.25" customHeight="1">
      <c r="A151" s="122"/>
      <c r="B151" s="128">
        <v>56</v>
      </c>
      <c r="C151" s="129" t="s">
        <v>163</v>
      </c>
      <c r="D151" s="128" t="s">
        <v>976</v>
      </c>
      <c r="E151" s="13">
        <v>1944403822</v>
      </c>
      <c r="F151" s="13">
        <v>0</v>
      </c>
      <c r="G151" s="13">
        <v>1944403822</v>
      </c>
      <c r="H151" s="13">
        <f t="shared" si="2"/>
        <v>0</v>
      </c>
      <c r="I151" s="125">
        <v>7.3</v>
      </c>
      <c r="J151" s="147" t="s">
        <v>977</v>
      </c>
    </row>
    <row r="152" spans="1:10" ht="14.25" customHeight="1">
      <c r="A152" s="127"/>
      <c r="B152" s="123" t="s">
        <v>978</v>
      </c>
      <c r="C152" s="129" t="s">
        <v>189</v>
      </c>
      <c r="D152" s="128" t="s">
        <v>979</v>
      </c>
      <c r="E152" s="13">
        <v>215000000</v>
      </c>
      <c r="F152" s="13">
        <v>0</v>
      </c>
      <c r="G152" s="13">
        <v>215000000</v>
      </c>
      <c r="H152" s="13">
        <f t="shared" si="2"/>
        <v>0</v>
      </c>
      <c r="I152" s="125">
        <v>2.0499999999999998</v>
      </c>
      <c r="J152" s="147" t="s">
        <v>980</v>
      </c>
    </row>
    <row r="153" spans="1:10" ht="14.25" customHeight="1">
      <c r="A153" s="127"/>
      <c r="B153" s="123">
        <v>17</v>
      </c>
      <c r="C153" s="129" t="s">
        <v>189</v>
      </c>
      <c r="D153" s="128" t="s">
        <v>979</v>
      </c>
      <c r="E153" s="13">
        <v>634000000</v>
      </c>
      <c r="F153" s="13">
        <v>0</v>
      </c>
      <c r="G153" s="13">
        <v>634000000</v>
      </c>
      <c r="H153" s="13">
        <f t="shared" si="2"/>
        <v>0</v>
      </c>
      <c r="I153" s="125">
        <v>2.0499999999999998</v>
      </c>
      <c r="J153" s="147" t="s">
        <v>980</v>
      </c>
    </row>
    <row r="154" spans="1:10" ht="14.25" customHeight="1">
      <c r="A154" s="127"/>
      <c r="B154" s="123">
        <v>17</v>
      </c>
      <c r="C154" s="129" t="s">
        <v>189</v>
      </c>
      <c r="D154" s="128" t="s">
        <v>979</v>
      </c>
      <c r="E154" s="13">
        <v>596000000</v>
      </c>
      <c r="F154" s="13">
        <v>0</v>
      </c>
      <c r="G154" s="13">
        <v>596000000</v>
      </c>
      <c r="H154" s="13">
        <f t="shared" si="2"/>
        <v>0</v>
      </c>
      <c r="I154" s="125">
        <v>2.0499999999999998</v>
      </c>
      <c r="J154" s="147" t="s">
        <v>980</v>
      </c>
    </row>
    <row r="155" spans="1:10" ht="14.25" customHeight="1">
      <c r="A155" s="127"/>
      <c r="B155" s="123">
        <v>17</v>
      </c>
      <c r="C155" s="129" t="s">
        <v>189</v>
      </c>
      <c r="D155" s="128" t="s">
        <v>979</v>
      </c>
      <c r="E155" s="13">
        <v>981000000</v>
      </c>
      <c r="F155" s="13">
        <v>102662677</v>
      </c>
      <c r="G155" s="13">
        <v>981000000</v>
      </c>
      <c r="H155" s="13">
        <f t="shared" si="2"/>
        <v>0</v>
      </c>
      <c r="I155" s="125">
        <v>2.0499999999999998</v>
      </c>
      <c r="J155" s="147" t="s">
        <v>981</v>
      </c>
    </row>
    <row r="156" spans="1:10" ht="14.25" customHeight="1">
      <c r="A156" s="127"/>
      <c r="B156" s="123">
        <v>18</v>
      </c>
      <c r="C156" s="129" t="s">
        <v>189</v>
      </c>
      <c r="D156" s="128" t="s">
        <v>982</v>
      </c>
      <c r="E156" s="13">
        <v>26300000</v>
      </c>
      <c r="F156" s="13">
        <v>0</v>
      </c>
      <c r="G156" s="13">
        <v>26300000</v>
      </c>
      <c r="H156" s="13">
        <f t="shared" si="2"/>
        <v>0</v>
      </c>
      <c r="I156" s="125">
        <v>2.5499999999999998</v>
      </c>
      <c r="J156" s="147" t="s">
        <v>983</v>
      </c>
    </row>
    <row r="157" spans="1:10" ht="14.25" customHeight="1">
      <c r="A157" s="127"/>
      <c r="B157" s="123">
        <v>18</v>
      </c>
      <c r="C157" s="129" t="s">
        <v>189</v>
      </c>
      <c r="D157" s="128" t="s">
        <v>982</v>
      </c>
      <c r="E157" s="13">
        <v>201100000</v>
      </c>
      <c r="F157" s="13">
        <v>0</v>
      </c>
      <c r="G157" s="13">
        <v>201100000</v>
      </c>
      <c r="H157" s="13">
        <f t="shared" si="2"/>
        <v>0</v>
      </c>
      <c r="I157" s="125">
        <v>2.5499999999999998</v>
      </c>
      <c r="J157" s="147" t="s">
        <v>983</v>
      </c>
    </row>
    <row r="158" spans="1:10" ht="14.25" customHeight="1">
      <c r="A158" s="127"/>
      <c r="B158" s="123">
        <v>18</v>
      </c>
      <c r="C158" s="129" t="s">
        <v>189</v>
      </c>
      <c r="D158" s="128" t="s">
        <v>351</v>
      </c>
      <c r="E158" s="13">
        <v>209100000</v>
      </c>
      <c r="F158" s="13">
        <v>0</v>
      </c>
      <c r="G158" s="13">
        <v>209100000</v>
      </c>
      <c r="H158" s="13">
        <f t="shared" si="2"/>
        <v>0</v>
      </c>
      <c r="I158" s="125">
        <v>2.5499999999999998</v>
      </c>
      <c r="J158" s="147" t="s">
        <v>256</v>
      </c>
    </row>
    <row r="159" spans="1:10" ht="14.25" customHeight="1">
      <c r="A159" s="127"/>
      <c r="B159" s="123">
        <v>19</v>
      </c>
      <c r="C159" s="129" t="s">
        <v>984</v>
      </c>
      <c r="D159" s="128" t="s">
        <v>985</v>
      </c>
      <c r="E159" s="13">
        <v>544100000</v>
      </c>
      <c r="F159" s="13">
        <v>0</v>
      </c>
      <c r="G159" s="13">
        <v>544100000</v>
      </c>
      <c r="H159" s="13">
        <f t="shared" si="2"/>
        <v>0</v>
      </c>
      <c r="I159" s="125">
        <v>2.4</v>
      </c>
      <c r="J159" s="147" t="s">
        <v>986</v>
      </c>
    </row>
    <row r="160" spans="1:10" ht="14.25" customHeight="1">
      <c r="A160" s="127"/>
      <c r="B160" s="123">
        <v>19</v>
      </c>
      <c r="C160" s="129" t="s">
        <v>984</v>
      </c>
      <c r="D160" s="128" t="s">
        <v>985</v>
      </c>
      <c r="E160" s="13">
        <v>92100000</v>
      </c>
      <c r="F160" s="13">
        <v>18862049</v>
      </c>
      <c r="G160" s="13">
        <v>92100000</v>
      </c>
      <c r="H160" s="13">
        <f t="shared" si="2"/>
        <v>0</v>
      </c>
      <c r="I160" s="125">
        <v>2.4</v>
      </c>
      <c r="J160" s="147" t="s">
        <v>987</v>
      </c>
    </row>
    <row r="161" spans="1:10" ht="17.25" customHeight="1">
      <c r="A161" s="136" t="s">
        <v>988</v>
      </c>
      <c r="B161" s="137"/>
      <c r="C161" s="138"/>
      <c r="D161" s="139"/>
      <c r="E161" s="18">
        <f>SUM(E79:E111,E116:E160)</f>
        <v>124568706889</v>
      </c>
      <c r="F161" s="18">
        <f>SUM(F79:F111,F116:F160)</f>
        <v>121524726</v>
      </c>
      <c r="G161" s="18">
        <f>SUM(G79:G111,G116:G160)</f>
        <v>124568706889</v>
      </c>
      <c r="H161" s="18">
        <f>SUM(H79:H111,H116:H160)</f>
        <v>0</v>
      </c>
      <c r="I161" s="140"/>
      <c r="J161" s="141"/>
    </row>
    <row r="162" spans="1:10" ht="14.25" customHeight="1">
      <c r="A162" s="122" t="s">
        <v>989</v>
      </c>
      <c r="B162" s="123" t="s">
        <v>990</v>
      </c>
      <c r="C162" s="124" t="s">
        <v>184</v>
      </c>
      <c r="D162" s="123" t="s">
        <v>991</v>
      </c>
      <c r="E162" s="13">
        <v>60000000</v>
      </c>
      <c r="F162" s="13">
        <v>0</v>
      </c>
      <c r="G162" s="13">
        <v>60000000</v>
      </c>
      <c r="H162" s="13">
        <f t="shared" si="2"/>
        <v>0</v>
      </c>
      <c r="I162" s="125">
        <v>7.1</v>
      </c>
      <c r="J162" s="147" t="s">
        <v>209</v>
      </c>
    </row>
    <row r="163" spans="1:10" ht="14.25" customHeight="1">
      <c r="A163" s="127" t="s">
        <v>992</v>
      </c>
      <c r="B163" s="128">
        <v>45</v>
      </c>
      <c r="C163" s="129" t="s">
        <v>185</v>
      </c>
      <c r="D163" s="123" t="s">
        <v>993</v>
      </c>
      <c r="E163" s="13">
        <v>340000000</v>
      </c>
      <c r="F163" s="13">
        <v>0</v>
      </c>
      <c r="G163" s="13">
        <v>340000000</v>
      </c>
      <c r="H163" s="13">
        <f t="shared" si="2"/>
        <v>0</v>
      </c>
      <c r="I163" s="125">
        <v>6.5</v>
      </c>
      <c r="J163" s="147" t="s">
        <v>235</v>
      </c>
    </row>
    <row r="164" spans="1:10" ht="14.25" customHeight="1">
      <c r="A164" s="127"/>
      <c r="B164" s="128">
        <v>46</v>
      </c>
      <c r="C164" s="129" t="s">
        <v>189</v>
      </c>
      <c r="D164" s="123" t="s">
        <v>994</v>
      </c>
      <c r="E164" s="13">
        <v>100000000</v>
      </c>
      <c r="F164" s="13">
        <v>0</v>
      </c>
      <c r="G164" s="13">
        <v>100000000</v>
      </c>
      <c r="H164" s="13">
        <f t="shared" si="2"/>
        <v>0</v>
      </c>
      <c r="I164" s="125">
        <v>6.7</v>
      </c>
      <c r="J164" s="147" t="s">
        <v>237</v>
      </c>
    </row>
    <row r="165" spans="1:10" ht="14.25" customHeight="1">
      <c r="A165" s="127"/>
      <c r="B165" s="128">
        <v>46</v>
      </c>
      <c r="C165" s="129" t="s">
        <v>189</v>
      </c>
      <c r="D165" s="123" t="s">
        <v>995</v>
      </c>
      <c r="E165" s="13">
        <v>107000000</v>
      </c>
      <c r="F165" s="13">
        <v>0</v>
      </c>
      <c r="G165" s="13">
        <v>107000000</v>
      </c>
      <c r="H165" s="13">
        <f t="shared" si="2"/>
        <v>0</v>
      </c>
      <c r="I165" s="125">
        <v>6.7</v>
      </c>
      <c r="J165" s="147" t="s">
        <v>237</v>
      </c>
    </row>
    <row r="166" spans="1:10" ht="14.25" customHeight="1">
      <c r="A166" s="127"/>
      <c r="B166" s="128">
        <v>46</v>
      </c>
      <c r="C166" s="129" t="s">
        <v>185</v>
      </c>
      <c r="D166" s="123" t="s">
        <v>331</v>
      </c>
      <c r="E166" s="13">
        <v>238000000</v>
      </c>
      <c r="F166" s="13">
        <v>0</v>
      </c>
      <c r="G166" s="13">
        <v>238000000</v>
      </c>
      <c r="H166" s="13">
        <f t="shared" si="2"/>
        <v>0</v>
      </c>
      <c r="I166" s="125">
        <v>6.5</v>
      </c>
      <c r="J166" s="147" t="s">
        <v>239</v>
      </c>
    </row>
    <row r="167" spans="1:10" ht="14.25" customHeight="1">
      <c r="A167" s="127"/>
      <c r="B167" s="128">
        <v>46</v>
      </c>
      <c r="C167" s="129" t="s">
        <v>180</v>
      </c>
      <c r="D167" s="123" t="s">
        <v>331</v>
      </c>
      <c r="E167" s="13">
        <v>250000000</v>
      </c>
      <c r="F167" s="13">
        <v>0</v>
      </c>
      <c r="G167" s="13">
        <v>250000000</v>
      </c>
      <c r="H167" s="13">
        <f t="shared" si="2"/>
        <v>0</v>
      </c>
      <c r="I167" s="125">
        <v>6.8</v>
      </c>
      <c r="J167" s="147" t="s">
        <v>212</v>
      </c>
    </row>
    <row r="168" spans="1:10" ht="14.25" customHeight="1">
      <c r="A168" s="127"/>
      <c r="B168" s="128">
        <v>47</v>
      </c>
      <c r="C168" s="129" t="s">
        <v>189</v>
      </c>
      <c r="D168" s="123" t="s">
        <v>332</v>
      </c>
      <c r="E168" s="13">
        <v>280000000</v>
      </c>
      <c r="F168" s="13">
        <v>0</v>
      </c>
      <c r="G168" s="13">
        <v>280000000</v>
      </c>
      <c r="H168" s="13">
        <f t="shared" si="2"/>
        <v>0</v>
      </c>
      <c r="I168" s="125">
        <v>6.4</v>
      </c>
      <c r="J168" s="147" t="s">
        <v>219</v>
      </c>
    </row>
    <row r="169" spans="1:10" ht="14.25" customHeight="1" thickBot="1">
      <c r="A169" s="169"/>
      <c r="B169" s="151">
        <v>47</v>
      </c>
      <c r="C169" s="152" t="s">
        <v>180</v>
      </c>
      <c r="D169" s="153" t="s">
        <v>333</v>
      </c>
      <c r="E169" s="22">
        <v>340000000</v>
      </c>
      <c r="F169" s="22">
        <v>0</v>
      </c>
      <c r="G169" s="22">
        <v>340000000</v>
      </c>
      <c r="H169" s="13">
        <f t="shared" si="2"/>
        <v>0</v>
      </c>
      <c r="I169" s="154">
        <v>7</v>
      </c>
      <c r="J169" s="170" t="s">
        <v>188</v>
      </c>
    </row>
    <row r="170" spans="1:10" ht="9.75" customHeight="1" thickBot="1">
      <c r="A170" s="165"/>
      <c r="B170" s="164"/>
      <c r="C170" s="165"/>
      <c r="D170" s="166"/>
      <c r="E170" s="28"/>
      <c r="F170" s="28"/>
      <c r="G170" s="28"/>
      <c r="H170" s="28"/>
      <c r="I170" s="167"/>
      <c r="J170" s="168"/>
    </row>
    <row r="171" spans="1:10">
      <c r="A171" s="500" t="s">
        <v>996</v>
      </c>
      <c r="B171" s="502" t="s">
        <v>311</v>
      </c>
      <c r="C171" s="504" t="s">
        <v>891</v>
      </c>
      <c r="D171" s="502" t="s">
        <v>312</v>
      </c>
      <c r="E171" s="506" t="s">
        <v>892</v>
      </c>
      <c r="F171" s="508" t="s">
        <v>893</v>
      </c>
      <c r="G171" s="510"/>
      <c r="H171" s="494" t="s">
        <v>174</v>
      </c>
      <c r="I171" s="496" t="s">
        <v>894</v>
      </c>
      <c r="J171" s="498" t="s">
        <v>313</v>
      </c>
    </row>
    <row r="172" spans="1:10">
      <c r="A172" s="501"/>
      <c r="B172" s="503"/>
      <c r="C172" s="505"/>
      <c r="D172" s="503"/>
      <c r="E172" s="507"/>
      <c r="F172" s="115" t="s">
        <v>176</v>
      </c>
      <c r="G172" s="115" t="s">
        <v>305</v>
      </c>
      <c r="H172" s="495"/>
      <c r="I172" s="497"/>
      <c r="J172" s="499"/>
    </row>
    <row r="173" spans="1:10">
      <c r="A173" s="117"/>
      <c r="B173" s="118"/>
      <c r="C173" s="118"/>
      <c r="D173" s="119" t="s">
        <v>177</v>
      </c>
      <c r="E173" s="44" t="s">
        <v>178</v>
      </c>
      <c r="F173" s="44" t="s">
        <v>172</v>
      </c>
      <c r="G173" s="44" t="s">
        <v>178</v>
      </c>
      <c r="H173" s="44" t="s">
        <v>178</v>
      </c>
      <c r="I173" s="120" t="s">
        <v>895</v>
      </c>
      <c r="J173" s="121" t="s">
        <v>175</v>
      </c>
    </row>
    <row r="174" spans="1:10" ht="14.25" customHeight="1">
      <c r="A174" s="122" t="s">
        <v>997</v>
      </c>
      <c r="B174" s="128" t="s">
        <v>340</v>
      </c>
      <c r="C174" s="129" t="s">
        <v>185</v>
      </c>
      <c r="D174" s="123" t="s">
        <v>692</v>
      </c>
      <c r="E174" s="13">
        <v>500000000</v>
      </c>
      <c r="F174" s="13">
        <v>0</v>
      </c>
      <c r="G174" s="13">
        <v>500000000</v>
      </c>
      <c r="H174" s="13">
        <f t="shared" ref="H174:H226" si="3">E174-G174</f>
        <v>0</v>
      </c>
      <c r="I174" s="125">
        <v>6.75</v>
      </c>
      <c r="J174" s="147" t="s">
        <v>242</v>
      </c>
    </row>
    <row r="175" spans="1:10" ht="14.25" customHeight="1">
      <c r="A175" s="127" t="s">
        <v>998</v>
      </c>
      <c r="B175" s="128">
        <v>48</v>
      </c>
      <c r="C175" s="129" t="s">
        <v>189</v>
      </c>
      <c r="D175" s="123" t="s">
        <v>999</v>
      </c>
      <c r="E175" s="13">
        <v>300000000</v>
      </c>
      <c r="F175" s="13">
        <v>0</v>
      </c>
      <c r="G175" s="13">
        <v>300000000</v>
      </c>
      <c r="H175" s="13">
        <f t="shared" si="3"/>
        <v>0</v>
      </c>
      <c r="I175" s="125">
        <v>7.7</v>
      </c>
      <c r="J175" s="147" t="s">
        <v>228</v>
      </c>
    </row>
    <row r="176" spans="1:10" ht="14.25" customHeight="1">
      <c r="A176" s="127"/>
      <c r="B176" s="128">
        <v>48</v>
      </c>
      <c r="C176" s="129" t="s">
        <v>189</v>
      </c>
      <c r="D176" s="123" t="s">
        <v>922</v>
      </c>
      <c r="E176" s="13">
        <v>140000000</v>
      </c>
      <c r="F176" s="13">
        <v>0</v>
      </c>
      <c r="G176" s="13">
        <v>140000000</v>
      </c>
      <c r="H176" s="13">
        <f t="shared" si="3"/>
        <v>0</v>
      </c>
      <c r="I176" s="125">
        <v>7.7</v>
      </c>
      <c r="J176" s="147" t="s">
        <v>228</v>
      </c>
    </row>
    <row r="177" spans="1:10" ht="14.25" customHeight="1">
      <c r="A177" s="127"/>
      <c r="B177" s="128">
        <v>48</v>
      </c>
      <c r="C177" s="124" t="s">
        <v>180</v>
      </c>
      <c r="D177" s="123" t="s">
        <v>1000</v>
      </c>
      <c r="E177" s="13">
        <v>379000000</v>
      </c>
      <c r="F177" s="13">
        <v>0</v>
      </c>
      <c r="G177" s="13">
        <v>379000000</v>
      </c>
      <c r="H177" s="13">
        <f t="shared" si="3"/>
        <v>0</v>
      </c>
      <c r="I177" s="125">
        <v>8.5</v>
      </c>
      <c r="J177" s="147" t="s">
        <v>194</v>
      </c>
    </row>
    <row r="178" spans="1:10" ht="14.25" customHeight="1">
      <c r="A178" s="127"/>
      <c r="B178" s="128">
        <v>48</v>
      </c>
      <c r="C178" s="129" t="s">
        <v>185</v>
      </c>
      <c r="D178" s="123" t="s">
        <v>925</v>
      </c>
      <c r="E178" s="13">
        <v>981000000</v>
      </c>
      <c r="F178" s="13">
        <v>0</v>
      </c>
      <c r="G178" s="13">
        <v>981000000</v>
      </c>
      <c r="H178" s="13">
        <f t="shared" si="3"/>
        <v>0</v>
      </c>
      <c r="I178" s="125">
        <v>8</v>
      </c>
      <c r="J178" s="147" t="s">
        <v>244</v>
      </c>
    </row>
    <row r="179" spans="1:10" ht="14.25" customHeight="1">
      <c r="A179" s="127"/>
      <c r="B179" s="128">
        <v>49</v>
      </c>
      <c r="C179" s="129" t="s">
        <v>189</v>
      </c>
      <c r="D179" s="123" t="s">
        <v>928</v>
      </c>
      <c r="E179" s="13">
        <v>150000000</v>
      </c>
      <c r="F179" s="13">
        <v>0</v>
      </c>
      <c r="G179" s="13">
        <v>150000000</v>
      </c>
      <c r="H179" s="13">
        <f t="shared" si="3"/>
        <v>0</v>
      </c>
      <c r="I179" s="125">
        <v>8.1999999999999993</v>
      </c>
      <c r="J179" s="147" t="s">
        <v>242</v>
      </c>
    </row>
    <row r="180" spans="1:10" ht="14.25" customHeight="1">
      <c r="A180" s="127"/>
      <c r="B180" s="128">
        <v>49</v>
      </c>
      <c r="C180" s="124" t="s">
        <v>180</v>
      </c>
      <c r="D180" s="123" t="s">
        <v>1001</v>
      </c>
      <c r="E180" s="13">
        <v>150000000</v>
      </c>
      <c r="F180" s="13">
        <v>0</v>
      </c>
      <c r="G180" s="13">
        <v>150000000</v>
      </c>
      <c r="H180" s="13">
        <f t="shared" si="3"/>
        <v>0</v>
      </c>
      <c r="I180" s="125">
        <v>9.1</v>
      </c>
      <c r="J180" s="147" t="s">
        <v>198</v>
      </c>
    </row>
    <row r="181" spans="1:10" ht="14.25" customHeight="1">
      <c r="A181" s="127"/>
      <c r="B181" s="128">
        <v>49</v>
      </c>
      <c r="C181" s="129" t="s">
        <v>185</v>
      </c>
      <c r="D181" s="123" t="s">
        <v>1002</v>
      </c>
      <c r="E181" s="13">
        <v>700000000</v>
      </c>
      <c r="F181" s="13">
        <v>0</v>
      </c>
      <c r="G181" s="13">
        <v>700000000</v>
      </c>
      <c r="H181" s="13">
        <f t="shared" si="3"/>
        <v>0</v>
      </c>
      <c r="I181" s="125">
        <v>8</v>
      </c>
      <c r="J181" s="147" t="s">
        <v>244</v>
      </c>
    </row>
    <row r="182" spans="1:10" ht="14.25" customHeight="1">
      <c r="A182" s="127"/>
      <c r="B182" s="128">
        <v>50</v>
      </c>
      <c r="C182" s="129" t="s">
        <v>189</v>
      </c>
      <c r="D182" s="123" t="s">
        <v>1003</v>
      </c>
      <c r="E182" s="13">
        <v>300000000</v>
      </c>
      <c r="F182" s="13">
        <v>0</v>
      </c>
      <c r="G182" s="13">
        <v>300000000</v>
      </c>
      <c r="H182" s="13">
        <f t="shared" si="3"/>
        <v>0</v>
      </c>
      <c r="I182" s="125">
        <v>7.7</v>
      </c>
      <c r="J182" s="147" t="s">
        <v>246</v>
      </c>
    </row>
    <row r="183" spans="1:10" ht="14.25" customHeight="1">
      <c r="A183" s="127"/>
      <c r="B183" s="128">
        <v>50</v>
      </c>
      <c r="C183" s="129" t="s">
        <v>185</v>
      </c>
      <c r="D183" s="123" t="s">
        <v>1004</v>
      </c>
      <c r="E183" s="13">
        <v>700000000</v>
      </c>
      <c r="F183" s="13">
        <v>0</v>
      </c>
      <c r="G183" s="13">
        <v>700000000</v>
      </c>
      <c r="H183" s="13">
        <f t="shared" si="3"/>
        <v>0</v>
      </c>
      <c r="I183" s="125">
        <v>7.5</v>
      </c>
      <c r="J183" s="147" t="s">
        <v>249</v>
      </c>
    </row>
    <row r="184" spans="1:10" ht="14.25" customHeight="1">
      <c r="A184" s="127"/>
      <c r="B184" s="128">
        <v>51</v>
      </c>
      <c r="C184" s="129" t="s">
        <v>189</v>
      </c>
      <c r="D184" s="123" t="s">
        <v>940</v>
      </c>
      <c r="E184" s="13">
        <v>400000000</v>
      </c>
      <c r="F184" s="13">
        <v>0</v>
      </c>
      <c r="G184" s="13">
        <v>400000000</v>
      </c>
      <c r="H184" s="13">
        <f t="shared" si="3"/>
        <v>0</v>
      </c>
      <c r="I184" s="125">
        <v>6.95</v>
      </c>
      <c r="J184" s="147" t="s">
        <v>244</v>
      </c>
    </row>
    <row r="185" spans="1:10" ht="14.25" customHeight="1">
      <c r="A185" s="127"/>
      <c r="B185" s="128">
        <v>51</v>
      </c>
      <c r="C185" s="129" t="s">
        <v>189</v>
      </c>
      <c r="D185" s="123" t="s">
        <v>1005</v>
      </c>
      <c r="E185" s="13">
        <v>440000000</v>
      </c>
      <c r="F185" s="13">
        <v>0</v>
      </c>
      <c r="G185" s="13">
        <v>440000000</v>
      </c>
      <c r="H185" s="13">
        <f t="shared" si="3"/>
        <v>0</v>
      </c>
      <c r="I185" s="125">
        <v>6.7</v>
      </c>
      <c r="J185" s="147" t="s">
        <v>247</v>
      </c>
    </row>
    <row r="186" spans="1:10" ht="14.25" customHeight="1">
      <c r="A186" s="127"/>
      <c r="B186" s="128">
        <v>52</v>
      </c>
      <c r="C186" s="129" t="s">
        <v>189</v>
      </c>
      <c r="D186" s="123" t="s">
        <v>952</v>
      </c>
      <c r="E186" s="13">
        <v>400000000</v>
      </c>
      <c r="F186" s="13">
        <v>0</v>
      </c>
      <c r="G186" s="13">
        <v>400000000</v>
      </c>
      <c r="H186" s="13">
        <f t="shared" si="3"/>
        <v>0</v>
      </c>
      <c r="I186" s="125">
        <v>6.25</v>
      </c>
      <c r="J186" s="147" t="s">
        <v>249</v>
      </c>
    </row>
    <row r="187" spans="1:10" ht="14.25" customHeight="1">
      <c r="A187" s="127"/>
      <c r="B187" s="128">
        <v>53</v>
      </c>
      <c r="C187" s="129" t="s">
        <v>189</v>
      </c>
      <c r="D187" s="123" t="s">
        <v>1006</v>
      </c>
      <c r="E187" s="13">
        <v>209000000</v>
      </c>
      <c r="F187" s="13">
        <v>0</v>
      </c>
      <c r="G187" s="13">
        <v>209000000</v>
      </c>
      <c r="H187" s="13">
        <f t="shared" si="3"/>
        <v>0</v>
      </c>
      <c r="I187" s="125">
        <v>7.25</v>
      </c>
      <c r="J187" s="147" t="s">
        <v>251</v>
      </c>
    </row>
    <row r="188" spans="1:10" ht="14.25" customHeight="1">
      <c r="A188" s="127"/>
      <c r="B188" s="128">
        <v>54</v>
      </c>
      <c r="C188" s="129" t="s">
        <v>189</v>
      </c>
      <c r="D188" s="123" t="s">
        <v>957</v>
      </c>
      <c r="E188" s="13">
        <v>44000000</v>
      </c>
      <c r="F188" s="13">
        <v>0</v>
      </c>
      <c r="G188" s="13">
        <v>44000000</v>
      </c>
      <c r="H188" s="13">
        <f t="shared" si="3"/>
        <v>0</v>
      </c>
      <c r="I188" s="125">
        <v>7.25</v>
      </c>
      <c r="J188" s="147" t="s">
        <v>251</v>
      </c>
    </row>
    <row r="189" spans="1:10" ht="14.25" customHeight="1">
      <c r="A189" s="127"/>
      <c r="B189" s="128">
        <v>54</v>
      </c>
      <c r="C189" s="129" t="s">
        <v>189</v>
      </c>
      <c r="D189" s="123" t="s">
        <v>958</v>
      </c>
      <c r="E189" s="13">
        <v>40000000</v>
      </c>
      <c r="F189" s="13">
        <v>0</v>
      </c>
      <c r="G189" s="13">
        <v>40000000</v>
      </c>
      <c r="H189" s="13">
        <f t="shared" si="3"/>
        <v>0</v>
      </c>
      <c r="I189" s="125">
        <v>8.6</v>
      </c>
      <c r="J189" s="147" t="s">
        <v>959</v>
      </c>
    </row>
    <row r="190" spans="1:10" ht="14.25" customHeight="1">
      <c r="A190" s="127"/>
      <c r="B190" s="128">
        <v>55</v>
      </c>
      <c r="C190" s="129" t="s">
        <v>189</v>
      </c>
      <c r="D190" s="123" t="s">
        <v>1007</v>
      </c>
      <c r="E190" s="13">
        <v>30000000</v>
      </c>
      <c r="F190" s="13">
        <v>0</v>
      </c>
      <c r="G190" s="13">
        <v>30000000</v>
      </c>
      <c r="H190" s="13">
        <f t="shared" si="3"/>
        <v>0</v>
      </c>
      <c r="I190" s="125">
        <v>8.1</v>
      </c>
      <c r="J190" s="147" t="s">
        <v>959</v>
      </c>
    </row>
    <row r="191" spans="1:10" ht="14.25" customHeight="1">
      <c r="A191" s="127"/>
      <c r="B191" s="128">
        <v>55</v>
      </c>
      <c r="C191" s="129" t="s">
        <v>189</v>
      </c>
      <c r="D191" s="123" t="s">
        <v>969</v>
      </c>
      <c r="E191" s="13">
        <v>20000000</v>
      </c>
      <c r="F191" s="13">
        <v>0</v>
      </c>
      <c r="G191" s="13">
        <v>20000000</v>
      </c>
      <c r="H191" s="13">
        <f t="shared" si="3"/>
        <v>0</v>
      </c>
      <c r="I191" s="125">
        <v>7.4</v>
      </c>
      <c r="J191" s="147" t="s">
        <v>1008</v>
      </c>
    </row>
    <row r="192" spans="1:10" ht="14.25" customHeight="1">
      <c r="A192" s="127"/>
      <c r="B192" s="123" t="s">
        <v>1009</v>
      </c>
      <c r="C192" s="129" t="s">
        <v>189</v>
      </c>
      <c r="D192" s="123" t="s">
        <v>1010</v>
      </c>
      <c r="E192" s="13">
        <v>8000000</v>
      </c>
      <c r="F192" s="13">
        <v>0</v>
      </c>
      <c r="G192" s="13">
        <v>8000000</v>
      </c>
      <c r="H192" s="13">
        <f t="shared" si="3"/>
        <v>0</v>
      </c>
      <c r="I192" s="125">
        <v>2.0499999999999998</v>
      </c>
      <c r="J192" s="147" t="s">
        <v>1008</v>
      </c>
    </row>
    <row r="193" spans="1:10" ht="14.25" customHeight="1">
      <c r="A193" s="127"/>
      <c r="B193" s="123">
        <v>17</v>
      </c>
      <c r="C193" s="129" t="s">
        <v>189</v>
      </c>
      <c r="D193" s="123" t="s">
        <v>349</v>
      </c>
      <c r="E193" s="13">
        <v>8000000</v>
      </c>
      <c r="F193" s="13">
        <v>837208</v>
      </c>
      <c r="G193" s="13">
        <v>8000000</v>
      </c>
      <c r="H193" s="13">
        <f t="shared" si="3"/>
        <v>0</v>
      </c>
      <c r="I193" s="125">
        <v>2.0499999999999998</v>
      </c>
      <c r="J193" s="147" t="s">
        <v>260</v>
      </c>
    </row>
    <row r="194" spans="1:10" ht="14.25" customHeight="1">
      <c r="A194" s="127"/>
      <c r="B194" s="123">
        <v>19</v>
      </c>
      <c r="C194" s="129" t="s">
        <v>1011</v>
      </c>
      <c r="D194" s="128" t="s">
        <v>1012</v>
      </c>
      <c r="E194" s="13">
        <v>2900000</v>
      </c>
      <c r="F194" s="13">
        <v>0</v>
      </c>
      <c r="G194" s="13">
        <v>2900000</v>
      </c>
      <c r="H194" s="13">
        <f t="shared" si="3"/>
        <v>0</v>
      </c>
      <c r="I194" s="125">
        <v>2.4</v>
      </c>
      <c r="J194" s="147" t="s">
        <v>970</v>
      </c>
    </row>
    <row r="195" spans="1:10" ht="17.25" customHeight="1">
      <c r="A195" s="136" t="s">
        <v>910</v>
      </c>
      <c r="B195" s="137" t="s">
        <v>173</v>
      </c>
      <c r="C195" s="138" t="s">
        <v>173</v>
      </c>
      <c r="D195" s="139" t="s">
        <v>173</v>
      </c>
      <c r="E195" s="18">
        <f>SUM(E162:E169,E174:E194)</f>
        <v>7616900000</v>
      </c>
      <c r="F195" s="18">
        <f>SUM(F162:F169,F174:F194)</f>
        <v>837208</v>
      </c>
      <c r="G195" s="18">
        <f>SUM(G162:G169,G174:G194)</f>
        <v>7616900000</v>
      </c>
      <c r="H195" s="18">
        <f>SUM(H162:H169,H174:H194)</f>
        <v>0</v>
      </c>
      <c r="I195" s="140"/>
      <c r="J195" s="141" t="s">
        <v>173</v>
      </c>
    </row>
    <row r="196" spans="1:10" ht="14.25" customHeight="1">
      <c r="A196" s="122" t="s">
        <v>1013</v>
      </c>
      <c r="B196" s="123" t="s">
        <v>1014</v>
      </c>
      <c r="C196" s="129" t="s">
        <v>189</v>
      </c>
      <c r="D196" s="123" t="s">
        <v>1015</v>
      </c>
      <c r="E196" s="13">
        <v>1473000000</v>
      </c>
      <c r="F196" s="144">
        <v>0</v>
      </c>
      <c r="G196" s="13">
        <v>1473000000</v>
      </c>
      <c r="H196" s="13">
        <f t="shared" si="3"/>
        <v>0</v>
      </c>
      <c r="I196" s="125">
        <v>7.4</v>
      </c>
      <c r="J196" s="126" t="s">
        <v>260</v>
      </c>
    </row>
    <row r="197" spans="1:10" ht="14.25" customHeight="1">
      <c r="A197" s="127" t="s">
        <v>182</v>
      </c>
      <c r="B197" s="128">
        <v>57</v>
      </c>
      <c r="C197" s="129" t="s">
        <v>189</v>
      </c>
      <c r="D197" s="123" t="s">
        <v>1016</v>
      </c>
      <c r="E197" s="13">
        <v>1848000000</v>
      </c>
      <c r="F197" s="13">
        <v>0</v>
      </c>
      <c r="G197" s="13">
        <v>1848000000</v>
      </c>
      <c r="H197" s="13">
        <f t="shared" si="3"/>
        <v>0</v>
      </c>
      <c r="I197" s="125">
        <v>7.4</v>
      </c>
      <c r="J197" s="126" t="s">
        <v>260</v>
      </c>
    </row>
    <row r="198" spans="1:10" ht="14.25" customHeight="1">
      <c r="A198" s="171"/>
      <c r="B198" s="128">
        <v>57</v>
      </c>
      <c r="C198" s="129" t="s">
        <v>185</v>
      </c>
      <c r="D198" s="123" t="s">
        <v>1017</v>
      </c>
      <c r="E198" s="13">
        <v>2386413639</v>
      </c>
      <c r="F198" s="13">
        <v>0</v>
      </c>
      <c r="G198" s="13">
        <v>2386413639</v>
      </c>
      <c r="H198" s="13">
        <f t="shared" si="3"/>
        <v>0</v>
      </c>
      <c r="I198" s="125">
        <v>7.3</v>
      </c>
      <c r="J198" s="147" t="s">
        <v>963</v>
      </c>
    </row>
    <row r="199" spans="1:10" ht="14.25" customHeight="1">
      <c r="A199" s="127"/>
      <c r="B199" s="128">
        <v>58</v>
      </c>
      <c r="C199" s="129" t="s">
        <v>189</v>
      </c>
      <c r="D199" s="123" t="s">
        <v>1018</v>
      </c>
      <c r="E199" s="13">
        <v>1485000000</v>
      </c>
      <c r="F199" s="13">
        <v>0</v>
      </c>
      <c r="G199" s="13">
        <v>1485000000</v>
      </c>
      <c r="H199" s="13">
        <f t="shared" si="3"/>
        <v>0</v>
      </c>
      <c r="I199" s="125">
        <v>7.2</v>
      </c>
      <c r="J199" s="147" t="s">
        <v>263</v>
      </c>
    </row>
    <row r="200" spans="1:10" ht="14.25" customHeight="1">
      <c r="A200" s="127"/>
      <c r="B200" s="128">
        <v>58</v>
      </c>
      <c r="C200" s="129" t="s">
        <v>189</v>
      </c>
      <c r="D200" s="123" t="s">
        <v>1019</v>
      </c>
      <c r="E200" s="13">
        <v>1370000000</v>
      </c>
      <c r="F200" s="13">
        <v>0</v>
      </c>
      <c r="G200" s="13">
        <v>1370000000</v>
      </c>
      <c r="H200" s="13">
        <f t="shared" si="3"/>
        <v>0</v>
      </c>
      <c r="I200" s="125">
        <v>7.2</v>
      </c>
      <c r="J200" s="147" t="s">
        <v>1020</v>
      </c>
    </row>
    <row r="201" spans="1:10" ht="14.25" customHeight="1">
      <c r="A201" s="127"/>
      <c r="B201" s="128">
        <v>58</v>
      </c>
      <c r="C201" s="129" t="s">
        <v>189</v>
      </c>
      <c r="D201" s="123" t="s">
        <v>1021</v>
      </c>
      <c r="E201" s="13">
        <v>763000000</v>
      </c>
      <c r="F201" s="13">
        <v>0</v>
      </c>
      <c r="G201" s="13">
        <v>763000000</v>
      </c>
      <c r="H201" s="13">
        <f t="shared" si="3"/>
        <v>0</v>
      </c>
      <c r="I201" s="125">
        <v>7.2</v>
      </c>
      <c r="J201" s="147" t="s">
        <v>264</v>
      </c>
    </row>
    <row r="202" spans="1:10" ht="14.25" customHeight="1">
      <c r="A202" s="127"/>
      <c r="B202" s="128">
        <v>58</v>
      </c>
      <c r="C202" s="129" t="s">
        <v>185</v>
      </c>
      <c r="D202" s="123" t="s">
        <v>1022</v>
      </c>
      <c r="E202" s="13">
        <v>301471</v>
      </c>
      <c r="F202" s="13">
        <v>0</v>
      </c>
      <c r="G202" s="13">
        <v>301471</v>
      </c>
      <c r="H202" s="13">
        <f t="shared" si="3"/>
        <v>0</v>
      </c>
      <c r="I202" s="125">
        <v>7.1</v>
      </c>
      <c r="J202" s="147" t="s">
        <v>210</v>
      </c>
    </row>
    <row r="203" spans="1:10" ht="14.25" customHeight="1">
      <c r="A203" s="127"/>
      <c r="B203" s="128">
        <v>59</v>
      </c>
      <c r="C203" s="129" t="s">
        <v>189</v>
      </c>
      <c r="D203" s="123" t="s">
        <v>1023</v>
      </c>
      <c r="E203" s="13">
        <v>200000000</v>
      </c>
      <c r="F203" s="13">
        <v>0</v>
      </c>
      <c r="G203" s="13">
        <v>200000000</v>
      </c>
      <c r="H203" s="13">
        <f t="shared" si="3"/>
        <v>0</v>
      </c>
      <c r="I203" s="125">
        <v>7.2</v>
      </c>
      <c r="J203" s="147" t="s">
        <v>264</v>
      </c>
    </row>
    <row r="204" spans="1:10" ht="14.25" customHeight="1">
      <c r="A204" s="127"/>
      <c r="B204" s="128">
        <v>59</v>
      </c>
      <c r="C204" s="129" t="s">
        <v>266</v>
      </c>
      <c r="D204" s="123" t="s">
        <v>1024</v>
      </c>
      <c r="E204" s="13">
        <v>1000000000</v>
      </c>
      <c r="F204" s="13">
        <v>0</v>
      </c>
      <c r="G204" s="13">
        <v>1000000000</v>
      </c>
      <c r="H204" s="13">
        <f t="shared" si="3"/>
        <v>0</v>
      </c>
      <c r="I204" s="125">
        <v>6.9</v>
      </c>
      <c r="J204" s="147" t="s">
        <v>237</v>
      </c>
    </row>
    <row r="205" spans="1:10" ht="14.25" customHeight="1">
      <c r="A205" s="127"/>
      <c r="B205" s="128">
        <v>59</v>
      </c>
      <c r="C205" s="129" t="s">
        <v>189</v>
      </c>
      <c r="D205" s="123" t="s">
        <v>1025</v>
      </c>
      <c r="E205" s="13">
        <v>923000000</v>
      </c>
      <c r="F205" s="13">
        <v>0</v>
      </c>
      <c r="G205" s="13">
        <v>923000000</v>
      </c>
      <c r="H205" s="13">
        <f t="shared" si="3"/>
        <v>0</v>
      </c>
      <c r="I205" s="125">
        <v>7.2</v>
      </c>
      <c r="J205" s="147" t="s">
        <v>264</v>
      </c>
    </row>
    <row r="206" spans="1:10" ht="14.25" customHeight="1">
      <c r="A206" s="127"/>
      <c r="B206" s="128">
        <v>59</v>
      </c>
      <c r="C206" s="129" t="s">
        <v>189</v>
      </c>
      <c r="D206" s="123" t="s">
        <v>1026</v>
      </c>
      <c r="E206" s="13">
        <v>389000000</v>
      </c>
      <c r="F206" s="13">
        <v>0</v>
      </c>
      <c r="G206" s="13">
        <v>389000000</v>
      </c>
      <c r="H206" s="13">
        <f t="shared" si="3"/>
        <v>0</v>
      </c>
      <c r="I206" s="125">
        <v>6.9</v>
      </c>
      <c r="J206" s="147" t="s">
        <v>267</v>
      </c>
    </row>
    <row r="207" spans="1:10" ht="14.25" customHeight="1">
      <c r="A207" s="122"/>
      <c r="B207" s="128">
        <v>59</v>
      </c>
      <c r="C207" s="129" t="s">
        <v>185</v>
      </c>
      <c r="D207" s="123" t="s">
        <v>1027</v>
      </c>
      <c r="E207" s="13">
        <v>1147273396</v>
      </c>
      <c r="F207" s="13">
        <v>0</v>
      </c>
      <c r="G207" s="13">
        <v>1147273396</v>
      </c>
      <c r="H207" s="13">
        <f t="shared" si="3"/>
        <v>0</v>
      </c>
      <c r="I207" s="125">
        <v>6.3</v>
      </c>
      <c r="J207" s="147" t="s">
        <v>963</v>
      </c>
    </row>
    <row r="208" spans="1:10" ht="14.25" customHeight="1">
      <c r="A208" s="127"/>
      <c r="B208" s="128">
        <v>60</v>
      </c>
      <c r="C208" s="129" t="s">
        <v>266</v>
      </c>
      <c r="D208" s="123" t="s">
        <v>1027</v>
      </c>
      <c r="E208" s="13">
        <v>1000000000</v>
      </c>
      <c r="F208" s="13">
        <v>0</v>
      </c>
      <c r="G208" s="13">
        <v>1000000000</v>
      </c>
      <c r="H208" s="13">
        <f t="shared" si="3"/>
        <v>0</v>
      </c>
      <c r="I208" s="125">
        <v>5.8</v>
      </c>
      <c r="J208" s="147" t="s">
        <v>219</v>
      </c>
    </row>
    <row r="209" spans="1:10" ht="14.25" customHeight="1">
      <c r="A209" s="127"/>
      <c r="B209" s="128">
        <v>60</v>
      </c>
      <c r="C209" s="129" t="s">
        <v>189</v>
      </c>
      <c r="D209" s="123" t="s">
        <v>1028</v>
      </c>
      <c r="E209" s="13">
        <v>805000000</v>
      </c>
      <c r="F209" s="13">
        <v>0</v>
      </c>
      <c r="G209" s="13">
        <v>805000000</v>
      </c>
      <c r="H209" s="13">
        <f t="shared" si="3"/>
        <v>0</v>
      </c>
      <c r="I209" s="125">
        <v>6.4</v>
      </c>
      <c r="J209" s="147" t="s">
        <v>267</v>
      </c>
    </row>
    <row r="210" spans="1:10" ht="14.25" customHeight="1">
      <c r="A210" s="127"/>
      <c r="B210" s="128">
        <v>60</v>
      </c>
      <c r="C210" s="129" t="s">
        <v>185</v>
      </c>
      <c r="D210" s="123" t="s">
        <v>1029</v>
      </c>
      <c r="E210" s="13">
        <v>527791158</v>
      </c>
      <c r="F210" s="13">
        <v>0</v>
      </c>
      <c r="G210" s="13">
        <v>527791158</v>
      </c>
      <c r="H210" s="13">
        <f t="shared" si="3"/>
        <v>0</v>
      </c>
      <c r="I210" s="125">
        <v>5.2</v>
      </c>
      <c r="J210" s="147" t="s">
        <v>963</v>
      </c>
    </row>
    <row r="211" spans="1:10" ht="14.25" customHeight="1">
      <c r="A211" s="122"/>
      <c r="B211" s="123">
        <v>60</v>
      </c>
      <c r="C211" s="129" t="s">
        <v>189</v>
      </c>
      <c r="D211" s="123" t="s">
        <v>1030</v>
      </c>
      <c r="E211" s="13">
        <v>355000000</v>
      </c>
      <c r="F211" s="13">
        <v>18063870</v>
      </c>
      <c r="G211" s="13">
        <v>272302318</v>
      </c>
      <c r="H211" s="13">
        <f t="shared" si="3"/>
        <v>82697682</v>
      </c>
      <c r="I211" s="125">
        <v>5.4</v>
      </c>
      <c r="J211" s="147" t="s">
        <v>269</v>
      </c>
    </row>
    <row r="212" spans="1:10" ht="14.25" customHeight="1">
      <c r="A212" s="127"/>
      <c r="B212" s="128">
        <v>61</v>
      </c>
      <c r="C212" s="129" t="s">
        <v>189</v>
      </c>
      <c r="D212" s="123" t="s">
        <v>1029</v>
      </c>
      <c r="E212" s="13">
        <v>390000000</v>
      </c>
      <c r="F212" s="13">
        <v>20876675</v>
      </c>
      <c r="G212" s="13">
        <v>294425099</v>
      </c>
      <c r="H212" s="13">
        <f t="shared" si="3"/>
        <v>95574901</v>
      </c>
      <c r="I212" s="125">
        <v>5.4</v>
      </c>
      <c r="J212" s="147" t="s">
        <v>269</v>
      </c>
    </row>
    <row r="213" spans="1:10" ht="14.25" customHeight="1">
      <c r="A213" s="127"/>
      <c r="B213" s="128">
        <v>61</v>
      </c>
      <c r="C213" s="129" t="s">
        <v>266</v>
      </c>
      <c r="D213" s="123" t="s">
        <v>1029</v>
      </c>
      <c r="E213" s="13">
        <v>2000000000</v>
      </c>
      <c r="F213" s="13">
        <v>0</v>
      </c>
      <c r="G213" s="13">
        <v>2000000000</v>
      </c>
      <c r="H213" s="13">
        <f t="shared" si="3"/>
        <v>0</v>
      </c>
      <c r="I213" s="125">
        <v>5.0999999999999996</v>
      </c>
      <c r="J213" s="147" t="s">
        <v>221</v>
      </c>
    </row>
    <row r="214" spans="1:10" ht="14.25" customHeight="1">
      <c r="A214" s="127"/>
      <c r="B214" s="128">
        <v>61</v>
      </c>
      <c r="C214" s="129" t="s">
        <v>189</v>
      </c>
      <c r="D214" s="123" t="s">
        <v>1031</v>
      </c>
      <c r="E214" s="13">
        <v>464000000</v>
      </c>
      <c r="F214" s="13">
        <v>24028441</v>
      </c>
      <c r="G214" s="13">
        <v>355903794</v>
      </c>
      <c r="H214" s="13">
        <f t="shared" si="3"/>
        <v>108096206</v>
      </c>
      <c r="I214" s="125">
        <v>4.7</v>
      </c>
      <c r="J214" s="147" t="s">
        <v>269</v>
      </c>
    </row>
    <row r="215" spans="1:10" ht="14.25" customHeight="1">
      <c r="A215" s="122"/>
      <c r="B215" s="123">
        <v>58</v>
      </c>
      <c r="C215" s="129" t="s">
        <v>185</v>
      </c>
      <c r="D215" s="123" t="s">
        <v>1032</v>
      </c>
      <c r="E215" s="13">
        <v>2435157074</v>
      </c>
      <c r="F215" s="13">
        <v>0</v>
      </c>
      <c r="G215" s="13">
        <v>2435157074</v>
      </c>
      <c r="H215" s="13">
        <f t="shared" si="3"/>
        <v>0</v>
      </c>
      <c r="I215" s="125">
        <v>7.1</v>
      </c>
      <c r="J215" s="147" t="s">
        <v>963</v>
      </c>
    </row>
    <row r="216" spans="1:10" ht="14.25" customHeight="1">
      <c r="A216" s="127"/>
      <c r="B216" s="128">
        <v>61</v>
      </c>
      <c r="C216" s="129" t="s">
        <v>189</v>
      </c>
      <c r="D216" s="123" t="s">
        <v>1033</v>
      </c>
      <c r="E216" s="13">
        <v>80000000</v>
      </c>
      <c r="F216" s="13">
        <v>4152657</v>
      </c>
      <c r="G216" s="13">
        <v>58374528</v>
      </c>
      <c r="H216" s="13">
        <f t="shared" si="3"/>
        <v>21625472</v>
      </c>
      <c r="I216" s="125">
        <v>5.3</v>
      </c>
      <c r="J216" s="147" t="s">
        <v>271</v>
      </c>
    </row>
    <row r="217" spans="1:10" ht="14.25" customHeight="1">
      <c r="A217" s="127"/>
      <c r="B217" s="128">
        <v>62</v>
      </c>
      <c r="C217" s="129" t="s">
        <v>273</v>
      </c>
      <c r="D217" s="123" t="s">
        <v>1034</v>
      </c>
      <c r="E217" s="13">
        <v>229513000</v>
      </c>
      <c r="F217" s="13">
        <v>0</v>
      </c>
      <c r="G217" s="13">
        <v>229513000</v>
      </c>
      <c r="H217" s="13">
        <f t="shared" si="3"/>
        <v>0</v>
      </c>
      <c r="I217" s="125" t="s">
        <v>274</v>
      </c>
      <c r="J217" s="149" t="s">
        <v>225</v>
      </c>
    </row>
    <row r="218" spans="1:10" ht="14.25" customHeight="1">
      <c r="A218" s="127"/>
      <c r="B218" s="123">
        <v>61</v>
      </c>
      <c r="C218" s="129" t="s">
        <v>185</v>
      </c>
      <c r="D218" s="123" t="s">
        <v>1035</v>
      </c>
      <c r="E218" s="13">
        <v>340191842</v>
      </c>
      <c r="F218" s="13">
        <v>0</v>
      </c>
      <c r="G218" s="13">
        <v>340191842</v>
      </c>
      <c r="H218" s="13">
        <f t="shared" si="3"/>
        <v>0</v>
      </c>
      <c r="I218" s="125">
        <v>5</v>
      </c>
      <c r="J218" s="147" t="s">
        <v>963</v>
      </c>
    </row>
    <row r="219" spans="1:10" ht="14.25" customHeight="1">
      <c r="A219" s="127"/>
      <c r="B219" s="123">
        <v>62</v>
      </c>
      <c r="C219" s="129" t="s">
        <v>266</v>
      </c>
      <c r="D219" s="123" t="s">
        <v>1035</v>
      </c>
      <c r="E219" s="13">
        <v>1000000000</v>
      </c>
      <c r="F219" s="13">
        <v>0</v>
      </c>
      <c r="G219" s="13">
        <v>1000000000</v>
      </c>
      <c r="H219" s="13">
        <f t="shared" si="3"/>
        <v>0</v>
      </c>
      <c r="I219" s="125">
        <v>4.8</v>
      </c>
      <c r="J219" s="126" t="s">
        <v>225</v>
      </c>
    </row>
    <row r="220" spans="1:10" ht="14.25" customHeight="1">
      <c r="A220" s="127"/>
      <c r="B220" s="123">
        <v>63</v>
      </c>
      <c r="C220" s="129" t="s">
        <v>273</v>
      </c>
      <c r="D220" s="123" t="s">
        <v>1036</v>
      </c>
      <c r="E220" s="13">
        <v>88343000</v>
      </c>
      <c r="F220" s="13">
        <v>0</v>
      </c>
      <c r="G220" s="13">
        <v>88343000</v>
      </c>
      <c r="H220" s="13">
        <f t="shared" si="3"/>
        <v>0</v>
      </c>
      <c r="I220" s="125" t="s">
        <v>274</v>
      </c>
      <c r="J220" s="126" t="s">
        <v>228</v>
      </c>
    </row>
    <row r="221" spans="1:10" ht="14.25" customHeight="1">
      <c r="A221" s="127"/>
      <c r="B221" s="123">
        <v>63</v>
      </c>
      <c r="C221" s="129" t="s">
        <v>273</v>
      </c>
      <c r="D221" s="123" t="s">
        <v>334</v>
      </c>
      <c r="E221" s="13">
        <v>138400000</v>
      </c>
      <c r="F221" s="13">
        <v>0</v>
      </c>
      <c r="G221" s="13">
        <v>138400000</v>
      </c>
      <c r="H221" s="13">
        <f t="shared" si="3"/>
        <v>0</v>
      </c>
      <c r="I221" s="125" t="s">
        <v>274</v>
      </c>
      <c r="J221" s="126" t="s">
        <v>228</v>
      </c>
    </row>
    <row r="222" spans="1:10" ht="14.25" customHeight="1">
      <c r="A222" s="127"/>
      <c r="B222" s="123">
        <v>62</v>
      </c>
      <c r="C222" s="129" t="s">
        <v>189</v>
      </c>
      <c r="D222" s="123" t="s">
        <v>335</v>
      </c>
      <c r="E222" s="13">
        <v>837000000</v>
      </c>
      <c r="F222" s="13">
        <v>39791013</v>
      </c>
      <c r="G222" s="13">
        <v>552701267</v>
      </c>
      <c r="H222" s="13">
        <f t="shared" si="3"/>
        <v>284298733</v>
      </c>
      <c r="I222" s="125">
        <v>4.95</v>
      </c>
      <c r="J222" s="126" t="s">
        <v>276</v>
      </c>
    </row>
    <row r="223" spans="1:10" ht="14.25" customHeight="1">
      <c r="A223" s="127"/>
      <c r="B223" s="123">
        <v>62</v>
      </c>
      <c r="C223" s="129" t="s">
        <v>185</v>
      </c>
      <c r="D223" s="123" t="s">
        <v>336</v>
      </c>
      <c r="E223" s="13">
        <v>308504686</v>
      </c>
      <c r="F223" s="13">
        <v>0</v>
      </c>
      <c r="G223" s="13">
        <v>308504686</v>
      </c>
      <c r="H223" s="13">
        <f t="shared" si="3"/>
        <v>0</v>
      </c>
      <c r="I223" s="125">
        <v>4.8499999999999996</v>
      </c>
      <c r="J223" s="147" t="s">
        <v>1037</v>
      </c>
    </row>
    <row r="224" spans="1:10" ht="14.25" customHeight="1">
      <c r="A224" s="127"/>
      <c r="B224" s="123">
        <v>63</v>
      </c>
      <c r="C224" s="129" t="s">
        <v>273</v>
      </c>
      <c r="D224" s="123" t="s">
        <v>336</v>
      </c>
      <c r="E224" s="13">
        <v>617596000</v>
      </c>
      <c r="F224" s="13">
        <v>0</v>
      </c>
      <c r="G224" s="13">
        <v>617596000</v>
      </c>
      <c r="H224" s="13">
        <f t="shared" si="3"/>
        <v>0</v>
      </c>
      <c r="I224" s="125" t="s">
        <v>274</v>
      </c>
      <c r="J224" s="126" t="s">
        <v>228</v>
      </c>
    </row>
    <row r="225" spans="1:10" ht="14.25" customHeight="1">
      <c r="A225" s="127"/>
      <c r="B225" s="123">
        <v>63</v>
      </c>
      <c r="C225" s="129" t="s">
        <v>180</v>
      </c>
      <c r="D225" s="123" t="s">
        <v>337</v>
      </c>
      <c r="E225" s="13">
        <v>2000000000</v>
      </c>
      <c r="F225" s="13">
        <v>0</v>
      </c>
      <c r="G225" s="13">
        <v>2000000000</v>
      </c>
      <c r="H225" s="13">
        <f t="shared" si="3"/>
        <v>0</v>
      </c>
      <c r="I225" s="125">
        <v>4.8</v>
      </c>
      <c r="J225" s="126" t="s">
        <v>219</v>
      </c>
    </row>
    <row r="226" spans="1:10" ht="14.25" customHeight="1" thickBot="1">
      <c r="A226" s="169"/>
      <c r="B226" s="153" t="s">
        <v>338</v>
      </c>
      <c r="C226" s="152" t="s">
        <v>273</v>
      </c>
      <c r="D226" s="153" t="s">
        <v>339</v>
      </c>
      <c r="E226" s="22">
        <v>59345000</v>
      </c>
      <c r="F226" s="22">
        <v>0</v>
      </c>
      <c r="G226" s="22">
        <v>59345000</v>
      </c>
      <c r="H226" s="13">
        <f t="shared" si="3"/>
        <v>0</v>
      </c>
      <c r="I226" s="154" t="s">
        <v>274</v>
      </c>
      <c r="J226" s="172" t="s">
        <v>232</v>
      </c>
    </row>
    <row r="227" spans="1:10" ht="9.75" customHeight="1" thickBot="1">
      <c r="A227" s="165"/>
      <c r="B227" s="166"/>
      <c r="C227" s="165"/>
      <c r="D227" s="166"/>
      <c r="E227" s="28"/>
      <c r="F227" s="28"/>
      <c r="G227" s="28"/>
      <c r="H227" s="28"/>
      <c r="I227" s="167"/>
      <c r="J227" s="173"/>
    </row>
    <row r="228" spans="1:10">
      <c r="A228" s="500" t="s">
        <v>937</v>
      </c>
      <c r="B228" s="502" t="s">
        <v>311</v>
      </c>
      <c r="C228" s="504" t="s">
        <v>891</v>
      </c>
      <c r="D228" s="502" t="s">
        <v>312</v>
      </c>
      <c r="E228" s="506" t="s">
        <v>892</v>
      </c>
      <c r="F228" s="508" t="s">
        <v>893</v>
      </c>
      <c r="G228" s="510"/>
      <c r="H228" s="494" t="s">
        <v>174</v>
      </c>
      <c r="I228" s="496" t="s">
        <v>894</v>
      </c>
      <c r="J228" s="498" t="s">
        <v>313</v>
      </c>
    </row>
    <row r="229" spans="1:10">
      <c r="A229" s="501"/>
      <c r="B229" s="503"/>
      <c r="C229" s="505"/>
      <c r="D229" s="503"/>
      <c r="E229" s="507"/>
      <c r="F229" s="115" t="s">
        <v>176</v>
      </c>
      <c r="G229" s="115" t="s">
        <v>305</v>
      </c>
      <c r="H229" s="495"/>
      <c r="I229" s="497"/>
      <c r="J229" s="499"/>
    </row>
    <row r="230" spans="1:10">
      <c r="A230" s="117"/>
      <c r="B230" s="118"/>
      <c r="C230" s="118"/>
      <c r="D230" s="119" t="s">
        <v>177</v>
      </c>
      <c r="E230" s="44" t="s">
        <v>178</v>
      </c>
      <c r="F230" s="44" t="s">
        <v>172</v>
      </c>
      <c r="G230" s="44" t="s">
        <v>178</v>
      </c>
      <c r="H230" s="44" t="s">
        <v>178</v>
      </c>
      <c r="I230" s="120" t="s">
        <v>895</v>
      </c>
      <c r="J230" s="121" t="s">
        <v>175</v>
      </c>
    </row>
    <row r="231" spans="1:10" ht="14.25" customHeight="1">
      <c r="A231" s="122" t="s">
        <v>1038</v>
      </c>
      <c r="B231" s="123" t="s">
        <v>1039</v>
      </c>
      <c r="C231" s="129" t="s">
        <v>189</v>
      </c>
      <c r="D231" s="128" t="s">
        <v>693</v>
      </c>
      <c r="E231" s="13">
        <v>496000000</v>
      </c>
      <c r="F231" s="13">
        <v>24492701</v>
      </c>
      <c r="G231" s="13">
        <v>302125588</v>
      </c>
      <c r="H231" s="13">
        <f t="shared" ref="H231:H286" si="4">E231-G231</f>
        <v>193874412</v>
      </c>
      <c r="I231" s="125">
        <v>5.2</v>
      </c>
      <c r="J231" s="147" t="s">
        <v>277</v>
      </c>
    </row>
    <row r="232" spans="1:10" ht="14.25" customHeight="1">
      <c r="A232" s="127" t="s">
        <v>182</v>
      </c>
      <c r="B232" s="123" t="s">
        <v>1040</v>
      </c>
      <c r="C232" s="129" t="s">
        <v>273</v>
      </c>
      <c r="D232" s="123" t="s">
        <v>1041</v>
      </c>
      <c r="E232" s="13">
        <v>107596000</v>
      </c>
      <c r="F232" s="13">
        <v>0</v>
      </c>
      <c r="G232" s="13">
        <v>107596000</v>
      </c>
      <c r="H232" s="13">
        <f t="shared" si="4"/>
        <v>0</v>
      </c>
      <c r="I232" s="125" t="s">
        <v>274</v>
      </c>
      <c r="J232" s="147" t="s">
        <v>232</v>
      </c>
    </row>
    <row r="233" spans="1:10" ht="14.25" customHeight="1">
      <c r="A233" s="127"/>
      <c r="B233" s="123" t="s">
        <v>1042</v>
      </c>
      <c r="C233" s="129" t="s">
        <v>185</v>
      </c>
      <c r="D233" s="123" t="s">
        <v>1043</v>
      </c>
      <c r="E233" s="13">
        <v>198703790</v>
      </c>
      <c r="F233" s="13">
        <v>0</v>
      </c>
      <c r="G233" s="13">
        <v>198703790</v>
      </c>
      <c r="H233" s="13">
        <f t="shared" si="4"/>
        <v>0</v>
      </c>
      <c r="I233" s="125">
        <v>5.4</v>
      </c>
      <c r="J233" s="147" t="s">
        <v>1044</v>
      </c>
    </row>
    <row r="234" spans="1:10" ht="14.25" customHeight="1">
      <c r="A234" s="127"/>
      <c r="B234" s="128">
        <v>63</v>
      </c>
      <c r="C234" s="129" t="s">
        <v>273</v>
      </c>
      <c r="D234" s="123" t="s">
        <v>1045</v>
      </c>
      <c r="E234" s="13">
        <v>19261000</v>
      </c>
      <c r="F234" s="13">
        <v>0</v>
      </c>
      <c r="G234" s="13">
        <v>19261000</v>
      </c>
      <c r="H234" s="13">
        <f t="shared" si="4"/>
        <v>0</v>
      </c>
      <c r="I234" s="125" t="s">
        <v>274</v>
      </c>
      <c r="J234" s="147" t="s">
        <v>228</v>
      </c>
    </row>
    <row r="235" spans="1:10" ht="14.25" customHeight="1">
      <c r="A235" s="127"/>
      <c r="B235" s="123" t="s">
        <v>1040</v>
      </c>
      <c r="C235" s="129" t="s">
        <v>266</v>
      </c>
      <c r="D235" s="123" t="s">
        <v>1046</v>
      </c>
      <c r="E235" s="13">
        <v>1000000000</v>
      </c>
      <c r="F235" s="13">
        <v>0</v>
      </c>
      <c r="G235" s="13">
        <v>1000000000</v>
      </c>
      <c r="H235" s="13">
        <f t="shared" si="4"/>
        <v>0</v>
      </c>
      <c r="I235" s="125">
        <v>6.6</v>
      </c>
      <c r="J235" s="147" t="s">
        <v>232</v>
      </c>
    </row>
    <row r="236" spans="1:10" ht="14.25" customHeight="1">
      <c r="A236" s="127"/>
      <c r="B236" s="128" t="s">
        <v>278</v>
      </c>
      <c r="C236" s="129" t="s">
        <v>273</v>
      </c>
      <c r="D236" s="123" t="s">
        <v>1046</v>
      </c>
      <c r="E236" s="13">
        <v>282931000</v>
      </c>
      <c r="F236" s="13">
        <v>0</v>
      </c>
      <c r="G236" s="13">
        <v>282931000</v>
      </c>
      <c r="H236" s="13">
        <f t="shared" si="4"/>
        <v>0</v>
      </c>
      <c r="I236" s="125" t="s">
        <v>274</v>
      </c>
      <c r="J236" s="147" t="s">
        <v>232</v>
      </c>
    </row>
    <row r="237" spans="1:10" ht="14.25" customHeight="1">
      <c r="A237" s="127"/>
      <c r="B237" s="128" t="s">
        <v>278</v>
      </c>
      <c r="C237" s="129" t="s">
        <v>189</v>
      </c>
      <c r="D237" s="123" t="s">
        <v>1047</v>
      </c>
      <c r="E237" s="13">
        <v>350000000</v>
      </c>
      <c r="F237" s="13">
        <v>0</v>
      </c>
      <c r="G237" s="13">
        <v>350000000</v>
      </c>
      <c r="H237" s="13">
        <f t="shared" si="4"/>
        <v>0</v>
      </c>
      <c r="I237" s="125">
        <v>6.3</v>
      </c>
      <c r="J237" s="147" t="s">
        <v>277</v>
      </c>
    </row>
    <row r="238" spans="1:10" ht="14.25" customHeight="1">
      <c r="A238" s="127"/>
      <c r="B238" s="128" t="s">
        <v>278</v>
      </c>
      <c r="C238" s="129" t="s">
        <v>273</v>
      </c>
      <c r="D238" s="123" t="s">
        <v>1048</v>
      </c>
      <c r="E238" s="13">
        <v>276396000</v>
      </c>
      <c r="F238" s="13">
        <v>0</v>
      </c>
      <c r="G238" s="13">
        <v>276396000</v>
      </c>
      <c r="H238" s="13">
        <f t="shared" si="4"/>
        <v>0</v>
      </c>
      <c r="I238" s="125" t="s">
        <v>274</v>
      </c>
      <c r="J238" s="147" t="s">
        <v>232</v>
      </c>
    </row>
    <row r="239" spans="1:10" ht="14.25" customHeight="1">
      <c r="A239" s="127"/>
      <c r="B239" s="123">
        <v>2</v>
      </c>
      <c r="C239" s="129" t="s">
        <v>273</v>
      </c>
      <c r="D239" s="123" t="s">
        <v>1049</v>
      </c>
      <c r="E239" s="13">
        <v>10779000</v>
      </c>
      <c r="F239" s="13">
        <v>0</v>
      </c>
      <c r="G239" s="13">
        <v>10779000</v>
      </c>
      <c r="H239" s="13">
        <f t="shared" si="4"/>
        <v>0</v>
      </c>
      <c r="I239" s="125" t="s">
        <v>274</v>
      </c>
      <c r="J239" s="147" t="s">
        <v>235</v>
      </c>
    </row>
    <row r="240" spans="1:10" ht="14.25" customHeight="1">
      <c r="A240" s="127"/>
      <c r="B240" s="128" t="s">
        <v>278</v>
      </c>
      <c r="C240" s="129" t="s">
        <v>185</v>
      </c>
      <c r="D240" s="123" t="s">
        <v>1050</v>
      </c>
      <c r="E240" s="13">
        <v>341106218</v>
      </c>
      <c r="F240" s="13">
        <v>0</v>
      </c>
      <c r="G240" s="13">
        <v>341106218</v>
      </c>
      <c r="H240" s="13">
        <f t="shared" si="4"/>
        <v>0</v>
      </c>
      <c r="I240" s="125">
        <v>6.6</v>
      </c>
      <c r="J240" s="126" t="s">
        <v>1051</v>
      </c>
    </row>
    <row r="241" spans="1:10" ht="14.25" customHeight="1">
      <c r="A241" s="127"/>
      <c r="B241" s="123">
        <v>2</v>
      </c>
      <c r="C241" s="129" t="s">
        <v>266</v>
      </c>
      <c r="D241" s="123" t="s">
        <v>1050</v>
      </c>
      <c r="E241" s="13">
        <v>400000000</v>
      </c>
      <c r="F241" s="13">
        <v>0</v>
      </c>
      <c r="G241" s="13">
        <v>400000000</v>
      </c>
      <c r="H241" s="13">
        <f t="shared" si="4"/>
        <v>0</v>
      </c>
      <c r="I241" s="125">
        <v>6.4</v>
      </c>
      <c r="J241" s="147" t="s">
        <v>235</v>
      </c>
    </row>
    <row r="242" spans="1:10" ht="14.25" customHeight="1">
      <c r="A242" s="127"/>
      <c r="B242" s="128" t="s">
        <v>278</v>
      </c>
      <c r="C242" s="129" t="s">
        <v>273</v>
      </c>
      <c r="D242" s="123" t="s">
        <v>1052</v>
      </c>
      <c r="E242" s="13">
        <v>46394000</v>
      </c>
      <c r="F242" s="13">
        <v>0</v>
      </c>
      <c r="G242" s="13">
        <v>46394000</v>
      </c>
      <c r="H242" s="13">
        <f t="shared" si="4"/>
        <v>0</v>
      </c>
      <c r="I242" s="125" t="s">
        <v>274</v>
      </c>
      <c r="J242" s="147" t="s">
        <v>232</v>
      </c>
    </row>
    <row r="243" spans="1:10" ht="14.25" customHeight="1">
      <c r="A243" s="127"/>
      <c r="B243" s="128" t="s">
        <v>278</v>
      </c>
      <c r="C243" s="129" t="s">
        <v>189</v>
      </c>
      <c r="D243" s="123" t="s">
        <v>1053</v>
      </c>
      <c r="E243" s="13">
        <v>574000000</v>
      </c>
      <c r="F243" s="13">
        <v>0</v>
      </c>
      <c r="G243" s="13">
        <v>574000000</v>
      </c>
      <c r="H243" s="13">
        <f t="shared" si="4"/>
        <v>0</v>
      </c>
      <c r="I243" s="125">
        <v>6.7</v>
      </c>
      <c r="J243" s="147" t="s">
        <v>280</v>
      </c>
    </row>
    <row r="244" spans="1:10" ht="14.25" customHeight="1">
      <c r="A244" s="127"/>
      <c r="B244" s="123">
        <v>2</v>
      </c>
      <c r="C244" s="129" t="s">
        <v>189</v>
      </c>
      <c r="D244" s="123" t="s">
        <v>1053</v>
      </c>
      <c r="E244" s="13">
        <v>1200000000</v>
      </c>
      <c r="F244" s="13">
        <v>0</v>
      </c>
      <c r="G244" s="13">
        <v>1200000000</v>
      </c>
      <c r="H244" s="13">
        <f t="shared" si="4"/>
        <v>0</v>
      </c>
      <c r="I244" s="125">
        <v>6.65</v>
      </c>
      <c r="J244" s="147" t="s">
        <v>280</v>
      </c>
    </row>
    <row r="245" spans="1:10" ht="14.25" customHeight="1">
      <c r="A245" s="127"/>
      <c r="B245" s="123">
        <v>2</v>
      </c>
      <c r="C245" s="129" t="s">
        <v>273</v>
      </c>
      <c r="D245" s="123" t="s">
        <v>1054</v>
      </c>
      <c r="E245" s="13">
        <v>58974000</v>
      </c>
      <c r="F245" s="13">
        <v>0</v>
      </c>
      <c r="G245" s="13">
        <v>58974000</v>
      </c>
      <c r="H245" s="13">
        <f t="shared" si="4"/>
        <v>0</v>
      </c>
      <c r="I245" s="125" t="s">
        <v>274</v>
      </c>
      <c r="J245" s="147" t="s">
        <v>235</v>
      </c>
    </row>
    <row r="246" spans="1:10" ht="14.25" customHeight="1">
      <c r="A246" s="127"/>
      <c r="B246" s="123">
        <v>3</v>
      </c>
      <c r="C246" s="129" t="s">
        <v>273</v>
      </c>
      <c r="D246" s="123" t="s">
        <v>1055</v>
      </c>
      <c r="E246" s="13">
        <v>84612000</v>
      </c>
      <c r="F246" s="13">
        <v>0</v>
      </c>
      <c r="G246" s="13">
        <v>84612000</v>
      </c>
      <c r="H246" s="13">
        <f t="shared" si="4"/>
        <v>0</v>
      </c>
      <c r="I246" s="125" t="s">
        <v>274</v>
      </c>
      <c r="J246" s="147" t="s">
        <v>239</v>
      </c>
    </row>
    <row r="247" spans="1:10" ht="14.25" customHeight="1">
      <c r="A247" s="127"/>
      <c r="B247" s="123">
        <v>2</v>
      </c>
      <c r="C247" s="129" t="s">
        <v>185</v>
      </c>
      <c r="D247" s="123" t="s">
        <v>1056</v>
      </c>
      <c r="E247" s="13">
        <v>923000000</v>
      </c>
      <c r="F247" s="13">
        <v>36147677</v>
      </c>
      <c r="G247" s="13">
        <v>364235862</v>
      </c>
      <c r="H247" s="13">
        <f t="shared" si="4"/>
        <v>558764138</v>
      </c>
      <c r="I247" s="125">
        <v>5.5</v>
      </c>
      <c r="J247" s="147" t="s">
        <v>282</v>
      </c>
    </row>
    <row r="248" spans="1:10" ht="14.25" customHeight="1">
      <c r="A248" s="127"/>
      <c r="B248" s="123">
        <v>3</v>
      </c>
      <c r="C248" s="129" t="s">
        <v>266</v>
      </c>
      <c r="D248" s="123" t="s">
        <v>1056</v>
      </c>
      <c r="E248" s="13">
        <v>400000000</v>
      </c>
      <c r="F248" s="13">
        <v>0</v>
      </c>
      <c r="G248" s="13">
        <v>400000000</v>
      </c>
      <c r="H248" s="13">
        <f t="shared" si="4"/>
        <v>0</v>
      </c>
      <c r="I248" s="125">
        <v>5.7</v>
      </c>
      <c r="J248" s="147" t="s">
        <v>239</v>
      </c>
    </row>
    <row r="249" spans="1:10" ht="14.25" customHeight="1">
      <c r="A249" s="127"/>
      <c r="B249" s="123">
        <v>2</v>
      </c>
      <c r="C249" s="129" t="s">
        <v>189</v>
      </c>
      <c r="D249" s="123" t="s">
        <v>1057</v>
      </c>
      <c r="E249" s="13">
        <v>1451000000</v>
      </c>
      <c r="F249" s="13">
        <v>65940167</v>
      </c>
      <c r="G249" s="13">
        <v>660812012</v>
      </c>
      <c r="H249" s="13">
        <f t="shared" si="4"/>
        <v>790187988</v>
      </c>
      <c r="I249" s="125">
        <v>5.6</v>
      </c>
      <c r="J249" s="147" t="s">
        <v>283</v>
      </c>
    </row>
    <row r="250" spans="1:10" ht="14.25" customHeight="1">
      <c r="A250" s="127"/>
      <c r="B250" s="123">
        <v>3</v>
      </c>
      <c r="C250" s="129" t="s">
        <v>189</v>
      </c>
      <c r="D250" s="123" t="s">
        <v>1057</v>
      </c>
      <c r="E250" s="13">
        <v>2000000000</v>
      </c>
      <c r="F250" s="13">
        <v>90889273</v>
      </c>
      <c r="G250" s="13">
        <v>910836683</v>
      </c>
      <c r="H250" s="13">
        <f t="shared" si="4"/>
        <v>1089163317</v>
      </c>
      <c r="I250" s="125">
        <v>5.6</v>
      </c>
      <c r="J250" s="147" t="s">
        <v>283</v>
      </c>
    </row>
    <row r="251" spans="1:10" ht="14.25" customHeight="1">
      <c r="A251" s="127"/>
      <c r="B251" s="123">
        <v>2</v>
      </c>
      <c r="C251" s="129" t="s">
        <v>273</v>
      </c>
      <c r="D251" s="123" t="s">
        <v>1058</v>
      </c>
      <c r="E251" s="13">
        <v>11224000</v>
      </c>
      <c r="F251" s="13">
        <v>0</v>
      </c>
      <c r="G251" s="13">
        <v>11224000</v>
      </c>
      <c r="H251" s="13">
        <f t="shared" si="4"/>
        <v>0</v>
      </c>
      <c r="I251" s="125" t="s">
        <v>274</v>
      </c>
      <c r="J251" s="147" t="s">
        <v>235</v>
      </c>
    </row>
    <row r="252" spans="1:10" ht="14.25" customHeight="1">
      <c r="A252" s="127"/>
      <c r="B252" s="123">
        <v>3</v>
      </c>
      <c r="C252" s="129" t="s">
        <v>273</v>
      </c>
      <c r="D252" s="123" t="s">
        <v>1058</v>
      </c>
      <c r="E252" s="13">
        <v>224672000</v>
      </c>
      <c r="F252" s="13">
        <v>0</v>
      </c>
      <c r="G252" s="13">
        <v>224672000</v>
      </c>
      <c r="H252" s="13">
        <f t="shared" si="4"/>
        <v>0</v>
      </c>
      <c r="I252" s="125" t="s">
        <v>274</v>
      </c>
      <c r="J252" s="147" t="s">
        <v>239</v>
      </c>
    </row>
    <row r="253" spans="1:10" ht="14.25" customHeight="1">
      <c r="A253" s="127"/>
      <c r="B253" s="123">
        <v>4</v>
      </c>
      <c r="C253" s="129" t="s">
        <v>266</v>
      </c>
      <c r="D253" s="123" t="s">
        <v>1059</v>
      </c>
      <c r="E253" s="13">
        <v>567000000</v>
      </c>
      <c r="F253" s="13">
        <v>0</v>
      </c>
      <c r="G253" s="13">
        <v>567000000</v>
      </c>
      <c r="H253" s="13">
        <f t="shared" si="4"/>
        <v>0</v>
      </c>
      <c r="I253" s="125">
        <v>4.3</v>
      </c>
      <c r="J253" s="147" t="s">
        <v>242</v>
      </c>
    </row>
    <row r="254" spans="1:10" ht="14.25" customHeight="1">
      <c r="A254" s="127"/>
      <c r="B254" s="123">
        <v>3</v>
      </c>
      <c r="C254" s="129" t="s">
        <v>185</v>
      </c>
      <c r="D254" s="123" t="s">
        <v>1060</v>
      </c>
      <c r="E254" s="13">
        <v>1920000000</v>
      </c>
      <c r="F254" s="13">
        <v>73144129</v>
      </c>
      <c r="G254" s="13">
        <v>742087879</v>
      </c>
      <c r="H254" s="13">
        <f t="shared" si="4"/>
        <v>1177912121</v>
      </c>
      <c r="I254" s="125">
        <v>4.4000000000000004</v>
      </c>
      <c r="J254" s="147" t="s">
        <v>284</v>
      </c>
    </row>
    <row r="255" spans="1:10" ht="14.25" customHeight="1">
      <c r="A255" s="127"/>
      <c r="B255" s="123">
        <v>3</v>
      </c>
      <c r="C255" s="129" t="s">
        <v>189</v>
      </c>
      <c r="D255" s="123" t="s">
        <v>1061</v>
      </c>
      <c r="E255" s="13">
        <v>560000000</v>
      </c>
      <c r="F255" s="13">
        <v>24390604</v>
      </c>
      <c r="G255" s="13">
        <v>246804575</v>
      </c>
      <c r="H255" s="13">
        <f t="shared" si="4"/>
        <v>313195425</v>
      </c>
      <c r="I255" s="125">
        <v>4.45</v>
      </c>
      <c r="J255" s="147" t="s">
        <v>285</v>
      </c>
    </row>
    <row r="256" spans="1:10" ht="14.25" customHeight="1">
      <c r="A256" s="127"/>
      <c r="B256" s="123">
        <v>4</v>
      </c>
      <c r="C256" s="129" t="s">
        <v>189</v>
      </c>
      <c r="D256" s="123" t="s">
        <v>1061</v>
      </c>
      <c r="E256" s="13">
        <v>1000000</v>
      </c>
      <c r="F256" s="13">
        <v>43535</v>
      </c>
      <c r="G256" s="13">
        <v>439366</v>
      </c>
      <c r="H256" s="13">
        <f t="shared" si="4"/>
        <v>560634</v>
      </c>
      <c r="I256" s="125">
        <v>4.5</v>
      </c>
      <c r="J256" s="147" t="s">
        <v>285</v>
      </c>
    </row>
    <row r="257" spans="1:10" ht="14.25" customHeight="1">
      <c r="A257" s="122"/>
      <c r="B257" s="123">
        <v>4</v>
      </c>
      <c r="C257" s="129" t="s">
        <v>189</v>
      </c>
      <c r="D257" s="123" t="s">
        <v>1061</v>
      </c>
      <c r="E257" s="13">
        <v>4498000000</v>
      </c>
      <c r="F257" s="13">
        <v>195908812</v>
      </c>
      <c r="G257" s="13">
        <v>1982369598</v>
      </c>
      <c r="H257" s="13">
        <f t="shared" si="4"/>
        <v>2515630402</v>
      </c>
      <c r="I257" s="125">
        <v>4.45</v>
      </c>
      <c r="J257" s="147" t="s">
        <v>285</v>
      </c>
    </row>
    <row r="258" spans="1:10" ht="14.25" customHeight="1">
      <c r="A258" s="127"/>
      <c r="B258" s="123">
        <v>4</v>
      </c>
      <c r="C258" s="129" t="s">
        <v>185</v>
      </c>
      <c r="D258" s="123" t="s">
        <v>1062</v>
      </c>
      <c r="E258" s="13">
        <v>8780000000</v>
      </c>
      <c r="F258" s="13">
        <v>327470304</v>
      </c>
      <c r="G258" s="13">
        <v>3245897282</v>
      </c>
      <c r="H258" s="13">
        <f t="shared" si="4"/>
        <v>5534102718</v>
      </c>
      <c r="I258" s="125">
        <v>3.65</v>
      </c>
      <c r="J258" s="147" t="s">
        <v>286</v>
      </c>
    </row>
    <row r="259" spans="1:10" ht="14.25" customHeight="1">
      <c r="A259" s="127"/>
      <c r="B259" s="123">
        <v>4</v>
      </c>
      <c r="C259" s="129" t="s">
        <v>189</v>
      </c>
      <c r="D259" s="123" t="s">
        <v>1062</v>
      </c>
      <c r="E259" s="13">
        <v>1354000000</v>
      </c>
      <c r="F259" s="13">
        <v>57164194</v>
      </c>
      <c r="G259" s="13">
        <v>565205536</v>
      </c>
      <c r="H259" s="13">
        <f t="shared" si="4"/>
        <v>788794464</v>
      </c>
      <c r="I259" s="125">
        <v>3.7</v>
      </c>
      <c r="J259" s="147" t="s">
        <v>282</v>
      </c>
    </row>
    <row r="260" spans="1:10" ht="14.25" customHeight="1">
      <c r="A260" s="122"/>
      <c r="B260" s="123">
        <v>5</v>
      </c>
      <c r="C260" s="129" t="s">
        <v>189</v>
      </c>
      <c r="D260" s="123" t="s">
        <v>1062</v>
      </c>
      <c r="E260" s="13">
        <v>3928000000</v>
      </c>
      <c r="F260" s="13">
        <v>165835267</v>
      </c>
      <c r="G260" s="13">
        <v>1639680460</v>
      </c>
      <c r="H260" s="13">
        <f t="shared" si="4"/>
        <v>2288319540</v>
      </c>
      <c r="I260" s="125">
        <v>3.7</v>
      </c>
      <c r="J260" s="147" t="s">
        <v>282</v>
      </c>
    </row>
    <row r="261" spans="1:10" ht="14.25" customHeight="1">
      <c r="A261" s="127"/>
      <c r="B261" s="123">
        <v>5</v>
      </c>
      <c r="C261" s="129" t="s">
        <v>266</v>
      </c>
      <c r="D261" s="123" t="s">
        <v>1063</v>
      </c>
      <c r="E261" s="13">
        <v>744000000</v>
      </c>
      <c r="F261" s="13">
        <v>0</v>
      </c>
      <c r="G261" s="13">
        <v>744000000</v>
      </c>
      <c r="H261" s="13">
        <f t="shared" si="4"/>
        <v>0</v>
      </c>
      <c r="I261" s="125">
        <v>4.4000000000000004</v>
      </c>
      <c r="J261" s="147" t="s">
        <v>246</v>
      </c>
    </row>
    <row r="262" spans="1:10" ht="14.25" customHeight="1">
      <c r="A262" s="127"/>
      <c r="B262" s="123" t="s">
        <v>1064</v>
      </c>
      <c r="C262" s="129" t="s">
        <v>266</v>
      </c>
      <c r="D262" s="123" t="s">
        <v>1065</v>
      </c>
      <c r="E262" s="13">
        <v>580000000</v>
      </c>
      <c r="F262" s="13">
        <v>0</v>
      </c>
      <c r="G262" s="13">
        <v>580000000</v>
      </c>
      <c r="H262" s="13">
        <f t="shared" si="4"/>
        <v>0</v>
      </c>
      <c r="I262" s="125">
        <v>4.5</v>
      </c>
      <c r="J262" s="147" t="s">
        <v>244</v>
      </c>
    </row>
    <row r="263" spans="1:10" ht="14.25" customHeight="1">
      <c r="A263" s="174"/>
      <c r="B263" s="123" t="s">
        <v>1066</v>
      </c>
      <c r="C263" s="129" t="s">
        <v>185</v>
      </c>
      <c r="D263" s="123" t="s">
        <v>1067</v>
      </c>
      <c r="E263" s="13">
        <v>6664000000</v>
      </c>
      <c r="F263" s="13">
        <v>230285194</v>
      </c>
      <c r="G263" s="13">
        <v>2034322159</v>
      </c>
      <c r="H263" s="13">
        <f t="shared" si="4"/>
        <v>4629677841</v>
      </c>
      <c r="I263" s="125">
        <v>4.6500000000000004</v>
      </c>
      <c r="J263" s="147" t="s">
        <v>287</v>
      </c>
    </row>
    <row r="264" spans="1:10" ht="14.25" customHeight="1">
      <c r="A264" s="127"/>
      <c r="B264" s="123">
        <v>5</v>
      </c>
      <c r="C264" s="129" t="s">
        <v>189</v>
      </c>
      <c r="D264" s="123" t="s">
        <v>1068</v>
      </c>
      <c r="E264" s="13">
        <v>2736000000</v>
      </c>
      <c r="F264" s="13">
        <v>108339122</v>
      </c>
      <c r="G264" s="13">
        <v>954939200</v>
      </c>
      <c r="H264" s="13">
        <f t="shared" si="4"/>
        <v>1781060800</v>
      </c>
      <c r="I264" s="125">
        <v>4.7</v>
      </c>
      <c r="J264" s="147" t="s">
        <v>284</v>
      </c>
    </row>
    <row r="265" spans="1:10" ht="14.25" customHeight="1">
      <c r="A265" s="122"/>
      <c r="B265" s="123" t="s">
        <v>1069</v>
      </c>
      <c r="C265" s="129" t="s">
        <v>266</v>
      </c>
      <c r="D265" s="123" t="s">
        <v>1070</v>
      </c>
      <c r="E265" s="13">
        <v>580000000</v>
      </c>
      <c r="F265" s="13">
        <v>0</v>
      </c>
      <c r="G265" s="13">
        <v>580000000</v>
      </c>
      <c r="H265" s="13">
        <f t="shared" si="4"/>
        <v>0</v>
      </c>
      <c r="I265" s="125">
        <v>3</v>
      </c>
      <c r="J265" s="147" t="s">
        <v>247</v>
      </c>
    </row>
    <row r="266" spans="1:10" ht="14.25" customHeight="1">
      <c r="A266" s="127"/>
      <c r="B266" s="128">
        <v>63</v>
      </c>
      <c r="C266" s="124" t="s">
        <v>180</v>
      </c>
      <c r="D266" s="123" t="s">
        <v>1071</v>
      </c>
      <c r="E266" s="13">
        <v>1400000000</v>
      </c>
      <c r="F266" s="13">
        <v>0</v>
      </c>
      <c r="G266" s="13">
        <v>1400000000</v>
      </c>
      <c r="H266" s="13">
        <f t="shared" si="4"/>
        <v>0</v>
      </c>
      <c r="I266" s="125">
        <v>3.3</v>
      </c>
      <c r="J266" s="147" t="s">
        <v>247</v>
      </c>
    </row>
    <row r="267" spans="1:10" ht="14.25" customHeight="1">
      <c r="A267" s="127"/>
      <c r="B267" s="128">
        <v>61</v>
      </c>
      <c r="C267" s="175" t="s">
        <v>266</v>
      </c>
      <c r="D267" s="123" t="s">
        <v>1072</v>
      </c>
      <c r="E267" s="13">
        <v>1151000000</v>
      </c>
      <c r="F267" s="13">
        <v>0</v>
      </c>
      <c r="G267" s="13">
        <v>1151000000</v>
      </c>
      <c r="H267" s="13">
        <f t="shared" si="4"/>
        <v>0</v>
      </c>
      <c r="I267" s="125">
        <v>3.4</v>
      </c>
      <c r="J267" s="126" t="s">
        <v>249</v>
      </c>
    </row>
    <row r="268" spans="1:10" ht="14.25" customHeight="1">
      <c r="A268" s="127"/>
      <c r="B268" s="128">
        <v>62</v>
      </c>
      <c r="C268" s="175" t="s">
        <v>266</v>
      </c>
      <c r="D268" s="123" t="s">
        <v>1073</v>
      </c>
      <c r="E268" s="13">
        <v>580000000</v>
      </c>
      <c r="F268" s="13">
        <v>0</v>
      </c>
      <c r="G268" s="13">
        <v>580000000</v>
      </c>
      <c r="H268" s="13">
        <f t="shared" si="4"/>
        <v>0</v>
      </c>
      <c r="I268" s="125">
        <v>2.5</v>
      </c>
      <c r="J268" s="126" t="s">
        <v>251</v>
      </c>
    </row>
    <row r="269" spans="1:10" ht="14.25" customHeight="1">
      <c r="A269" s="127"/>
      <c r="B269" s="123" t="s">
        <v>314</v>
      </c>
      <c r="C269" s="175" t="s">
        <v>266</v>
      </c>
      <c r="D269" s="123" t="s">
        <v>1074</v>
      </c>
      <c r="E269" s="13">
        <v>579000000</v>
      </c>
      <c r="F269" s="13">
        <v>0</v>
      </c>
      <c r="G269" s="13">
        <v>579000000</v>
      </c>
      <c r="H269" s="13">
        <f t="shared" si="4"/>
        <v>0</v>
      </c>
      <c r="I269" s="125">
        <v>1.8</v>
      </c>
      <c r="J269" s="126" t="s">
        <v>1075</v>
      </c>
    </row>
    <row r="270" spans="1:10" ht="14.25" customHeight="1">
      <c r="A270" s="127"/>
      <c r="B270" s="123">
        <v>4</v>
      </c>
      <c r="C270" s="175" t="s">
        <v>266</v>
      </c>
      <c r="D270" s="123" t="s">
        <v>1076</v>
      </c>
      <c r="E270" s="13">
        <v>328000000</v>
      </c>
      <c r="F270" s="13">
        <v>0</v>
      </c>
      <c r="G270" s="13">
        <v>0</v>
      </c>
      <c r="H270" s="13">
        <f t="shared" si="4"/>
        <v>328000000</v>
      </c>
      <c r="I270" s="125">
        <v>1.3</v>
      </c>
      <c r="J270" s="126" t="s">
        <v>1077</v>
      </c>
    </row>
    <row r="271" spans="1:10" ht="14.25" customHeight="1">
      <c r="A271" s="127"/>
      <c r="B271" s="123">
        <v>5</v>
      </c>
      <c r="C271" s="175" t="s">
        <v>266</v>
      </c>
      <c r="D271" s="123" t="s">
        <v>288</v>
      </c>
      <c r="E271" s="13">
        <v>431000000</v>
      </c>
      <c r="F271" s="13">
        <v>0</v>
      </c>
      <c r="G271" s="13">
        <v>0</v>
      </c>
      <c r="H271" s="13">
        <f t="shared" si="4"/>
        <v>431000000</v>
      </c>
      <c r="I271" s="125">
        <v>0.5</v>
      </c>
      <c r="J271" s="126" t="s">
        <v>267</v>
      </c>
    </row>
    <row r="272" spans="1:10" ht="14.25" customHeight="1">
      <c r="A272" s="127"/>
      <c r="B272" s="128" t="s">
        <v>315</v>
      </c>
      <c r="C272" s="175" t="s">
        <v>163</v>
      </c>
      <c r="D272" s="123" t="s">
        <v>1078</v>
      </c>
      <c r="E272" s="13">
        <v>2392586361</v>
      </c>
      <c r="F272" s="13">
        <v>0</v>
      </c>
      <c r="G272" s="13">
        <v>2392586361</v>
      </c>
      <c r="H272" s="13">
        <f t="shared" si="4"/>
        <v>0</v>
      </c>
      <c r="I272" s="125">
        <v>7.3</v>
      </c>
      <c r="J272" s="126" t="s">
        <v>977</v>
      </c>
    </row>
    <row r="273" spans="1:10" ht="14.25" customHeight="1">
      <c r="A273" s="127"/>
      <c r="B273" s="123">
        <v>58</v>
      </c>
      <c r="C273" s="175" t="s">
        <v>163</v>
      </c>
      <c r="D273" s="123" t="s">
        <v>1078</v>
      </c>
      <c r="E273" s="13">
        <v>3064541455</v>
      </c>
      <c r="F273" s="13">
        <v>0</v>
      </c>
      <c r="G273" s="13">
        <v>3064541455</v>
      </c>
      <c r="H273" s="13">
        <f t="shared" si="4"/>
        <v>0</v>
      </c>
      <c r="I273" s="125">
        <v>7.1</v>
      </c>
      <c r="J273" s="147" t="s">
        <v>1079</v>
      </c>
    </row>
    <row r="274" spans="1:10" ht="14.25" customHeight="1">
      <c r="A274" s="127"/>
      <c r="B274" s="128">
        <v>59</v>
      </c>
      <c r="C274" s="175" t="s">
        <v>163</v>
      </c>
      <c r="D274" s="123" t="s">
        <v>1078</v>
      </c>
      <c r="E274" s="13">
        <v>1613726604</v>
      </c>
      <c r="F274" s="13">
        <v>0</v>
      </c>
      <c r="G274" s="13">
        <v>1613726604</v>
      </c>
      <c r="H274" s="13">
        <f t="shared" si="4"/>
        <v>0</v>
      </c>
      <c r="I274" s="125">
        <v>6.3</v>
      </c>
      <c r="J274" s="147" t="s">
        <v>983</v>
      </c>
    </row>
    <row r="275" spans="1:10" ht="14.25" customHeight="1">
      <c r="A275" s="127"/>
      <c r="B275" s="123">
        <v>60</v>
      </c>
      <c r="C275" s="175" t="s">
        <v>163</v>
      </c>
      <c r="D275" s="123" t="s">
        <v>1078</v>
      </c>
      <c r="E275" s="13">
        <v>633208842</v>
      </c>
      <c r="F275" s="13">
        <v>50631474</v>
      </c>
      <c r="G275" s="13">
        <v>268227156</v>
      </c>
      <c r="H275" s="13">
        <f t="shared" si="4"/>
        <v>364981686</v>
      </c>
      <c r="I275" s="125">
        <v>5.2</v>
      </c>
      <c r="J275" s="147" t="s">
        <v>276</v>
      </c>
    </row>
    <row r="276" spans="1:10" ht="14.25" customHeight="1">
      <c r="A276" s="127"/>
      <c r="B276" s="123">
        <v>61</v>
      </c>
      <c r="C276" s="175" t="s">
        <v>163</v>
      </c>
      <c r="D276" s="123" t="s">
        <v>1078</v>
      </c>
      <c r="E276" s="13">
        <v>515808158</v>
      </c>
      <c r="F276" s="13">
        <v>37128565</v>
      </c>
      <c r="G276" s="13">
        <v>197598479</v>
      </c>
      <c r="H276" s="13">
        <f t="shared" si="4"/>
        <v>318209679</v>
      </c>
      <c r="I276" s="125">
        <v>5</v>
      </c>
      <c r="J276" s="147" t="s">
        <v>277</v>
      </c>
    </row>
    <row r="277" spans="1:10" ht="14.25" customHeight="1">
      <c r="A277" s="127"/>
      <c r="B277" s="128">
        <v>62</v>
      </c>
      <c r="C277" s="175" t="s">
        <v>163</v>
      </c>
      <c r="D277" s="123" t="s">
        <v>1078</v>
      </c>
      <c r="E277" s="13">
        <v>528495314</v>
      </c>
      <c r="F277" s="13">
        <v>34484360</v>
      </c>
      <c r="G277" s="13">
        <v>184160710</v>
      </c>
      <c r="H277" s="13">
        <f t="shared" si="4"/>
        <v>344334604</v>
      </c>
      <c r="I277" s="125">
        <v>4.8499999999999996</v>
      </c>
      <c r="J277" s="147" t="s">
        <v>1080</v>
      </c>
    </row>
    <row r="278" spans="1:10" ht="14.25" customHeight="1">
      <c r="A278" s="127"/>
      <c r="B278" s="123">
        <v>63</v>
      </c>
      <c r="C278" s="175" t="s">
        <v>163</v>
      </c>
      <c r="D278" s="123" t="s">
        <v>289</v>
      </c>
      <c r="E278" s="13">
        <v>459296210</v>
      </c>
      <c r="F278" s="13">
        <v>28153410</v>
      </c>
      <c r="G278" s="13">
        <v>148465876</v>
      </c>
      <c r="H278" s="13">
        <f t="shared" si="4"/>
        <v>310830334</v>
      </c>
      <c r="I278" s="125">
        <v>5.4</v>
      </c>
      <c r="J278" s="147" t="s">
        <v>283</v>
      </c>
    </row>
    <row r="279" spans="1:10" ht="14.25" customHeight="1">
      <c r="A279" s="127"/>
      <c r="B279" s="128" t="s">
        <v>316</v>
      </c>
      <c r="C279" s="175" t="s">
        <v>163</v>
      </c>
      <c r="D279" s="128" t="s">
        <v>289</v>
      </c>
      <c r="E279" s="13">
        <v>1007893782</v>
      </c>
      <c r="F279" s="13">
        <v>0</v>
      </c>
      <c r="G279" s="13">
        <v>1007893782</v>
      </c>
      <c r="H279" s="13">
        <f t="shared" si="4"/>
        <v>0</v>
      </c>
      <c r="I279" s="125">
        <v>6.6</v>
      </c>
      <c r="J279" s="147" t="s">
        <v>983</v>
      </c>
    </row>
    <row r="280" spans="1:10" ht="14.25" customHeight="1">
      <c r="A280" s="127"/>
      <c r="B280" s="128">
        <v>18</v>
      </c>
      <c r="C280" s="175" t="s">
        <v>189</v>
      </c>
      <c r="D280" s="128" t="s">
        <v>351</v>
      </c>
      <c r="E280" s="13">
        <v>447400000</v>
      </c>
      <c r="F280" s="13">
        <v>103876598</v>
      </c>
      <c r="G280" s="13">
        <v>447400000</v>
      </c>
      <c r="H280" s="13">
        <f t="shared" si="4"/>
        <v>0</v>
      </c>
      <c r="I280" s="125">
        <v>2.5499999999999998</v>
      </c>
      <c r="J280" s="147" t="s">
        <v>1081</v>
      </c>
    </row>
    <row r="281" spans="1:10" ht="14.25" customHeight="1">
      <c r="A281" s="127"/>
      <c r="B281" s="128">
        <v>19</v>
      </c>
      <c r="C281" s="175" t="s">
        <v>984</v>
      </c>
      <c r="D281" s="128" t="s">
        <v>985</v>
      </c>
      <c r="E281" s="13">
        <v>99300000</v>
      </c>
      <c r="F281" s="13">
        <v>33892736</v>
      </c>
      <c r="G281" s="13">
        <v>99300000</v>
      </c>
      <c r="H281" s="13">
        <f t="shared" si="4"/>
        <v>0</v>
      </c>
      <c r="I281" s="125">
        <v>2.4</v>
      </c>
      <c r="J281" s="147" t="s">
        <v>987</v>
      </c>
    </row>
    <row r="282" spans="1:10" ht="14.25" customHeight="1">
      <c r="A282" s="127"/>
      <c r="B282" s="128">
        <v>19</v>
      </c>
      <c r="C282" s="175" t="s">
        <v>189</v>
      </c>
      <c r="D282" s="128" t="s">
        <v>350</v>
      </c>
      <c r="E282" s="13">
        <v>385700000</v>
      </c>
      <c r="F282" s="13">
        <v>97547396</v>
      </c>
      <c r="G282" s="13">
        <v>285797419</v>
      </c>
      <c r="H282" s="13">
        <f t="shared" si="4"/>
        <v>99902581</v>
      </c>
      <c r="I282" s="125">
        <v>2.4</v>
      </c>
      <c r="J282" s="147" t="s">
        <v>263</v>
      </c>
    </row>
    <row r="283" spans="1:10" ht="14.25" customHeight="1">
      <c r="A283" s="127"/>
      <c r="B283" s="128">
        <v>19</v>
      </c>
      <c r="C283" s="175" t="s">
        <v>984</v>
      </c>
      <c r="D283" s="128" t="s">
        <v>985</v>
      </c>
      <c r="E283" s="13">
        <v>355900000</v>
      </c>
      <c r="F283" s="13">
        <v>90010677</v>
      </c>
      <c r="G283" s="13">
        <v>263716104</v>
      </c>
      <c r="H283" s="13">
        <f t="shared" si="4"/>
        <v>92183896</v>
      </c>
      <c r="I283" s="125">
        <v>2.4</v>
      </c>
      <c r="J283" s="147" t="s">
        <v>1081</v>
      </c>
    </row>
    <row r="284" spans="1:10" ht="14.25" customHeight="1">
      <c r="A284" s="127"/>
      <c r="B284" s="128">
        <v>19</v>
      </c>
      <c r="C284" s="175" t="s">
        <v>984</v>
      </c>
      <c r="D284" s="128" t="s">
        <v>985</v>
      </c>
      <c r="E284" s="13">
        <v>218100000</v>
      </c>
      <c r="F284" s="13">
        <v>48734348</v>
      </c>
      <c r="G284" s="13">
        <v>142783422</v>
      </c>
      <c r="H284" s="13">
        <f t="shared" si="4"/>
        <v>75316578</v>
      </c>
      <c r="I284" s="125">
        <v>2.4</v>
      </c>
      <c r="J284" s="147" t="s">
        <v>1082</v>
      </c>
    </row>
    <row r="285" spans="1:10" ht="14.25" customHeight="1">
      <c r="A285" s="127"/>
      <c r="B285" s="128">
        <v>19</v>
      </c>
      <c r="C285" s="175" t="s">
        <v>984</v>
      </c>
      <c r="D285" s="128" t="s">
        <v>985</v>
      </c>
      <c r="E285" s="13">
        <v>61300000</v>
      </c>
      <c r="F285" s="13">
        <v>12253025</v>
      </c>
      <c r="G285" s="13">
        <v>35899297</v>
      </c>
      <c r="H285" s="13">
        <f t="shared" si="4"/>
        <v>25400703</v>
      </c>
      <c r="I285" s="125">
        <v>2.4</v>
      </c>
      <c r="J285" s="147" t="s">
        <v>1082</v>
      </c>
    </row>
    <row r="286" spans="1:10" ht="14.25" customHeight="1">
      <c r="A286" s="127"/>
      <c r="B286" s="128">
        <v>19</v>
      </c>
      <c r="C286" s="175" t="s">
        <v>984</v>
      </c>
      <c r="D286" s="128" t="s">
        <v>985</v>
      </c>
      <c r="E286" s="13">
        <v>285700000</v>
      </c>
      <c r="F286" s="13">
        <v>57107491</v>
      </c>
      <c r="G286" s="13">
        <v>167315318</v>
      </c>
      <c r="H286" s="13">
        <f t="shared" si="4"/>
        <v>118384682</v>
      </c>
      <c r="I286" s="125">
        <v>2.4</v>
      </c>
      <c r="J286" s="147" t="s">
        <v>1082</v>
      </c>
    </row>
    <row r="287" spans="1:10" ht="14.25" customHeight="1" thickBot="1">
      <c r="A287" s="176" t="s">
        <v>988</v>
      </c>
      <c r="B287" s="177" t="s">
        <v>173</v>
      </c>
      <c r="C287" s="178" t="s">
        <v>173</v>
      </c>
      <c r="D287" s="179" t="s">
        <v>173</v>
      </c>
      <c r="E287" s="180">
        <f>SUM(E196:E226,E231:E286)</f>
        <v>86567436000</v>
      </c>
      <c r="F287" s="180">
        <f>SUM(F196:F226,F231:F286)</f>
        <v>2100783715</v>
      </c>
      <c r="G287" s="180">
        <f>SUM(G196:G226,G231:G286)</f>
        <v>61805354463</v>
      </c>
      <c r="H287" s="180">
        <f>SUM(H196:H226,H231:H286)</f>
        <v>24762081537</v>
      </c>
      <c r="I287" s="181"/>
      <c r="J287" s="182" t="s">
        <v>173</v>
      </c>
    </row>
    <row r="288" spans="1:10" ht="9.75" customHeight="1" thickBot="1">
      <c r="A288" s="111"/>
      <c r="B288" s="142"/>
      <c r="C288" s="183"/>
      <c r="D288" s="142"/>
      <c r="E288" s="23"/>
      <c r="F288" s="23"/>
      <c r="G288" s="23"/>
      <c r="H288" s="23"/>
      <c r="I288" s="113"/>
      <c r="J288" s="110"/>
    </row>
    <row r="289" spans="1:10">
      <c r="A289" s="500" t="s">
        <v>996</v>
      </c>
      <c r="B289" s="502" t="s">
        <v>311</v>
      </c>
      <c r="C289" s="504" t="s">
        <v>891</v>
      </c>
      <c r="D289" s="502" t="s">
        <v>312</v>
      </c>
      <c r="E289" s="506" t="s">
        <v>892</v>
      </c>
      <c r="F289" s="508" t="s">
        <v>893</v>
      </c>
      <c r="G289" s="510"/>
      <c r="H289" s="494" t="s">
        <v>174</v>
      </c>
      <c r="I289" s="496" t="s">
        <v>894</v>
      </c>
      <c r="J289" s="498" t="s">
        <v>313</v>
      </c>
    </row>
    <row r="290" spans="1:10">
      <c r="A290" s="501"/>
      <c r="B290" s="503"/>
      <c r="C290" s="505"/>
      <c r="D290" s="503"/>
      <c r="E290" s="507"/>
      <c r="F290" s="115" t="s">
        <v>176</v>
      </c>
      <c r="G290" s="115" t="s">
        <v>305</v>
      </c>
      <c r="H290" s="495"/>
      <c r="I290" s="497"/>
      <c r="J290" s="499"/>
    </row>
    <row r="291" spans="1:10">
      <c r="A291" s="117"/>
      <c r="B291" s="118"/>
      <c r="C291" s="118"/>
      <c r="D291" s="119" t="s">
        <v>177</v>
      </c>
      <c r="E291" s="44" t="s">
        <v>178</v>
      </c>
      <c r="F291" s="44" t="s">
        <v>172</v>
      </c>
      <c r="G291" s="44" t="s">
        <v>178</v>
      </c>
      <c r="H291" s="44" t="s">
        <v>178</v>
      </c>
      <c r="I291" s="120" t="s">
        <v>895</v>
      </c>
      <c r="J291" s="121" t="s">
        <v>175</v>
      </c>
    </row>
    <row r="292" spans="1:10">
      <c r="A292" s="122" t="s">
        <v>290</v>
      </c>
      <c r="B292" s="123" t="s">
        <v>1083</v>
      </c>
      <c r="C292" s="124" t="s">
        <v>180</v>
      </c>
      <c r="D292" s="123" t="s">
        <v>1084</v>
      </c>
      <c r="E292" s="13">
        <v>500000000</v>
      </c>
      <c r="F292" s="13">
        <v>0</v>
      </c>
      <c r="G292" s="13">
        <v>500000000</v>
      </c>
      <c r="H292" s="13">
        <f t="shared" ref="H292:H344" si="5">E292-G292</f>
        <v>0</v>
      </c>
      <c r="I292" s="125">
        <v>8.5</v>
      </c>
      <c r="J292" s="147" t="s">
        <v>194</v>
      </c>
    </row>
    <row r="293" spans="1:10">
      <c r="A293" s="127" t="s">
        <v>182</v>
      </c>
      <c r="B293" s="128" t="s">
        <v>245</v>
      </c>
      <c r="C293" s="124" t="s">
        <v>180</v>
      </c>
      <c r="D293" s="123" t="s">
        <v>1085</v>
      </c>
      <c r="E293" s="13">
        <v>400000000</v>
      </c>
      <c r="F293" s="13">
        <v>0</v>
      </c>
      <c r="G293" s="13">
        <v>400000000</v>
      </c>
      <c r="H293" s="13">
        <f t="shared" si="5"/>
        <v>0</v>
      </c>
      <c r="I293" s="125">
        <v>9.1</v>
      </c>
      <c r="J293" s="147" t="s">
        <v>198</v>
      </c>
    </row>
    <row r="294" spans="1:10" ht="14.25" customHeight="1">
      <c r="A294" s="122"/>
      <c r="B294" s="128">
        <v>49</v>
      </c>
      <c r="C294" s="124" t="s">
        <v>180</v>
      </c>
      <c r="D294" s="123" t="s">
        <v>1086</v>
      </c>
      <c r="E294" s="13">
        <v>800000000</v>
      </c>
      <c r="F294" s="13">
        <v>0</v>
      </c>
      <c r="G294" s="13">
        <v>800000000</v>
      </c>
      <c r="H294" s="13">
        <f t="shared" si="5"/>
        <v>0</v>
      </c>
      <c r="I294" s="125">
        <v>9.1</v>
      </c>
      <c r="J294" s="147" t="s">
        <v>201</v>
      </c>
    </row>
    <row r="295" spans="1:10" ht="14.25" customHeight="1">
      <c r="A295" s="127"/>
      <c r="B295" s="128" t="s">
        <v>245</v>
      </c>
      <c r="C295" s="124" t="s">
        <v>180</v>
      </c>
      <c r="D295" s="123" t="s">
        <v>1087</v>
      </c>
      <c r="E295" s="13">
        <v>200000000</v>
      </c>
      <c r="F295" s="13">
        <v>0</v>
      </c>
      <c r="G295" s="13">
        <v>200000000</v>
      </c>
      <c r="H295" s="13">
        <f t="shared" si="5"/>
        <v>0</v>
      </c>
      <c r="I295" s="125">
        <v>8.6</v>
      </c>
      <c r="J295" s="147" t="s">
        <v>201</v>
      </c>
    </row>
    <row r="296" spans="1:10" ht="14.25" customHeight="1">
      <c r="A296" s="127"/>
      <c r="B296" s="128" t="s">
        <v>248</v>
      </c>
      <c r="C296" s="129" t="s">
        <v>189</v>
      </c>
      <c r="D296" s="123" t="s">
        <v>1088</v>
      </c>
      <c r="E296" s="13">
        <v>300000000</v>
      </c>
      <c r="F296" s="13">
        <v>0</v>
      </c>
      <c r="G296" s="13">
        <v>300000000</v>
      </c>
      <c r="H296" s="13">
        <f t="shared" si="5"/>
        <v>0</v>
      </c>
      <c r="I296" s="125">
        <v>7.7</v>
      </c>
      <c r="J296" s="147" t="s">
        <v>246</v>
      </c>
    </row>
    <row r="297" spans="1:10" ht="14.25" customHeight="1">
      <c r="A297" s="127"/>
      <c r="B297" s="128" t="s">
        <v>248</v>
      </c>
      <c r="C297" s="124" t="s">
        <v>180</v>
      </c>
      <c r="D297" s="123" t="s">
        <v>1089</v>
      </c>
      <c r="E297" s="13">
        <v>500000000</v>
      </c>
      <c r="F297" s="13">
        <v>0</v>
      </c>
      <c r="G297" s="13">
        <v>500000000</v>
      </c>
      <c r="H297" s="13">
        <f t="shared" si="5"/>
        <v>0</v>
      </c>
      <c r="I297" s="125">
        <v>8.6</v>
      </c>
      <c r="J297" s="147" t="s">
        <v>201</v>
      </c>
    </row>
    <row r="298" spans="1:10" ht="14.25" customHeight="1">
      <c r="A298" s="127"/>
      <c r="B298" s="128" t="s">
        <v>248</v>
      </c>
      <c r="C298" s="124" t="s">
        <v>180</v>
      </c>
      <c r="D298" s="123" t="s">
        <v>1090</v>
      </c>
      <c r="E298" s="13">
        <v>1000000000</v>
      </c>
      <c r="F298" s="13">
        <v>0</v>
      </c>
      <c r="G298" s="13">
        <v>1000000000</v>
      </c>
      <c r="H298" s="13">
        <f t="shared" si="5"/>
        <v>0</v>
      </c>
      <c r="I298" s="125">
        <v>8.6</v>
      </c>
      <c r="J298" s="147" t="s">
        <v>204</v>
      </c>
    </row>
    <row r="299" spans="1:10" ht="14.25" customHeight="1">
      <c r="A299" s="122"/>
      <c r="B299" s="128" t="s">
        <v>250</v>
      </c>
      <c r="C299" s="129" t="s">
        <v>189</v>
      </c>
      <c r="D299" s="123" t="s">
        <v>1091</v>
      </c>
      <c r="E299" s="13">
        <v>1000000000</v>
      </c>
      <c r="F299" s="13">
        <v>0</v>
      </c>
      <c r="G299" s="13">
        <v>1000000000</v>
      </c>
      <c r="H299" s="13">
        <f t="shared" si="5"/>
        <v>0</v>
      </c>
      <c r="I299" s="125">
        <v>7.7</v>
      </c>
      <c r="J299" s="147" t="s">
        <v>244</v>
      </c>
    </row>
    <row r="300" spans="1:10" ht="14.25" customHeight="1">
      <c r="A300" s="122"/>
      <c r="B300" s="123" t="s">
        <v>291</v>
      </c>
      <c r="C300" s="129" t="s">
        <v>189</v>
      </c>
      <c r="D300" s="123" t="s">
        <v>1092</v>
      </c>
      <c r="E300" s="13">
        <v>1100000000</v>
      </c>
      <c r="F300" s="13">
        <v>0</v>
      </c>
      <c r="G300" s="13">
        <v>1100000000</v>
      </c>
      <c r="H300" s="13">
        <f t="shared" si="5"/>
        <v>0</v>
      </c>
      <c r="I300" s="125">
        <v>6.7</v>
      </c>
      <c r="J300" s="147" t="s">
        <v>247</v>
      </c>
    </row>
    <row r="301" spans="1:10" ht="14.25" customHeight="1">
      <c r="A301" s="122"/>
      <c r="B301" s="128">
        <v>52</v>
      </c>
      <c r="C301" s="129" t="s">
        <v>189</v>
      </c>
      <c r="D301" s="128" t="s">
        <v>1093</v>
      </c>
      <c r="E301" s="13">
        <v>1000000000</v>
      </c>
      <c r="F301" s="13">
        <v>0</v>
      </c>
      <c r="G301" s="13">
        <v>1000000000</v>
      </c>
      <c r="H301" s="13">
        <f t="shared" si="5"/>
        <v>0</v>
      </c>
      <c r="I301" s="125">
        <v>6.25</v>
      </c>
      <c r="J301" s="147" t="s">
        <v>247</v>
      </c>
    </row>
    <row r="302" spans="1:10" ht="14.25" customHeight="1">
      <c r="A302" s="127"/>
      <c r="B302" s="128" t="s">
        <v>252</v>
      </c>
      <c r="C302" s="129" t="s">
        <v>189</v>
      </c>
      <c r="D302" s="123" t="s">
        <v>1094</v>
      </c>
      <c r="E302" s="13">
        <v>1207000000</v>
      </c>
      <c r="F302" s="13">
        <v>0</v>
      </c>
      <c r="G302" s="13">
        <v>1207000000</v>
      </c>
      <c r="H302" s="13">
        <f t="shared" si="5"/>
        <v>0</v>
      </c>
      <c r="I302" s="125">
        <v>6.25</v>
      </c>
      <c r="J302" s="147" t="s">
        <v>249</v>
      </c>
    </row>
    <row r="303" spans="1:10" ht="14.25" customHeight="1">
      <c r="A303" s="127"/>
      <c r="B303" s="128" t="s">
        <v>254</v>
      </c>
      <c r="C303" s="129" t="s">
        <v>189</v>
      </c>
      <c r="D303" s="123" t="s">
        <v>1095</v>
      </c>
      <c r="E303" s="13">
        <v>1000000000</v>
      </c>
      <c r="F303" s="13">
        <v>0</v>
      </c>
      <c r="G303" s="13">
        <v>1000000000</v>
      </c>
      <c r="H303" s="13">
        <f t="shared" si="5"/>
        <v>0</v>
      </c>
      <c r="I303" s="125">
        <v>6.25</v>
      </c>
      <c r="J303" s="147" t="s">
        <v>249</v>
      </c>
    </row>
    <row r="304" spans="1:10" ht="14.25" customHeight="1">
      <c r="A304" s="127"/>
      <c r="B304" s="128" t="s">
        <v>252</v>
      </c>
      <c r="C304" s="129" t="s">
        <v>180</v>
      </c>
      <c r="D304" s="123" t="s">
        <v>1096</v>
      </c>
      <c r="E304" s="13">
        <v>553000000</v>
      </c>
      <c r="F304" s="13">
        <v>0</v>
      </c>
      <c r="G304" s="13">
        <v>553000000</v>
      </c>
      <c r="H304" s="13">
        <f t="shared" si="5"/>
        <v>0</v>
      </c>
      <c r="I304" s="125">
        <v>6.6</v>
      </c>
      <c r="J304" s="147" t="s">
        <v>214</v>
      </c>
    </row>
    <row r="305" spans="1:10" ht="14.25" customHeight="1">
      <c r="A305" s="127"/>
      <c r="B305" s="128" t="s">
        <v>254</v>
      </c>
      <c r="C305" s="129" t="s">
        <v>189</v>
      </c>
      <c r="D305" s="123" t="s">
        <v>1097</v>
      </c>
      <c r="E305" s="13">
        <v>1000000000</v>
      </c>
      <c r="F305" s="13">
        <v>0</v>
      </c>
      <c r="G305" s="13">
        <v>1000000000</v>
      </c>
      <c r="H305" s="13">
        <f t="shared" si="5"/>
        <v>0</v>
      </c>
      <c r="I305" s="125">
        <v>7.25</v>
      </c>
      <c r="J305" s="147" t="s">
        <v>251</v>
      </c>
    </row>
    <row r="306" spans="1:10" ht="14.25" customHeight="1">
      <c r="A306" s="127"/>
      <c r="B306" s="128" t="s">
        <v>254</v>
      </c>
      <c r="C306" s="129" t="s">
        <v>189</v>
      </c>
      <c r="D306" s="123" t="s">
        <v>1098</v>
      </c>
      <c r="E306" s="13">
        <v>977000000</v>
      </c>
      <c r="F306" s="13">
        <v>0</v>
      </c>
      <c r="G306" s="13">
        <v>977000000</v>
      </c>
      <c r="H306" s="13">
        <f t="shared" si="5"/>
        <v>0</v>
      </c>
      <c r="I306" s="125">
        <v>7.25</v>
      </c>
      <c r="J306" s="147" t="s">
        <v>251</v>
      </c>
    </row>
    <row r="307" spans="1:10" ht="14.25" customHeight="1">
      <c r="A307" s="127"/>
      <c r="B307" s="128" t="s">
        <v>257</v>
      </c>
      <c r="C307" s="129" t="s">
        <v>189</v>
      </c>
      <c r="D307" s="123" t="s">
        <v>1099</v>
      </c>
      <c r="E307" s="13">
        <v>2600000000</v>
      </c>
      <c r="F307" s="13">
        <v>0</v>
      </c>
      <c r="G307" s="13">
        <v>2600000000</v>
      </c>
      <c r="H307" s="13">
        <f t="shared" si="5"/>
        <v>0</v>
      </c>
      <c r="I307" s="125">
        <v>7.25</v>
      </c>
      <c r="J307" s="147" t="s">
        <v>251</v>
      </c>
    </row>
    <row r="308" spans="1:10" ht="14.25" customHeight="1">
      <c r="A308" s="127"/>
      <c r="B308" s="128" t="s">
        <v>257</v>
      </c>
      <c r="C308" s="129" t="s">
        <v>189</v>
      </c>
      <c r="D308" s="123" t="s">
        <v>1100</v>
      </c>
      <c r="E308" s="13">
        <v>1435000000</v>
      </c>
      <c r="F308" s="13">
        <v>0</v>
      </c>
      <c r="G308" s="13">
        <v>1435000000</v>
      </c>
      <c r="H308" s="13">
        <f t="shared" si="5"/>
        <v>0</v>
      </c>
      <c r="I308" s="125">
        <v>8.1</v>
      </c>
      <c r="J308" s="147" t="s">
        <v>1101</v>
      </c>
    </row>
    <row r="309" spans="1:10" ht="14.25" customHeight="1">
      <c r="A309" s="127"/>
      <c r="B309" s="128" t="s">
        <v>258</v>
      </c>
      <c r="C309" s="129" t="s">
        <v>189</v>
      </c>
      <c r="D309" s="123" t="s">
        <v>1102</v>
      </c>
      <c r="E309" s="13">
        <v>3380000000</v>
      </c>
      <c r="F309" s="13">
        <v>0</v>
      </c>
      <c r="G309" s="13">
        <v>3380000000</v>
      </c>
      <c r="H309" s="13">
        <f t="shared" si="5"/>
        <v>0</v>
      </c>
      <c r="I309" s="125">
        <v>8.1</v>
      </c>
      <c r="J309" s="147" t="s">
        <v>1101</v>
      </c>
    </row>
    <row r="310" spans="1:10" ht="14.25" customHeight="1">
      <c r="A310" s="127"/>
      <c r="B310" s="128" t="s">
        <v>258</v>
      </c>
      <c r="C310" s="129" t="s">
        <v>189</v>
      </c>
      <c r="D310" s="123" t="s">
        <v>1103</v>
      </c>
      <c r="E310" s="13">
        <v>1605000000</v>
      </c>
      <c r="F310" s="13">
        <v>0</v>
      </c>
      <c r="G310" s="13">
        <v>1605000000</v>
      </c>
      <c r="H310" s="13">
        <f t="shared" si="5"/>
        <v>0</v>
      </c>
      <c r="I310" s="125">
        <v>7.6</v>
      </c>
      <c r="J310" s="147" t="s">
        <v>1104</v>
      </c>
    </row>
    <row r="311" spans="1:10" ht="14.25" customHeight="1">
      <c r="A311" s="127"/>
      <c r="B311" s="128" t="s">
        <v>259</v>
      </c>
      <c r="C311" s="129" t="s">
        <v>189</v>
      </c>
      <c r="D311" s="123" t="s">
        <v>1105</v>
      </c>
      <c r="E311" s="13">
        <v>2800000000</v>
      </c>
      <c r="F311" s="13">
        <v>0</v>
      </c>
      <c r="G311" s="13">
        <v>2800000000</v>
      </c>
      <c r="H311" s="13">
        <f t="shared" si="5"/>
        <v>0</v>
      </c>
      <c r="I311" s="125">
        <v>7.4</v>
      </c>
      <c r="J311" s="147" t="s">
        <v>1106</v>
      </c>
    </row>
    <row r="312" spans="1:10" ht="14.25" customHeight="1">
      <c r="A312" s="127"/>
      <c r="B312" s="128" t="s">
        <v>259</v>
      </c>
      <c r="C312" s="129" t="s">
        <v>189</v>
      </c>
      <c r="D312" s="123" t="s">
        <v>1107</v>
      </c>
      <c r="E312" s="13">
        <v>1450000000</v>
      </c>
      <c r="F312" s="13">
        <v>0</v>
      </c>
      <c r="G312" s="13">
        <v>1450000000</v>
      </c>
      <c r="H312" s="13">
        <f t="shared" si="5"/>
        <v>0</v>
      </c>
      <c r="I312" s="125">
        <v>7.4</v>
      </c>
      <c r="J312" s="147" t="s">
        <v>1106</v>
      </c>
    </row>
    <row r="313" spans="1:10" ht="14.25" customHeight="1">
      <c r="A313" s="127"/>
      <c r="B313" s="128" t="s">
        <v>261</v>
      </c>
      <c r="C313" s="129" t="s">
        <v>189</v>
      </c>
      <c r="D313" s="123" t="s">
        <v>1108</v>
      </c>
      <c r="E313" s="13">
        <v>3480000000</v>
      </c>
      <c r="F313" s="13">
        <v>0</v>
      </c>
      <c r="G313" s="13">
        <v>3480000000</v>
      </c>
      <c r="H313" s="13">
        <f t="shared" si="5"/>
        <v>0</v>
      </c>
      <c r="I313" s="125">
        <v>7.4</v>
      </c>
      <c r="J313" s="147" t="s">
        <v>260</v>
      </c>
    </row>
    <row r="314" spans="1:10" ht="14.25" customHeight="1">
      <c r="A314" s="122"/>
      <c r="B314" s="128">
        <v>57</v>
      </c>
      <c r="C314" s="129" t="s">
        <v>189</v>
      </c>
      <c r="D314" s="123" t="s">
        <v>1109</v>
      </c>
      <c r="E314" s="13">
        <v>996000000</v>
      </c>
      <c r="F314" s="13">
        <v>0</v>
      </c>
      <c r="G314" s="13">
        <v>996000000</v>
      </c>
      <c r="H314" s="13">
        <f t="shared" si="5"/>
        <v>0</v>
      </c>
      <c r="I314" s="125">
        <v>7.4</v>
      </c>
      <c r="J314" s="147" t="s">
        <v>1110</v>
      </c>
    </row>
    <row r="315" spans="1:10" ht="14.25" customHeight="1">
      <c r="A315" s="127"/>
      <c r="B315" s="128" t="s">
        <v>262</v>
      </c>
      <c r="C315" s="129" t="s">
        <v>189</v>
      </c>
      <c r="D315" s="123" t="s">
        <v>1111</v>
      </c>
      <c r="E315" s="13">
        <v>1800000000</v>
      </c>
      <c r="F315" s="13">
        <v>0</v>
      </c>
      <c r="G315" s="13">
        <v>1800000000</v>
      </c>
      <c r="H315" s="13">
        <f t="shared" si="5"/>
        <v>0</v>
      </c>
      <c r="I315" s="125">
        <v>7.2</v>
      </c>
      <c r="J315" s="147" t="s">
        <v>1112</v>
      </c>
    </row>
    <row r="316" spans="1:10" ht="14.25" customHeight="1">
      <c r="A316" s="127"/>
      <c r="B316" s="128" t="s">
        <v>262</v>
      </c>
      <c r="C316" s="129" t="s">
        <v>189</v>
      </c>
      <c r="D316" s="123" t="s">
        <v>1113</v>
      </c>
      <c r="E316" s="13">
        <v>1683000000</v>
      </c>
      <c r="F316" s="13">
        <v>0</v>
      </c>
      <c r="G316" s="13">
        <v>1683000000</v>
      </c>
      <c r="H316" s="13">
        <f t="shared" si="5"/>
        <v>0</v>
      </c>
      <c r="I316" s="125">
        <v>7.2</v>
      </c>
      <c r="J316" s="147" t="s">
        <v>264</v>
      </c>
    </row>
    <row r="317" spans="1:10" ht="14.25" customHeight="1">
      <c r="A317" s="127"/>
      <c r="B317" s="128" t="s">
        <v>265</v>
      </c>
      <c r="C317" s="129" t="s">
        <v>189</v>
      </c>
      <c r="D317" s="123" t="s">
        <v>1114</v>
      </c>
      <c r="E317" s="13">
        <v>100000000</v>
      </c>
      <c r="F317" s="13">
        <v>0</v>
      </c>
      <c r="G317" s="13">
        <v>100000000</v>
      </c>
      <c r="H317" s="13">
        <f t="shared" si="5"/>
        <v>0</v>
      </c>
      <c r="I317" s="125">
        <v>7.2</v>
      </c>
      <c r="J317" s="147" t="s">
        <v>264</v>
      </c>
    </row>
    <row r="318" spans="1:10" ht="14.25" customHeight="1">
      <c r="A318" s="127"/>
      <c r="B318" s="128" t="s">
        <v>265</v>
      </c>
      <c r="C318" s="129" t="s">
        <v>266</v>
      </c>
      <c r="D318" s="123" t="s">
        <v>1115</v>
      </c>
      <c r="E318" s="13">
        <v>1000000000</v>
      </c>
      <c r="F318" s="13">
        <v>0</v>
      </c>
      <c r="G318" s="13">
        <v>1000000000</v>
      </c>
      <c r="H318" s="13">
        <f t="shared" si="5"/>
        <v>0</v>
      </c>
      <c r="I318" s="125">
        <v>6.9</v>
      </c>
      <c r="J318" s="147" t="s">
        <v>237</v>
      </c>
    </row>
    <row r="319" spans="1:10" ht="14.25" customHeight="1">
      <c r="A319" s="127"/>
      <c r="B319" s="128" t="s">
        <v>265</v>
      </c>
      <c r="C319" s="129" t="s">
        <v>189</v>
      </c>
      <c r="D319" s="123" t="s">
        <v>1116</v>
      </c>
      <c r="E319" s="13">
        <v>2077000000</v>
      </c>
      <c r="F319" s="13">
        <v>0</v>
      </c>
      <c r="G319" s="13">
        <v>2077000000</v>
      </c>
      <c r="H319" s="13">
        <f t="shared" si="5"/>
        <v>0</v>
      </c>
      <c r="I319" s="125">
        <v>7.2</v>
      </c>
      <c r="J319" s="147" t="s">
        <v>264</v>
      </c>
    </row>
    <row r="320" spans="1:10" ht="14.25" customHeight="1">
      <c r="A320" s="127"/>
      <c r="B320" s="128" t="s">
        <v>262</v>
      </c>
      <c r="C320" s="124" t="s">
        <v>180</v>
      </c>
      <c r="D320" s="123" t="s">
        <v>1117</v>
      </c>
      <c r="E320" s="13">
        <v>940000000</v>
      </c>
      <c r="F320" s="13">
        <v>0</v>
      </c>
      <c r="G320" s="13">
        <v>940000000</v>
      </c>
      <c r="H320" s="13">
        <f t="shared" si="5"/>
        <v>0</v>
      </c>
      <c r="I320" s="125">
        <v>6.9</v>
      </c>
      <c r="J320" s="147" t="s">
        <v>237</v>
      </c>
    </row>
    <row r="321" spans="1:10" ht="14.25" customHeight="1">
      <c r="A321" s="127"/>
      <c r="B321" s="128" t="s">
        <v>265</v>
      </c>
      <c r="C321" s="129" t="s">
        <v>189</v>
      </c>
      <c r="D321" s="123" t="s">
        <v>1118</v>
      </c>
      <c r="E321" s="13">
        <v>445000000</v>
      </c>
      <c r="F321" s="13">
        <v>0</v>
      </c>
      <c r="G321" s="13">
        <v>445000000</v>
      </c>
      <c r="H321" s="13">
        <f t="shared" si="5"/>
        <v>0</v>
      </c>
      <c r="I321" s="125">
        <v>6.9</v>
      </c>
      <c r="J321" s="147" t="s">
        <v>267</v>
      </c>
    </row>
    <row r="322" spans="1:10" ht="14.25" customHeight="1">
      <c r="A322" s="127"/>
      <c r="B322" s="128" t="s">
        <v>265</v>
      </c>
      <c r="C322" s="129" t="s">
        <v>185</v>
      </c>
      <c r="D322" s="123" t="s">
        <v>1119</v>
      </c>
      <c r="E322" s="13">
        <v>488000000</v>
      </c>
      <c r="F322" s="13">
        <v>0</v>
      </c>
      <c r="G322" s="13">
        <v>488000000</v>
      </c>
      <c r="H322" s="13">
        <f t="shared" si="5"/>
        <v>0</v>
      </c>
      <c r="I322" s="125">
        <v>6.8</v>
      </c>
      <c r="J322" s="147" t="s">
        <v>271</v>
      </c>
    </row>
    <row r="323" spans="1:10" ht="14.25" customHeight="1">
      <c r="A323" s="127"/>
      <c r="B323" s="128" t="s">
        <v>268</v>
      </c>
      <c r="C323" s="129" t="s">
        <v>266</v>
      </c>
      <c r="D323" s="123" t="s">
        <v>1120</v>
      </c>
      <c r="E323" s="13">
        <v>1000000000</v>
      </c>
      <c r="F323" s="13">
        <v>0</v>
      </c>
      <c r="G323" s="13">
        <v>1000000000</v>
      </c>
      <c r="H323" s="13">
        <f t="shared" si="5"/>
        <v>0</v>
      </c>
      <c r="I323" s="125">
        <v>5.8</v>
      </c>
      <c r="J323" s="147" t="s">
        <v>219</v>
      </c>
    </row>
    <row r="324" spans="1:10" ht="14.25" customHeight="1">
      <c r="A324" s="127"/>
      <c r="B324" s="128" t="s">
        <v>268</v>
      </c>
      <c r="C324" s="129" t="s">
        <v>189</v>
      </c>
      <c r="D324" s="123" t="s">
        <v>1121</v>
      </c>
      <c r="E324" s="13">
        <v>655000000</v>
      </c>
      <c r="F324" s="13">
        <v>0</v>
      </c>
      <c r="G324" s="13">
        <v>655000000</v>
      </c>
      <c r="H324" s="13">
        <f t="shared" si="5"/>
        <v>0</v>
      </c>
      <c r="I324" s="125">
        <v>6.4</v>
      </c>
      <c r="J324" s="147" t="s">
        <v>267</v>
      </c>
    </row>
    <row r="325" spans="1:10" ht="14.25" customHeight="1">
      <c r="A325" s="127"/>
      <c r="B325" s="128" t="s">
        <v>268</v>
      </c>
      <c r="C325" s="129" t="s">
        <v>185</v>
      </c>
      <c r="D325" s="123" t="s">
        <v>1122</v>
      </c>
      <c r="E325" s="13">
        <v>1302000000</v>
      </c>
      <c r="F325" s="13">
        <v>0</v>
      </c>
      <c r="G325" s="13">
        <v>1302000000</v>
      </c>
      <c r="H325" s="13">
        <f t="shared" si="5"/>
        <v>0</v>
      </c>
      <c r="I325" s="125">
        <v>6.05</v>
      </c>
      <c r="J325" s="147" t="s">
        <v>276</v>
      </c>
    </row>
    <row r="326" spans="1:10" ht="14.25" customHeight="1">
      <c r="A326" s="127"/>
      <c r="B326" s="128" t="s">
        <v>268</v>
      </c>
      <c r="C326" s="129" t="s">
        <v>189</v>
      </c>
      <c r="D326" s="123" t="s">
        <v>1123</v>
      </c>
      <c r="E326" s="13">
        <v>647000000</v>
      </c>
      <c r="F326" s="13">
        <v>0</v>
      </c>
      <c r="G326" s="13">
        <v>647000000</v>
      </c>
      <c r="H326" s="13">
        <f t="shared" si="5"/>
        <v>0</v>
      </c>
      <c r="I326" s="125">
        <v>6.15</v>
      </c>
      <c r="J326" s="147" t="s">
        <v>269</v>
      </c>
    </row>
    <row r="327" spans="1:10" ht="14.25" customHeight="1">
      <c r="A327" s="122"/>
      <c r="B327" s="123" t="s">
        <v>1124</v>
      </c>
      <c r="C327" s="129" t="s">
        <v>189</v>
      </c>
      <c r="D327" s="123" t="s">
        <v>1125</v>
      </c>
      <c r="E327" s="13">
        <v>688000000</v>
      </c>
      <c r="F327" s="13">
        <v>40836856</v>
      </c>
      <c r="G327" s="13">
        <v>501045965</v>
      </c>
      <c r="H327" s="13">
        <f t="shared" si="5"/>
        <v>186954035</v>
      </c>
      <c r="I327" s="125">
        <v>5.4</v>
      </c>
      <c r="J327" s="147" t="s">
        <v>269</v>
      </c>
    </row>
    <row r="328" spans="1:10" ht="14.25" customHeight="1">
      <c r="A328" s="127"/>
      <c r="B328" s="128" t="s">
        <v>270</v>
      </c>
      <c r="C328" s="129" t="s">
        <v>189</v>
      </c>
      <c r="D328" s="123" t="s">
        <v>1126</v>
      </c>
      <c r="E328" s="13">
        <v>320000000</v>
      </c>
      <c r="F328" s="13">
        <v>18374890</v>
      </c>
      <c r="G328" s="13">
        <v>237337297</v>
      </c>
      <c r="H328" s="13">
        <f t="shared" si="5"/>
        <v>82662703</v>
      </c>
      <c r="I328" s="125">
        <v>4.7</v>
      </c>
      <c r="J328" s="147" t="s">
        <v>269</v>
      </c>
    </row>
    <row r="329" spans="1:10" ht="14.25" customHeight="1">
      <c r="A329" s="127"/>
      <c r="B329" s="128" t="s">
        <v>270</v>
      </c>
      <c r="C329" s="129" t="s">
        <v>189</v>
      </c>
      <c r="D329" s="123" t="s">
        <v>1127</v>
      </c>
      <c r="E329" s="13">
        <v>79000000</v>
      </c>
      <c r="F329" s="13">
        <v>4536301</v>
      </c>
      <c r="G329" s="13">
        <v>58592646</v>
      </c>
      <c r="H329" s="13">
        <f t="shared" si="5"/>
        <v>20407354</v>
      </c>
      <c r="I329" s="125">
        <v>4.7</v>
      </c>
      <c r="J329" s="147" t="s">
        <v>269</v>
      </c>
    </row>
    <row r="330" spans="1:10" ht="14.25" customHeight="1">
      <c r="A330" s="127"/>
      <c r="B330" s="128" t="s">
        <v>270</v>
      </c>
      <c r="C330" s="129" t="s">
        <v>185</v>
      </c>
      <c r="D330" s="123" t="s">
        <v>1128</v>
      </c>
      <c r="E330" s="13">
        <v>1086000000</v>
      </c>
      <c r="F330" s="13">
        <v>53845849</v>
      </c>
      <c r="G330" s="13">
        <v>659777813</v>
      </c>
      <c r="H330" s="13">
        <f t="shared" si="5"/>
        <v>426222187</v>
      </c>
      <c r="I330" s="125">
        <v>5.2</v>
      </c>
      <c r="J330" s="147" t="s">
        <v>277</v>
      </c>
    </row>
    <row r="331" spans="1:10" ht="14.25" customHeight="1">
      <c r="A331" s="127"/>
      <c r="B331" s="128" t="s">
        <v>272</v>
      </c>
      <c r="C331" s="129" t="s">
        <v>189</v>
      </c>
      <c r="D331" s="123" t="s">
        <v>1129</v>
      </c>
      <c r="E331" s="13">
        <v>545000000</v>
      </c>
      <c r="F331" s="13">
        <v>30334054</v>
      </c>
      <c r="G331" s="13">
        <v>368145828</v>
      </c>
      <c r="H331" s="13">
        <f t="shared" si="5"/>
        <v>176854172</v>
      </c>
      <c r="I331" s="125">
        <v>5.0999999999999996</v>
      </c>
      <c r="J331" s="147" t="s">
        <v>271</v>
      </c>
    </row>
    <row r="332" spans="1:10" ht="14.25" customHeight="1">
      <c r="A332" s="122"/>
      <c r="B332" s="123" t="s">
        <v>1130</v>
      </c>
      <c r="C332" s="129" t="s">
        <v>185</v>
      </c>
      <c r="D332" s="123" t="s">
        <v>1131</v>
      </c>
      <c r="E332" s="13">
        <v>545000000</v>
      </c>
      <c r="F332" s="13">
        <v>25621781</v>
      </c>
      <c r="G332" s="13">
        <v>305582268</v>
      </c>
      <c r="H332" s="13">
        <f t="shared" si="5"/>
        <v>239417732</v>
      </c>
      <c r="I332" s="125">
        <v>5.0999999999999996</v>
      </c>
      <c r="J332" s="147" t="s">
        <v>280</v>
      </c>
    </row>
    <row r="333" spans="1:10" ht="14.25" customHeight="1">
      <c r="A333" s="127"/>
      <c r="B333" s="128" t="s">
        <v>275</v>
      </c>
      <c r="C333" s="129" t="s">
        <v>189</v>
      </c>
      <c r="D333" s="123" t="s">
        <v>1132</v>
      </c>
      <c r="E333" s="13">
        <v>600000000</v>
      </c>
      <c r="F333" s="13">
        <v>31622404</v>
      </c>
      <c r="G333" s="13">
        <v>374064323</v>
      </c>
      <c r="H333" s="13">
        <f t="shared" si="5"/>
        <v>225935677</v>
      </c>
      <c r="I333" s="125">
        <v>4.95</v>
      </c>
      <c r="J333" s="147" t="s">
        <v>276</v>
      </c>
    </row>
    <row r="334" spans="1:10" ht="14.25" customHeight="1">
      <c r="A334" s="127"/>
      <c r="B334" s="128" t="s">
        <v>275</v>
      </c>
      <c r="C334" s="129" t="s">
        <v>185</v>
      </c>
      <c r="D334" s="123" t="s">
        <v>1133</v>
      </c>
      <c r="E334" s="13">
        <v>796000000</v>
      </c>
      <c r="F334" s="13">
        <v>35675421</v>
      </c>
      <c r="G334" s="13">
        <v>402122199</v>
      </c>
      <c r="H334" s="13">
        <f t="shared" si="5"/>
        <v>393877801</v>
      </c>
      <c r="I334" s="125">
        <v>5.4</v>
      </c>
      <c r="J334" s="147" t="s">
        <v>283</v>
      </c>
    </row>
    <row r="335" spans="1:10" ht="14.25" customHeight="1">
      <c r="A335" s="127"/>
      <c r="B335" s="123" t="s">
        <v>1134</v>
      </c>
      <c r="C335" s="129" t="s">
        <v>189</v>
      </c>
      <c r="D335" s="123" t="s">
        <v>1135</v>
      </c>
      <c r="E335" s="13">
        <v>300000000</v>
      </c>
      <c r="F335" s="13">
        <v>0</v>
      </c>
      <c r="G335" s="13">
        <v>300000000</v>
      </c>
      <c r="H335" s="13">
        <f t="shared" si="5"/>
        <v>0</v>
      </c>
      <c r="I335" s="125">
        <v>6.3</v>
      </c>
      <c r="J335" s="147" t="s">
        <v>277</v>
      </c>
    </row>
    <row r="336" spans="1:10" ht="14.25" customHeight="1">
      <c r="A336" s="127"/>
      <c r="B336" s="128" t="s">
        <v>1136</v>
      </c>
      <c r="C336" s="129" t="s">
        <v>185</v>
      </c>
      <c r="D336" s="123" t="s">
        <v>1137</v>
      </c>
      <c r="E336" s="13">
        <v>815000000</v>
      </c>
      <c r="F336" s="13">
        <v>0</v>
      </c>
      <c r="G336" s="13">
        <v>815000000</v>
      </c>
      <c r="H336" s="13">
        <f t="shared" si="5"/>
        <v>0</v>
      </c>
      <c r="I336" s="125">
        <v>6.6</v>
      </c>
      <c r="J336" s="147" t="s">
        <v>285</v>
      </c>
    </row>
    <row r="337" spans="1:10" ht="14.25" customHeight="1">
      <c r="A337" s="127"/>
      <c r="B337" s="128" t="s">
        <v>1138</v>
      </c>
      <c r="C337" s="129" t="s">
        <v>189</v>
      </c>
      <c r="D337" s="123" t="s">
        <v>1139</v>
      </c>
      <c r="E337" s="13">
        <v>258000000</v>
      </c>
      <c r="F337" s="13">
        <v>0</v>
      </c>
      <c r="G337" s="13">
        <v>258000000</v>
      </c>
      <c r="H337" s="13">
        <f t="shared" si="5"/>
        <v>0</v>
      </c>
      <c r="I337" s="125">
        <v>6.7</v>
      </c>
      <c r="J337" s="147" t="s">
        <v>280</v>
      </c>
    </row>
    <row r="338" spans="1:10" ht="14.25" customHeight="1">
      <c r="A338" s="127"/>
      <c r="B338" s="123" t="s">
        <v>279</v>
      </c>
      <c r="C338" s="129" t="s">
        <v>189</v>
      </c>
      <c r="D338" s="123" t="s">
        <v>1140</v>
      </c>
      <c r="E338" s="13">
        <v>400000000</v>
      </c>
      <c r="F338" s="13">
        <v>0</v>
      </c>
      <c r="G338" s="13">
        <v>400000000</v>
      </c>
      <c r="H338" s="13">
        <f t="shared" si="5"/>
        <v>0</v>
      </c>
      <c r="I338" s="125">
        <v>6.65</v>
      </c>
      <c r="J338" s="147" t="s">
        <v>280</v>
      </c>
    </row>
    <row r="339" spans="1:10" ht="14.25" customHeight="1">
      <c r="A339" s="127"/>
      <c r="B339" s="123" t="s">
        <v>279</v>
      </c>
      <c r="C339" s="129" t="s">
        <v>185</v>
      </c>
      <c r="D339" s="123" t="s">
        <v>1141</v>
      </c>
      <c r="E339" s="13">
        <v>212000000</v>
      </c>
      <c r="F339" s="13">
        <v>8302608</v>
      </c>
      <c r="G339" s="13">
        <v>83659808</v>
      </c>
      <c r="H339" s="13">
        <f t="shared" si="5"/>
        <v>128340192</v>
      </c>
      <c r="I339" s="125">
        <v>5.5</v>
      </c>
      <c r="J339" s="147" t="s">
        <v>282</v>
      </c>
    </row>
    <row r="340" spans="1:10" ht="14.25" customHeight="1">
      <c r="A340" s="127"/>
      <c r="B340" s="123" t="s">
        <v>292</v>
      </c>
      <c r="C340" s="129" t="s">
        <v>189</v>
      </c>
      <c r="D340" s="123" t="s">
        <v>1142</v>
      </c>
      <c r="E340" s="13">
        <v>52000000</v>
      </c>
      <c r="F340" s="13">
        <v>2362688</v>
      </c>
      <c r="G340" s="13">
        <v>23612933</v>
      </c>
      <c r="H340" s="13">
        <f t="shared" si="5"/>
        <v>28387067</v>
      </c>
      <c r="I340" s="125">
        <v>5.65</v>
      </c>
      <c r="J340" s="147" t="s">
        <v>283</v>
      </c>
    </row>
    <row r="341" spans="1:10" ht="14.25" customHeight="1">
      <c r="A341" s="127"/>
      <c r="B341" s="123" t="s">
        <v>279</v>
      </c>
      <c r="C341" s="129" t="s">
        <v>189</v>
      </c>
      <c r="D341" s="123" t="s">
        <v>1142</v>
      </c>
      <c r="E341" s="13">
        <v>336000000</v>
      </c>
      <c r="F341" s="13">
        <v>15269398</v>
      </c>
      <c r="G341" s="13">
        <v>153020562</v>
      </c>
      <c r="H341" s="13">
        <f t="shared" si="5"/>
        <v>182979438</v>
      </c>
      <c r="I341" s="125">
        <v>5.6</v>
      </c>
      <c r="J341" s="147" t="s">
        <v>283</v>
      </c>
    </row>
    <row r="342" spans="1:10" ht="14.25" customHeight="1">
      <c r="A342" s="127"/>
      <c r="B342" s="123" t="s">
        <v>281</v>
      </c>
      <c r="C342" s="129" t="s">
        <v>189</v>
      </c>
      <c r="D342" s="123" t="s">
        <v>1142</v>
      </c>
      <c r="E342" s="13">
        <v>300000000</v>
      </c>
      <c r="F342" s="13">
        <v>13630891</v>
      </c>
      <c r="G342" s="13">
        <v>136228448</v>
      </c>
      <c r="H342" s="13">
        <f t="shared" si="5"/>
        <v>163771552</v>
      </c>
      <c r="I342" s="125">
        <v>5.65</v>
      </c>
      <c r="J342" s="147" t="s">
        <v>283</v>
      </c>
    </row>
    <row r="343" spans="1:10" ht="14.25" customHeight="1">
      <c r="A343" s="127"/>
      <c r="B343" s="123" t="s">
        <v>281</v>
      </c>
      <c r="C343" s="129" t="s">
        <v>185</v>
      </c>
      <c r="D343" s="123" t="s">
        <v>1143</v>
      </c>
      <c r="E343" s="13">
        <v>440000000</v>
      </c>
      <c r="F343" s="13">
        <v>16762196</v>
      </c>
      <c r="G343" s="13">
        <v>170061806</v>
      </c>
      <c r="H343" s="13">
        <f t="shared" si="5"/>
        <v>269938194</v>
      </c>
      <c r="I343" s="125">
        <v>4.4000000000000004</v>
      </c>
      <c r="J343" s="147" t="s">
        <v>284</v>
      </c>
    </row>
    <row r="344" spans="1:10" ht="14.25" customHeight="1" thickBot="1">
      <c r="A344" s="169"/>
      <c r="B344" s="123" t="s">
        <v>281</v>
      </c>
      <c r="C344" s="129" t="s">
        <v>189</v>
      </c>
      <c r="D344" s="123" t="s">
        <v>1144</v>
      </c>
      <c r="E344" s="13">
        <v>260000000</v>
      </c>
      <c r="F344" s="13">
        <v>11319146</v>
      </c>
      <c r="G344" s="13">
        <v>114235428</v>
      </c>
      <c r="H344" s="13">
        <f t="shared" si="5"/>
        <v>145764572</v>
      </c>
      <c r="I344" s="125">
        <v>4.5</v>
      </c>
      <c r="J344" s="147" t="s">
        <v>285</v>
      </c>
    </row>
    <row r="345" spans="1:10" ht="9.75" customHeight="1" thickBot="1">
      <c r="A345" s="165"/>
      <c r="B345" s="166"/>
      <c r="C345" s="165"/>
      <c r="D345" s="166"/>
      <c r="E345" s="28"/>
      <c r="F345" s="28"/>
      <c r="G345" s="28"/>
      <c r="H345" s="28"/>
      <c r="I345" s="167"/>
      <c r="J345" s="168"/>
    </row>
    <row r="346" spans="1:10">
      <c r="A346" s="500" t="s">
        <v>1145</v>
      </c>
      <c r="B346" s="502" t="s">
        <v>311</v>
      </c>
      <c r="C346" s="504" t="s">
        <v>891</v>
      </c>
      <c r="D346" s="502" t="s">
        <v>312</v>
      </c>
      <c r="E346" s="506" t="s">
        <v>892</v>
      </c>
      <c r="F346" s="508" t="s">
        <v>893</v>
      </c>
      <c r="G346" s="510"/>
      <c r="H346" s="494" t="s">
        <v>174</v>
      </c>
      <c r="I346" s="496" t="s">
        <v>894</v>
      </c>
      <c r="J346" s="498" t="s">
        <v>313</v>
      </c>
    </row>
    <row r="347" spans="1:10">
      <c r="A347" s="501"/>
      <c r="B347" s="503"/>
      <c r="C347" s="505"/>
      <c r="D347" s="503"/>
      <c r="E347" s="507"/>
      <c r="F347" s="115" t="s">
        <v>176</v>
      </c>
      <c r="G347" s="115" t="s">
        <v>305</v>
      </c>
      <c r="H347" s="495"/>
      <c r="I347" s="497"/>
      <c r="J347" s="499"/>
    </row>
    <row r="348" spans="1:10">
      <c r="A348" s="117"/>
      <c r="B348" s="118"/>
      <c r="C348" s="118"/>
      <c r="D348" s="119" t="s">
        <v>177</v>
      </c>
      <c r="E348" s="44" t="s">
        <v>178</v>
      </c>
      <c r="F348" s="44" t="s">
        <v>172</v>
      </c>
      <c r="G348" s="44" t="s">
        <v>178</v>
      </c>
      <c r="H348" s="44" t="s">
        <v>178</v>
      </c>
      <c r="I348" s="120" t="s">
        <v>895</v>
      </c>
      <c r="J348" s="121" t="s">
        <v>175</v>
      </c>
    </row>
    <row r="349" spans="1:10">
      <c r="A349" s="122" t="s">
        <v>290</v>
      </c>
      <c r="B349" s="128" t="s">
        <v>341</v>
      </c>
      <c r="C349" s="129" t="s">
        <v>189</v>
      </c>
      <c r="D349" s="123" t="s">
        <v>694</v>
      </c>
      <c r="E349" s="13">
        <v>80000000</v>
      </c>
      <c r="F349" s="13">
        <v>3484372</v>
      </c>
      <c r="G349" s="13">
        <v>35257797</v>
      </c>
      <c r="H349" s="13">
        <f t="shared" ref="H349:H406" si="6">E349-G349</f>
        <v>44742203</v>
      </c>
      <c r="I349" s="125">
        <v>4.45</v>
      </c>
      <c r="J349" s="147" t="s">
        <v>285</v>
      </c>
    </row>
    <row r="350" spans="1:10">
      <c r="A350" s="127" t="s">
        <v>182</v>
      </c>
      <c r="B350" s="123">
        <v>4</v>
      </c>
      <c r="C350" s="129" t="s">
        <v>185</v>
      </c>
      <c r="D350" s="123" t="s">
        <v>1062</v>
      </c>
      <c r="E350" s="13">
        <v>120000000</v>
      </c>
      <c r="F350" s="13">
        <v>4475676</v>
      </c>
      <c r="G350" s="13">
        <v>44363061</v>
      </c>
      <c r="H350" s="13">
        <f t="shared" si="6"/>
        <v>75636939</v>
      </c>
      <c r="I350" s="125">
        <v>3.65</v>
      </c>
      <c r="J350" s="147" t="s">
        <v>286</v>
      </c>
    </row>
    <row r="351" spans="1:10" ht="14.25" customHeight="1">
      <c r="A351" s="122"/>
      <c r="B351" s="123">
        <v>5</v>
      </c>
      <c r="C351" s="129" t="s">
        <v>189</v>
      </c>
      <c r="D351" s="123" t="s">
        <v>1062</v>
      </c>
      <c r="E351" s="13">
        <v>50000000</v>
      </c>
      <c r="F351" s="13">
        <v>2110938</v>
      </c>
      <c r="G351" s="13">
        <v>20871696</v>
      </c>
      <c r="H351" s="13">
        <f t="shared" si="6"/>
        <v>29128304</v>
      </c>
      <c r="I351" s="125">
        <v>3.7</v>
      </c>
      <c r="J351" s="147" t="s">
        <v>282</v>
      </c>
    </row>
    <row r="352" spans="1:10" ht="14.25" customHeight="1">
      <c r="A352" s="127"/>
      <c r="B352" s="123">
        <v>5</v>
      </c>
      <c r="C352" s="129" t="s">
        <v>185</v>
      </c>
      <c r="D352" s="123" t="s">
        <v>1146</v>
      </c>
      <c r="E352" s="13">
        <v>50000000</v>
      </c>
      <c r="F352" s="13">
        <v>1761342</v>
      </c>
      <c r="G352" s="13">
        <v>16022371</v>
      </c>
      <c r="H352" s="13">
        <f t="shared" si="6"/>
        <v>33977629</v>
      </c>
      <c r="I352" s="125">
        <v>4.75</v>
      </c>
      <c r="J352" s="147" t="s">
        <v>287</v>
      </c>
    </row>
    <row r="353" spans="1:10" ht="14.25" customHeight="1">
      <c r="A353" s="122"/>
      <c r="B353" s="123" t="s">
        <v>1064</v>
      </c>
      <c r="C353" s="129" t="s">
        <v>266</v>
      </c>
      <c r="D353" s="123" t="s">
        <v>1065</v>
      </c>
      <c r="E353" s="13">
        <v>580000000</v>
      </c>
      <c r="F353" s="13">
        <v>0</v>
      </c>
      <c r="G353" s="13">
        <v>580000000</v>
      </c>
      <c r="H353" s="13">
        <f t="shared" si="6"/>
        <v>0</v>
      </c>
      <c r="I353" s="125">
        <v>4.5</v>
      </c>
      <c r="J353" s="147" t="s">
        <v>244</v>
      </c>
    </row>
    <row r="354" spans="1:10" ht="14.25" customHeight="1">
      <c r="A354" s="122"/>
      <c r="B354" s="123" t="s">
        <v>1147</v>
      </c>
      <c r="C354" s="129" t="s">
        <v>266</v>
      </c>
      <c r="D354" s="128" t="s">
        <v>1148</v>
      </c>
      <c r="E354" s="13">
        <v>35000000</v>
      </c>
      <c r="F354" s="13">
        <v>0</v>
      </c>
      <c r="G354" s="13">
        <v>35000000</v>
      </c>
      <c r="H354" s="13">
        <f t="shared" si="6"/>
        <v>0</v>
      </c>
      <c r="I354" s="125">
        <v>4.5</v>
      </c>
      <c r="J354" s="147" t="s">
        <v>244</v>
      </c>
    </row>
    <row r="355" spans="1:10" ht="14.25" customHeight="1">
      <c r="A355" s="127"/>
      <c r="B355" s="123">
        <v>6</v>
      </c>
      <c r="C355" s="129" t="s">
        <v>189</v>
      </c>
      <c r="D355" s="123" t="s">
        <v>1068</v>
      </c>
      <c r="E355" s="13">
        <v>30000000</v>
      </c>
      <c r="F355" s="13">
        <v>1187930</v>
      </c>
      <c r="G355" s="13">
        <v>10470825</v>
      </c>
      <c r="H355" s="13">
        <f t="shared" si="6"/>
        <v>19529175</v>
      </c>
      <c r="I355" s="125">
        <v>4.7</v>
      </c>
      <c r="J355" s="147" t="s">
        <v>284</v>
      </c>
    </row>
    <row r="356" spans="1:10" ht="14.25" customHeight="1">
      <c r="A356" s="127"/>
      <c r="B356" s="123" t="s">
        <v>1069</v>
      </c>
      <c r="C356" s="129" t="s">
        <v>266</v>
      </c>
      <c r="D356" s="123" t="s">
        <v>1070</v>
      </c>
      <c r="E356" s="13">
        <v>580000000</v>
      </c>
      <c r="F356" s="13">
        <v>0</v>
      </c>
      <c r="G356" s="13">
        <v>580000000</v>
      </c>
      <c r="H356" s="13">
        <f t="shared" si="6"/>
        <v>0</v>
      </c>
      <c r="I356" s="125">
        <v>3</v>
      </c>
      <c r="J356" s="147" t="s">
        <v>247</v>
      </c>
    </row>
    <row r="357" spans="1:10" ht="14.25" customHeight="1">
      <c r="A357" s="127"/>
      <c r="B357" s="123" t="s">
        <v>1147</v>
      </c>
      <c r="C357" s="129" t="s">
        <v>185</v>
      </c>
      <c r="D357" s="123" t="s">
        <v>1149</v>
      </c>
      <c r="E357" s="13">
        <v>35000000</v>
      </c>
      <c r="F357" s="13">
        <v>1262465</v>
      </c>
      <c r="G357" s="13">
        <v>11477920</v>
      </c>
      <c r="H357" s="13">
        <f t="shared" si="6"/>
        <v>23522080</v>
      </c>
      <c r="I357" s="125">
        <v>3.15</v>
      </c>
      <c r="J357" s="147" t="s">
        <v>293</v>
      </c>
    </row>
    <row r="358" spans="1:10" ht="14.25" customHeight="1">
      <c r="A358" s="127"/>
      <c r="B358" s="123">
        <v>7</v>
      </c>
      <c r="C358" s="129" t="s">
        <v>189</v>
      </c>
      <c r="D358" s="123" t="s">
        <v>1150</v>
      </c>
      <c r="E358" s="13">
        <v>194000000</v>
      </c>
      <c r="F358" s="13">
        <v>7743050</v>
      </c>
      <c r="G358" s="13">
        <v>67401987</v>
      </c>
      <c r="H358" s="13">
        <f t="shared" si="6"/>
        <v>126598013</v>
      </c>
      <c r="I358" s="125">
        <v>3.2</v>
      </c>
      <c r="J358" s="147" t="s">
        <v>286</v>
      </c>
    </row>
    <row r="359" spans="1:10" ht="14.25" customHeight="1">
      <c r="A359" s="127"/>
      <c r="B359" s="123">
        <v>7</v>
      </c>
      <c r="C359" s="129" t="s">
        <v>185</v>
      </c>
      <c r="D359" s="123" t="s">
        <v>1151</v>
      </c>
      <c r="E359" s="13">
        <v>129000000</v>
      </c>
      <c r="F359" s="13">
        <v>4566307</v>
      </c>
      <c r="G359" s="13">
        <v>38502083</v>
      </c>
      <c r="H359" s="13">
        <f t="shared" si="6"/>
        <v>90497917</v>
      </c>
      <c r="I359" s="125">
        <v>2.9</v>
      </c>
      <c r="J359" s="126" t="s">
        <v>294</v>
      </c>
    </row>
    <row r="360" spans="1:10" ht="14.25" customHeight="1">
      <c r="A360" s="127"/>
      <c r="B360" s="123">
        <v>8</v>
      </c>
      <c r="C360" s="129" t="s">
        <v>189</v>
      </c>
      <c r="D360" s="123" t="s">
        <v>1152</v>
      </c>
      <c r="E360" s="13">
        <v>227000000</v>
      </c>
      <c r="F360" s="13">
        <v>8908474</v>
      </c>
      <c r="G360" s="13">
        <v>71786767</v>
      </c>
      <c r="H360" s="13">
        <f t="shared" si="6"/>
        <v>155213233</v>
      </c>
      <c r="I360" s="125">
        <v>2.85</v>
      </c>
      <c r="J360" s="126" t="s">
        <v>287</v>
      </c>
    </row>
    <row r="361" spans="1:10" ht="14.25" customHeight="1">
      <c r="A361" s="127"/>
      <c r="B361" s="123">
        <v>8</v>
      </c>
      <c r="C361" s="129" t="s">
        <v>185</v>
      </c>
      <c r="D361" s="123" t="s">
        <v>1153</v>
      </c>
      <c r="E361" s="13">
        <v>278000000</v>
      </c>
      <c r="F361" s="13">
        <v>9785922</v>
      </c>
      <c r="G361" s="13">
        <v>75919526</v>
      </c>
      <c r="H361" s="13">
        <f t="shared" si="6"/>
        <v>202080474</v>
      </c>
      <c r="I361" s="125">
        <v>2.5</v>
      </c>
      <c r="J361" s="126" t="s">
        <v>295</v>
      </c>
    </row>
    <row r="362" spans="1:10" ht="14.25" customHeight="1">
      <c r="A362" s="127"/>
      <c r="B362" s="123">
        <v>9</v>
      </c>
      <c r="C362" s="129" t="s">
        <v>189</v>
      </c>
      <c r="D362" s="123" t="s">
        <v>1154</v>
      </c>
      <c r="E362" s="13">
        <v>375000000</v>
      </c>
      <c r="F362" s="13">
        <v>14818105</v>
      </c>
      <c r="G362" s="13">
        <v>110127976</v>
      </c>
      <c r="H362" s="13">
        <f t="shared" si="6"/>
        <v>264872024</v>
      </c>
      <c r="I362" s="125">
        <v>2.15</v>
      </c>
      <c r="J362" s="126" t="s">
        <v>1155</v>
      </c>
    </row>
    <row r="363" spans="1:10" ht="14.25" customHeight="1">
      <c r="A363" s="127"/>
      <c r="B363" s="123">
        <v>9</v>
      </c>
      <c r="C363" s="129" t="s">
        <v>185</v>
      </c>
      <c r="D363" s="123" t="s">
        <v>1156</v>
      </c>
      <c r="E363" s="13">
        <v>563000000</v>
      </c>
      <c r="F363" s="13">
        <v>19720298</v>
      </c>
      <c r="G363" s="13">
        <v>137902055</v>
      </c>
      <c r="H363" s="13">
        <f t="shared" si="6"/>
        <v>425097945</v>
      </c>
      <c r="I363" s="125">
        <v>2.2000000000000002</v>
      </c>
      <c r="J363" s="126" t="s">
        <v>296</v>
      </c>
    </row>
    <row r="364" spans="1:10" ht="14.25" customHeight="1">
      <c r="A364" s="127"/>
      <c r="B364" s="123">
        <v>10</v>
      </c>
      <c r="C364" s="129" t="s">
        <v>189</v>
      </c>
      <c r="D364" s="123" t="s">
        <v>1157</v>
      </c>
      <c r="E364" s="13">
        <v>212000000</v>
      </c>
      <c r="F364" s="13">
        <v>8224001</v>
      </c>
      <c r="G364" s="13">
        <v>54118067</v>
      </c>
      <c r="H364" s="13">
        <f t="shared" si="6"/>
        <v>157881933</v>
      </c>
      <c r="I364" s="125">
        <v>2.1</v>
      </c>
      <c r="J364" s="126" t="s">
        <v>294</v>
      </c>
    </row>
    <row r="365" spans="1:10" ht="14.25" customHeight="1">
      <c r="A365" s="127"/>
      <c r="B365" s="123">
        <v>10</v>
      </c>
      <c r="C365" s="129" t="s">
        <v>185</v>
      </c>
      <c r="D365" s="123" t="s">
        <v>1158</v>
      </c>
      <c r="E365" s="13">
        <v>496000000</v>
      </c>
      <c r="F365" s="13">
        <v>17305701</v>
      </c>
      <c r="G365" s="13">
        <v>113880226</v>
      </c>
      <c r="H365" s="13">
        <f t="shared" si="6"/>
        <v>382119774</v>
      </c>
      <c r="I365" s="125">
        <v>2.1</v>
      </c>
      <c r="J365" s="126" t="s">
        <v>296</v>
      </c>
    </row>
    <row r="366" spans="1:10" ht="14.25" customHeight="1">
      <c r="A366" s="122"/>
      <c r="B366" s="123">
        <v>11</v>
      </c>
      <c r="C366" s="129" t="s">
        <v>189</v>
      </c>
      <c r="D366" s="123" t="s">
        <v>1159</v>
      </c>
      <c r="E366" s="13">
        <v>448000000</v>
      </c>
      <c r="F366" s="13">
        <v>17136273</v>
      </c>
      <c r="G366" s="13">
        <v>97883963</v>
      </c>
      <c r="H366" s="13">
        <f t="shared" si="6"/>
        <v>350116037</v>
      </c>
      <c r="I366" s="125">
        <v>2</v>
      </c>
      <c r="J366" s="126" t="s">
        <v>1160</v>
      </c>
    </row>
    <row r="367" spans="1:10" ht="14.25" customHeight="1">
      <c r="A367" s="122"/>
      <c r="B367" s="123">
        <v>11</v>
      </c>
      <c r="C367" s="129" t="s">
        <v>185</v>
      </c>
      <c r="D367" s="123" t="s">
        <v>1161</v>
      </c>
      <c r="E367" s="13">
        <v>593000000</v>
      </c>
      <c r="F367" s="13">
        <v>20424562</v>
      </c>
      <c r="G367" s="13">
        <v>116666972</v>
      </c>
      <c r="H367" s="13">
        <f t="shared" si="6"/>
        <v>476333028</v>
      </c>
      <c r="I367" s="125">
        <v>2</v>
      </c>
      <c r="J367" s="126" t="s">
        <v>1162</v>
      </c>
    </row>
    <row r="368" spans="1:10" ht="14.25" customHeight="1">
      <c r="A368" s="122"/>
      <c r="B368" s="123">
        <v>12</v>
      </c>
      <c r="C368" s="129" t="s">
        <v>189</v>
      </c>
      <c r="D368" s="123" t="s">
        <v>297</v>
      </c>
      <c r="E368" s="13">
        <v>1584000000</v>
      </c>
      <c r="F368" s="13">
        <v>61023241</v>
      </c>
      <c r="G368" s="13">
        <v>295331395</v>
      </c>
      <c r="H368" s="13">
        <f t="shared" si="6"/>
        <v>1288668605</v>
      </c>
      <c r="I368" s="125">
        <v>1.65</v>
      </c>
      <c r="J368" s="126" t="s">
        <v>296</v>
      </c>
    </row>
    <row r="369" spans="1:10" ht="14.25" customHeight="1">
      <c r="A369" s="122"/>
      <c r="B369" s="123">
        <v>13</v>
      </c>
      <c r="C369" s="129" t="s">
        <v>189</v>
      </c>
      <c r="D369" s="123" t="s">
        <v>1163</v>
      </c>
      <c r="E369" s="13">
        <v>579000000</v>
      </c>
      <c r="F369" s="13">
        <v>20910666</v>
      </c>
      <c r="G369" s="13">
        <v>80966305</v>
      </c>
      <c r="H369" s="13">
        <f t="shared" si="6"/>
        <v>498033695</v>
      </c>
      <c r="I369" s="125">
        <v>2.2000000000000002</v>
      </c>
      <c r="J369" s="126" t="s">
        <v>1162</v>
      </c>
    </row>
    <row r="370" spans="1:10" ht="14.25" customHeight="1">
      <c r="A370" s="122"/>
      <c r="B370" s="123">
        <v>14</v>
      </c>
      <c r="C370" s="129" t="s">
        <v>189</v>
      </c>
      <c r="D370" s="123" t="s">
        <v>1164</v>
      </c>
      <c r="E370" s="13">
        <v>1009000000</v>
      </c>
      <c r="F370" s="13">
        <v>38896652</v>
      </c>
      <c r="G370" s="13">
        <v>115194096</v>
      </c>
      <c r="H370" s="13">
        <f t="shared" si="6"/>
        <v>893805904</v>
      </c>
      <c r="I370" s="125">
        <v>1.3</v>
      </c>
      <c r="J370" s="126" t="s">
        <v>1165</v>
      </c>
    </row>
    <row r="371" spans="1:10" ht="14.25" customHeight="1">
      <c r="A371" s="122"/>
      <c r="B371" s="123">
        <v>15</v>
      </c>
      <c r="C371" s="129" t="s">
        <v>189</v>
      </c>
      <c r="D371" s="123" t="s">
        <v>1166</v>
      </c>
      <c r="E371" s="13">
        <v>870000000</v>
      </c>
      <c r="F371" s="13">
        <v>31063733</v>
      </c>
      <c r="G371" s="13">
        <v>61545561</v>
      </c>
      <c r="H371" s="13">
        <f t="shared" si="6"/>
        <v>808454439</v>
      </c>
      <c r="I371" s="125">
        <v>1.9</v>
      </c>
      <c r="J371" s="126" t="s">
        <v>1167</v>
      </c>
    </row>
    <row r="372" spans="1:10" ht="14.25" customHeight="1">
      <c r="A372" s="122"/>
      <c r="B372" s="123">
        <v>16</v>
      </c>
      <c r="C372" s="129" t="s">
        <v>189</v>
      </c>
      <c r="D372" s="123" t="s">
        <v>1168</v>
      </c>
      <c r="E372" s="13">
        <v>693000000</v>
      </c>
      <c r="F372" s="13">
        <v>23716178</v>
      </c>
      <c r="G372" s="13">
        <v>23716178</v>
      </c>
      <c r="H372" s="13">
        <f t="shared" si="6"/>
        <v>669283822</v>
      </c>
      <c r="I372" s="125">
        <v>2.1</v>
      </c>
      <c r="J372" s="126" t="s">
        <v>1169</v>
      </c>
    </row>
    <row r="373" spans="1:10" ht="14.25" customHeight="1">
      <c r="A373" s="127"/>
      <c r="B373" s="128">
        <v>17</v>
      </c>
      <c r="C373" s="129" t="s">
        <v>189</v>
      </c>
      <c r="D373" s="123" t="s">
        <v>1170</v>
      </c>
      <c r="E373" s="13">
        <v>362000000</v>
      </c>
      <c r="F373" s="13">
        <v>0</v>
      </c>
      <c r="G373" s="13">
        <v>362000000</v>
      </c>
      <c r="H373" s="13">
        <f t="shared" si="6"/>
        <v>0</v>
      </c>
      <c r="I373" s="125">
        <v>2.0499999999999998</v>
      </c>
      <c r="J373" s="147" t="s">
        <v>1171</v>
      </c>
    </row>
    <row r="374" spans="1:10" ht="14.25" customHeight="1">
      <c r="A374" s="127"/>
      <c r="B374" s="128">
        <v>17</v>
      </c>
      <c r="C374" s="129" t="s">
        <v>189</v>
      </c>
      <c r="D374" s="123" t="s">
        <v>1170</v>
      </c>
      <c r="E374" s="13">
        <v>977000000</v>
      </c>
      <c r="F374" s="13">
        <v>102244073</v>
      </c>
      <c r="G374" s="13">
        <v>977000000</v>
      </c>
      <c r="H374" s="13">
        <f t="shared" si="6"/>
        <v>0</v>
      </c>
      <c r="I374" s="125">
        <v>2.0499999999999998</v>
      </c>
      <c r="J374" s="147" t="s">
        <v>1172</v>
      </c>
    </row>
    <row r="375" spans="1:10" ht="14.25" customHeight="1">
      <c r="A375" s="127"/>
      <c r="B375" s="128">
        <v>17</v>
      </c>
      <c r="C375" s="129" t="s">
        <v>189</v>
      </c>
      <c r="D375" s="123" t="s">
        <v>1173</v>
      </c>
      <c r="E375" s="13">
        <v>1135000000</v>
      </c>
      <c r="F375" s="13">
        <v>0</v>
      </c>
      <c r="G375" s="13">
        <v>0</v>
      </c>
      <c r="H375" s="13">
        <f t="shared" si="6"/>
        <v>1135000000</v>
      </c>
      <c r="I375" s="125">
        <v>2</v>
      </c>
      <c r="J375" s="147" t="s">
        <v>1174</v>
      </c>
    </row>
    <row r="376" spans="1:10" ht="14.25" customHeight="1">
      <c r="A376" s="127"/>
      <c r="B376" s="128">
        <v>18</v>
      </c>
      <c r="C376" s="129" t="s">
        <v>189</v>
      </c>
      <c r="D376" s="128" t="s">
        <v>1175</v>
      </c>
      <c r="E376" s="13">
        <v>392300000</v>
      </c>
      <c r="F376" s="13">
        <v>0</v>
      </c>
      <c r="G376" s="13">
        <v>392300000</v>
      </c>
      <c r="H376" s="13">
        <f t="shared" si="6"/>
        <v>0</v>
      </c>
      <c r="I376" s="125">
        <v>2.5499999999999998</v>
      </c>
      <c r="J376" s="147" t="s">
        <v>1176</v>
      </c>
    </row>
    <row r="377" spans="1:10" ht="14.25" customHeight="1">
      <c r="A377" s="127"/>
      <c r="B377" s="128">
        <v>18</v>
      </c>
      <c r="C377" s="129" t="s">
        <v>189</v>
      </c>
      <c r="D377" s="128" t="s">
        <v>1175</v>
      </c>
      <c r="E377" s="13">
        <v>1195300000</v>
      </c>
      <c r="F377" s="13">
        <v>277522794</v>
      </c>
      <c r="G377" s="13">
        <v>1195300000</v>
      </c>
      <c r="H377" s="13">
        <f t="shared" si="6"/>
        <v>0</v>
      </c>
      <c r="I377" s="125">
        <v>2.5499999999999998</v>
      </c>
      <c r="J377" s="147" t="s">
        <v>1177</v>
      </c>
    </row>
    <row r="378" spans="1:10" ht="14.25" customHeight="1">
      <c r="A378" s="127"/>
      <c r="B378" s="128">
        <v>18</v>
      </c>
      <c r="C378" s="129" t="s">
        <v>189</v>
      </c>
      <c r="D378" s="128" t="s">
        <v>347</v>
      </c>
      <c r="E378" s="13">
        <v>1109000000</v>
      </c>
      <c r="F378" s="13">
        <v>0</v>
      </c>
      <c r="G378" s="13">
        <v>0</v>
      </c>
      <c r="H378" s="13">
        <f t="shared" si="6"/>
        <v>1109000000</v>
      </c>
      <c r="I378" s="125">
        <v>2.1</v>
      </c>
      <c r="J378" s="147" t="s">
        <v>344</v>
      </c>
    </row>
    <row r="379" spans="1:10" ht="14.25" customHeight="1">
      <c r="A379" s="127"/>
      <c r="B379" s="128">
        <v>19</v>
      </c>
      <c r="C379" s="129" t="s">
        <v>1178</v>
      </c>
      <c r="D379" s="128" t="s">
        <v>1179</v>
      </c>
      <c r="E379" s="13">
        <v>417100000</v>
      </c>
      <c r="F379" s="13">
        <v>0</v>
      </c>
      <c r="G379" s="13">
        <v>417100000</v>
      </c>
      <c r="H379" s="13">
        <f t="shared" si="6"/>
        <v>0</v>
      </c>
      <c r="I379" s="125">
        <v>2.4</v>
      </c>
      <c r="J379" s="147" t="s">
        <v>1176</v>
      </c>
    </row>
    <row r="380" spans="1:10" ht="14.25" customHeight="1">
      <c r="A380" s="127"/>
      <c r="B380" s="128">
        <v>19</v>
      </c>
      <c r="C380" s="129" t="s">
        <v>1178</v>
      </c>
      <c r="D380" s="128" t="s">
        <v>1179</v>
      </c>
      <c r="E380" s="13">
        <v>213300000</v>
      </c>
      <c r="F380" s="13">
        <v>72802825</v>
      </c>
      <c r="G380" s="13">
        <v>213300000</v>
      </c>
      <c r="H380" s="13">
        <f t="shared" si="6"/>
        <v>0</v>
      </c>
      <c r="I380" s="125">
        <v>2.4</v>
      </c>
      <c r="J380" s="147" t="s">
        <v>1180</v>
      </c>
    </row>
    <row r="381" spans="1:10" ht="14.25" customHeight="1">
      <c r="A381" s="127"/>
      <c r="B381" s="128">
        <v>19</v>
      </c>
      <c r="C381" s="129" t="s">
        <v>1178</v>
      </c>
      <c r="D381" s="128" t="s">
        <v>1181</v>
      </c>
      <c r="E381" s="13">
        <v>1129000000</v>
      </c>
      <c r="F381" s="13">
        <v>0</v>
      </c>
      <c r="G381" s="13">
        <v>0</v>
      </c>
      <c r="H381" s="13">
        <f t="shared" si="6"/>
        <v>1129000000</v>
      </c>
      <c r="I381" s="125">
        <v>2.0499999999999998</v>
      </c>
      <c r="J381" s="147" t="s">
        <v>1182</v>
      </c>
    </row>
    <row r="382" spans="1:10" ht="14.25" customHeight="1">
      <c r="A382" s="127"/>
      <c r="B382" s="128">
        <v>20</v>
      </c>
      <c r="C382" s="184" t="s">
        <v>695</v>
      </c>
      <c r="D382" s="128" t="s">
        <v>1183</v>
      </c>
      <c r="E382" s="13">
        <v>1276000000</v>
      </c>
      <c r="F382" s="13">
        <v>0</v>
      </c>
      <c r="G382" s="13">
        <v>0</v>
      </c>
      <c r="H382" s="13">
        <f t="shared" si="6"/>
        <v>1276000000</v>
      </c>
      <c r="I382" s="125">
        <v>1.9</v>
      </c>
      <c r="J382" s="147" t="s">
        <v>1184</v>
      </c>
    </row>
    <row r="383" spans="1:10" ht="14.25" customHeight="1">
      <c r="A383" s="127"/>
      <c r="B383" s="128">
        <v>21</v>
      </c>
      <c r="C383" s="129" t="s">
        <v>345</v>
      </c>
      <c r="D383" s="128" t="s">
        <v>1185</v>
      </c>
      <c r="E383" s="13">
        <v>1020000000</v>
      </c>
      <c r="F383" s="13">
        <v>0</v>
      </c>
      <c r="G383" s="13">
        <v>0</v>
      </c>
      <c r="H383" s="13">
        <f t="shared" si="6"/>
        <v>1020000000</v>
      </c>
      <c r="I383" s="125">
        <v>2.1</v>
      </c>
      <c r="J383" s="147" t="s">
        <v>696</v>
      </c>
    </row>
    <row r="384" spans="1:10" ht="14.25" customHeight="1">
      <c r="A384" s="127"/>
      <c r="B384" s="128">
        <v>22</v>
      </c>
      <c r="C384" s="129" t="s">
        <v>345</v>
      </c>
      <c r="D384" s="128" t="s">
        <v>887</v>
      </c>
      <c r="E384" s="13">
        <v>751000000</v>
      </c>
      <c r="F384" s="13">
        <v>0</v>
      </c>
      <c r="G384" s="13">
        <v>0</v>
      </c>
      <c r="H384" s="13">
        <f t="shared" si="6"/>
        <v>751000000</v>
      </c>
      <c r="I384" s="125">
        <v>1.9</v>
      </c>
      <c r="J384" s="147" t="s">
        <v>888</v>
      </c>
    </row>
    <row r="385" spans="1:10" ht="17.25" customHeight="1">
      <c r="A385" s="136" t="s">
        <v>988</v>
      </c>
      <c r="B385" s="137" t="s">
        <v>173</v>
      </c>
      <c r="C385" s="138" t="s">
        <v>173</v>
      </c>
      <c r="D385" s="139"/>
      <c r="E385" s="18">
        <f>SUM(E292:E344,E349:E384)</f>
        <v>69239000000</v>
      </c>
      <c r="F385" s="18">
        <f>SUM(F292:F344,F349:F384)</f>
        <v>1079590061</v>
      </c>
      <c r="G385" s="18">
        <f>SUM(G292:G344,G349:G384)</f>
        <v>53131894151</v>
      </c>
      <c r="H385" s="18">
        <f>SUM(H292:H344,H349:H384)</f>
        <v>16107105849</v>
      </c>
      <c r="I385" s="140"/>
      <c r="J385" s="141" t="s">
        <v>173</v>
      </c>
    </row>
    <row r="386" spans="1:10" ht="14.25" customHeight="1">
      <c r="A386" s="122" t="s">
        <v>298</v>
      </c>
      <c r="B386" s="123" t="s">
        <v>1186</v>
      </c>
      <c r="C386" s="129" t="s">
        <v>180</v>
      </c>
      <c r="D386" s="123" t="s">
        <v>1187</v>
      </c>
      <c r="E386" s="13">
        <v>299000000</v>
      </c>
      <c r="F386" s="13">
        <v>0</v>
      </c>
      <c r="G386" s="13">
        <v>299000000</v>
      </c>
      <c r="H386" s="13">
        <f t="shared" si="6"/>
        <v>0</v>
      </c>
      <c r="I386" s="120">
        <v>8</v>
      </c>
      <c r="J386" s="121" t="s">
        <v>217</v>
      </c>
    </row>
    <row r="387" spans="1:10" ht="14.25" customHeight="1">
      <c r="A387" s="127" t="s">
        <v>182</v>
      </c>
      <c r="B387" s="128">
        <v>54</v>
      </c>
      <c r="C387" s="124" t="s">
        <v>180</v>
      </c>
      <c r="D387" s="123" t="s">
        <v>1188</v>
      </c>
      <c r="E387" s="13">
        <v>535000000</v>
      </c>
      <c r="F387" s="13">
        <v>0</v>
      </c>
      <c r="G387" s="13">
        <v>535000000</v>
      </c>
      <c r="H387" s="13">
        <f t="shared" si="6"/>
        <v>0</v>
      </c>
      <c r="I387" s="125">
        <v>8.1</v>
      </c>
      <c r="J387" s="147" t="s">
        <v>223</v>
      </c>
    </row>
    <row r="388" spans="1:10" ht="14.25" customHeight="1">
      <c r="A388" s="127"/>
      <c r="B388" s="128">
        <v>55</v>
      </c>
      <c r="C388" s="124" t="s">
        <v>180</v>
      </c>
      <c r="D388" s="123" t="s">
        <v>1189</v>
      </c>
      <c r="E388" s="13">
        <v>640000000</v>
      </c>
      <c r="F388" s="13">
        <v>0</v>
      </c>
      <c r="G388" s="13">
        <v>640000000</v>
      </c>
      <c r="H388" s="13">
        <f t="shared" si="6"/>
        <v>0</v>
      </c>
      <c r="I388" s="125">
        <v>7.8</v>
      </c>
      <c r="J388" s="147" t="s">
        <v>227</v>
      </c>
    </row>
    <row r="389" spans="1:10" ht="17.25" customHeight="1">
      <c r="A389" s="136" t="s">
        <v>988</v>
      </c>
      <c r="B389" s="137" t="s">
        <v>173</v>
      </c>
      <c r="C389" s="138" t="s">
        <v>173</v>
      </c>
      <c r="D389" s="139" t="s">
        <v>173</v>
      </c>
      <c r="E389" s="18">
        <f>SUM(E386:E388)</f>
        <v>1474000000</v>
      </c>
      <c r="F389" s="18">
        <f>SUM(F386:F388)</f>
        <v>0</v>
      </c>
      <c r="G389" s="18">
        <f>SUM(G386:G388)</f>
        <v>1474000000</v>
      </c>
      <c r="H389" s="18">
        <f>SUM(H386:H388)</f>
        <v>0</v>
      </c>
      <c r="I389" s="140"/>
      <c r="J389" s="141" t="s">
        <v>173</v>
      </c>
    </row>
    <row r="390" spans="1:10" ht="14.25" customHeight="1">
      <c r="A390" s="117" t="s">
        <v>299</v>
      </c>
      <c r="B390" s="119" t="s">
        <v>1190</v>
      </c>
      <c r="C390" s="143" t="s">
        <v>189</v>
      </c>
      <c r="D390" s="119" t="s">
        <v>1191</v>
      </c>
      <c r="E390" s="144">
        <v>440000000</v>
      </c>
      <c r="F390" s="13">
        <v>19164046</v>
      </c>
      <c r="G390" s="13">
        <v>193917879</v>
      </c>
      <c r="H390" s="13">
        <f t="shared" si="6"/>
        <v>246082121</v>
      </c>
      <c r="I390" s="120">
        <v>4.45</v>
      </c>
      <c r="J390" s="121" t="s">
        <v>285</v>
      </c>
    </row>
    <row r="391" spans="1:10" ht="14.25" customHeight="1">
      <c r="A391" s="127" t="s">
        <v>182</v>
      </c>
      <c r="B391" s="123">
        <v>4</v>
      </c>
      <c r="C391" s="129" t="s">
        <v>185</v>
      </c>
      <c r="D391" s="123" t="s">
        <v>1192</v>
      </c>
      <c r="E391" s="13">
        <v>660000000</v>
      </c>
      <c r="F391" s="13">
        <v>24616219</v>
      </c>
      <c r="G391" s="13">
        <v>243996837</v>
      </c>
      <c r="H391" s="13">
        <f t="shared" si="6"/>
        <v>416003163</v>
      </c>
      <c r="I391" s="125">
        <v>3.65</v>
      </c>
      <c r="J391" s="147" t="s">
        <v>286</v>
      </c>
    </row>
    <row r="392" spans="1:10" ht="14.25" customHeight="1">
      <c r="A392" s="127"/>
      <c r="B392" s="123">
        <v>5</v>
      </c>
      <c r="C392" s="129" t="s">
        <v>189</v>
      </c>
      <c r="D392" s="123" t="s">
        <v>1192</v>
      </c>
      <c r="E392" s="13">
        <v>650000000</v>
      </c>
      <c r="F392" s="13">
        <v>27442190</v>
      </c>
      <c r="G392" s="13">
        <v>271332051</v>
      </c>
      <c r="H392" s="13">
        <f t="shared" si="6"/>
        <v>378667949</v>
      </c>
      <c r="I392" s="125">
        <v>3.7</v>
      </c>
      <c r="J392" s="147" t="s">
        <v>282</v>
      </c>
    </row>
    <row r="393" spans="1:10" ht="14.25" customHeight="1">
      <c r="A393" s="127"/>
      <c r="B393" s="123">
        <v>5</v>
      </c>
      <c r="C393" s="129" t="s">
        <v>185</v>
      </c>
      <c r="D393" s="123" t="s">
        <v>1193</v>
      </c>
      <c r="E393" s="13">
        <v>650000000</v>
      </c>
      <c r="F393" s="13">
        <v>22897442</v>
      </c>
      <c r="G393" s="13">
        <v>208290808</v>
      </c>
      <c r="H393" s="13">
        <f t="shared" si="6"/>
        <v>441709192</v>
      </c>
      <c r="I393" s="125">
        <v>4.75</v>
      </c>
      <c r="J393" s="126" t="s">
        <v>287</v>
      </c>
    </row>
    <row r="394" spans="1:10" ht="14.25" customHeight="1">
      <c r="A394" s="127"/>
      <c r="B394" s="123">
        <v>6</v>
      </c>
      <c r="C394" s="129" t="s">
        <v>266</v>
      </c>
      <c r="D394" s="123" t="s">
        <v>1194</v>
      </c>
      <c r="E394" s="13">
        <v>702000000</v>
      </c>
      <c r="F394" s="13">
        <v>0</v>
      </c>
      <c r="G394" s="13">
        <v>702000000</v>
      </c>
      <c r="H394" s="13">
        <f t="shared" si="6"/>
        <v>0</v>
      </c>
      <c r="I394" s="125">
        <v>4.5</v>
      </c>
      <c r="J394" s="147" t="s">
        <v>244</v>
      </c>
    </row>
    <row r="395" spans="1:10" ht="14.25" customHeight="1">
      <c r="A395" s="122"/>
      <c r="B395" s="123">
        <v>6</v>
      </c>
      <c r="C395" s="129" t="s">
        <v>189</v>
      </c>
      <c r="D395" s="123" t="s">
        <v>1195</v>
      </c>
      <c r="E395" s="13">
        <v>1122000000</v>
      </c>
      <c r="F395" s="13">
        <v>44428543</v>
      </c>
      <c r="G395" s="13">
        <v>391608839</v>
      </c>
      <c r="H395" s="13">
        <f t="shared" si="6"/>
        <v>730391161</v>
      </c>
      <c r="I395" s="125">
        <v>4.7</v>
      </c>
      <c r="J395" s="147" t="s">
        <v>284</v>
      </c>
    </row>
    <row r="396" spans="1:10" ht="14.25" customHeight="1">
      <c r="A396" s="127"/>
      <c r="B396" s="123">
        <v>6</v>
      </c>
      <c r="C396" s="129" t="s">
        <v>185</v>
      </c>
      <c r="D396" s="123" t="s">
        <v>1196</v>
      </c>
      <c r="E396" s="13">
        <v>1482000000</v>
      </c>
      <c r="F396" s="13">
        <v>53456376</v>
      </c>
      <c r="G396" s="13">
        <v>486007917</v>
      </c>
      <c r="H396" s="13">
        <f t="shared" si="6"/>
        <v>995992083</v>
      </c>
      <c r="I396" s="125">
        <v>3.15</v>
      </c>
      <c r="J396" s="147" t="s">
        <v>293</v>
      </c>
    </row>
    <row r="397" spans="1:10" ht="14.25" customHeight="1">
      <c r="A397" s="127"/>
      <c r="B397" s="123">
        <v>7</v>
      </c>
      <c r="C397" s="129" t="s">
        <v>189</v>
      </c>
      <c r="D397" s="123" t="s">
        <v>1197</v>
      </c>
      <c r="E397" s="13">
        <v>3595000000</v>
      </c>
      <c r="F397" s="13">
        <v>143485899</v>
      </c>
      <c r="G397" s="13">
        <v>1249021333</v>
      </c>
      <c r="H397" s="13">
        <f t="shared" si="6"/>
        <v>2345978667</v>
      </c>
      <c r="I397" s="125">
        <v>3.2</v>
      </c>
      <c r="J397" s="147" t="s">
        <v>286</v>
      </c>
    </row>
    <row r="398" spans="1:10" ht="14.25" customHeight="1">
      <c r="A398" s="127"/>
      <c r="B398" s="123">
        <v>7</v>
      </c>
      <c r="C398" s="129" t="s">
        <v>185</v>
      </c>
      <c r="D398" s="123" t="s">
        <v>1198</v>
      </c>
      <c r="E398" s="13">
        <v>3195000000</v>
      </c>
      <c r="F398" s="13">
        <v>113095741</v>
      </c>
      <c r="G398" s="13">
        <v>953598112</v>
      </c>
      <c r="H398" s="13">
        <f t="shared" si="6"/>
        <v>2241401888</v>
      </c>
      <c r="I398" s="125">
        <v>2.9</v>
      </c>
      <c r="J398" s="126" t="s">
        <v>294</v>
      </c>
    </row>
    <row r="399" spans="1:10" ht="14.25" customHeight="1">
      <c r="A399" s="148"/>
      <c r="B399" s="128">
        <v>8</v>
      </c>
      <c r="C399" s="129" t="s">
        <v>189</v>
      </c>
      <c r="D399" s="128" t="s">
        <v>1199</v>
      </c>
      <c r="E399" s="13">
        <v>4848000000</v>
      </c>
      <c r="F399" s="13">
        <v>190256760</v>
      </c>
      <c r="G399" s="13">
        <v>1533137669</v>
      </c>
      <c r="H399" s="13">
        <f t="shared" si="6"/>
        <v>3314862331</v>
      </c>
      <c r="I399" s="125">
        <v>2.85</v>
      </c>
      <c r="J399" s="147" t="s">
        <v>287</v>
      </c>
    </row>
    <row r="400" spans="1:10" ht="14.25" customHeight="1">
      <c r="A400" s="148"/>
      <c r="B400" s="128">
        <v>8</v>
      </c>
      <c r="C400" s="129" t="s">
        <v>185</v>
      </c>
      <c r="D400" s="123" t="s">
        <v>1200</v>
      </c>
      <c r="E400" s="13">
        <v>5118000000</v>
      </c>
      <c r="F400" s="13">
        <v>184253925</v>
      </c>
      <c r="G400" s="13">
        <v>1450026085</v>
      </c>
      <c r="H400" s="13">
        <f t="shared" si="6"/>
        <v>3667973915</v>
      </c>
      <c r="I400" s="125">
        <v>2.1</v>
      </c>
      <c r="J400" s="126" t="s">
        <v>295</v>
      </c>
    </row>
    <row r="401" spans="1:10" ht="14.25" customHeight="1">
      <c r="A401" s="148"/>
      <c r="B401" s="123">
        <v>9</v>
      </c>
      <c r="C401" s="129" t="s">
        <v>189</v>
      </c>
      <c r="D401" s="123" t="s">
        <v>1201</v>
      </c>
      <c r="E401" s="13">
        <v>3566000000</v>
      </c>
      <c r="F401" s="13">
        <v>140910304</v>
      </c>
      <c r="G401" s="13">
        <v>1047243626</v>
      </c>
      <c r="H401" s="13">
        <f t="shared" si="6"/>
        <v>2518756374</v>
      </c>
      <c r="I401" s="125">
        <v>2.15</v>
      </c>
      <c r="J401" s="126" t="s">
        <v>293</v>
      </c>
    </row>
    <row r="402" spans="1:10" ht="14.25" customHeight="1">
      <c r="A402" s="148"/>
      <c r="B402" s="128">
        <v>9</v>
      </c>
      <c r="C402" s="129" t="s">
        <v>185</v>
      </c>
      <c r="D402" s="123" t="s">
        <v>1202</v>
      </c>
      <c r="E402" s="13">
        <v>5348000000</v>
      </c>
      <c r="F402" s="13">
        <v>187325314</v>
      </c>
      <c r="G402" s="13">
        <v>1309947038</v>
      </c>
      <c r="H402" s="13">
        <f t="shared" si="6"/>
        <v>4038052962</v>
      </c>
      <c r="I402" s="125">
        <v>2.2000000000000002</v>
      </c>
      <c r="J402" s="126" t="s">
        <v>296</v>
      </c>
    </row>
    <row r="403" spans="1:10" ht="14.25" customHeight="1">
      <c r="A403" s="148"/>
      <c r="B403" s="123">
        <v>10</v>
      </c>
      <c r="C403" s="129" t="s">
        <v>189</v>
      </c>
      <c r="D403" s="123" t="s">
        <v>1203</v>
      </c>
      <c r="E403" s="13">
        <v>2758000000</v>
      </c>
      <c r="F403" s="13">
        <v>106989596</v>
      </c>
      <c r="G403" s="13">
        <v>704045420</v>
      </c>
      <c r="H403" s="13">
        <f t="shared" si="6"/>
        <v>2053954580</v>
      </c>
      <c r="I403" s="125">
        <v>2.1</v>
      </c>
      <c r="J403" s="126" t="s">
        <v>294</v>
      </c>
    </row>
    <row r="404" spans="1:10" ht="14.25" customHeight="1">
      <c r="A404" s="148"/>
      <c r="B404" s="123">
        <v>10</v>
      </c>
      <c r="C404" s="129" t="s">
        <v>185</v>
      </c>
      <c r="D404" s="123" t="s">
        <v>1204</v>
      </c>
      <c r="E404" s="13">
        <v>3707000000</v>
      </c>
      <c r="F404" s="13">
        <v>129339179</v>
      </c>
      <c r="G404" s="13">
        <v>851116927</v>
      </c>
      <c r="H404" s="13">
        <f t="shared" si="6"/>
        <v>2855883073</v>
      </c>
      <c r="I404" s="125">
        <v>2.1</v>
      </c>
      <c r="J404" s="126" t="s">
        <v>296</v>
      </c>
    </row>
    <row r="405" spans="1:10" ht="14.25" customHeight="1">
      <c r="A405" s="148"/>
      <c r="B405" s="123">
        <v>11</v>
      </c>
      <c r="C405" s="129" t="s">
        <v>266</v>
      </c>
      <c r="D405" s="123" t="s">
        <v>1205</v>
      </c>
      <c r="E405" s="13">
        <v>2000000000</v>
      </c>
      <c r="F405" s="13">
        <v>0</v>
      </c>
      <c r="G405" s="13">
        <v>2000000000</v>
      </c>
      <c r="H405" s="13">
        <f t="shared" si="6"/>
        <v>0</v>
      </c>
      <c r="I405" s="125">
        <v>1.8</v>
      </c>
      <c r="J405" s="126" t="s">
        <v>980</v>
      </c>
    </row>
    <row r="406" spans="1:10" ht="14.25" customHeight="1" thickBot="1">
      <c r="A406" s="148"/>
      <c r="B406" s="123">
        <v>11</v>
      </c>
      <c r="C406" s="129" t="s">
        <v>189</v>
      </c>
      <c r="D406" s="123" t="s">
        <v>1206</v>
      </c>
      <c r="E406" s="13">
        <v>1860000000</v>
      </c>
      <c r="F406" s="13">
        <v>71146133</v>
      </c>
      <c r="G406" s="13">
        <v>406393242</v>
      </c>
      <c r="H406" s="13">
        <f t="shared" si="6"/>
        <v>1453606758</v>
      </c>
      <c r="I406" s="125">
        <v>2</v>
      </c>
      <c r="J406" s="126" t="s">
        <v>1207</v>
      </c>
    </row>
    <row r="407" spans="1:10" ht="9.75" customHeight="1" thickBot="1">
      <c r="A407" s="165"/>
      <c r="B407" s="166"/>
      <c r="C407" s="165"/>
      <c r="D407" s="166"/>
      <c r="E407" s="28"/>
      <c r="F407" s="28"/>
      <c r="G407" s="28"/>
      <c r="H407" s="28"/>
      <c r="I407" s="167"/>
      <c r="J407" s="173"/>
    </row>
    <row r="408" spans="1:10">
      <c r="A408" s="500" t="s">
        <v>996</v>
      </c>
      <c r="B408" s="502" t="s">
        <v>311</v>
      </c>
      <c r="C408" s="504" t="s">
        <v>891</v>
      </c>
      <c r="D408" s="502" t="s">
        <v>312</v>
      </c>
      <c r="E408" s="506" t="s">
        <v>892</v>
      </c>
      <c r="F408" s="508" t="s">
        <v>893</v>
      </c>
      <c r="G408" s="510"/>
      <c r="H408" s="494" t="s">
        <v>174</v>
      </c>
      <c r="I408" s="496" t="s">
        <v>894</v>
      </c>
      <c r="J408" s="498" t="s">
        <v>313</v>
      </c>
    </row>
    <row r="409" spans="1:10">
      <c r="A409" s="501"/>
      <c r="B409" s="503"/>
      <c r="C409" s="505"/>
      <c r="D409" s="503"/>
      <c r="E409" s="507"/>
      <c r="F409" s="115" t="s">
        <v>176</v>
      </c>
      <c r="G409" s="115" t="s">
        <v>305</v>
      </c>
      <c r="H409" s="495"/>
      <c r="I409" s="497"/>
      <c r="J409" s="499"/>
    </row>
    <row r="410" spans="1:10">
      <c r="A410" s="117"/>
      <c r="B410" s="118"/>
      <c r="C410" s="118"/>
      <c r="D410" s="119" t="s">
        <v>177</v>
      </c>
      <c r="E410" s="44" t="s">
        <v>178</v>
      </c>
      <c r="F410" s="44" t="s">
        <v>172</v>
      </c>
      <c r="G410" s="44" t="s">
        <v>178</v>
      </c>
      <c r="H410" s="44" t="s">
        <v>178</v>
      </c>
      <c r="I410" s="120" t="s">
        <v>895</v>
      </c>
      <c r="J410" s="121" t="s">
        <v>175</v>
      </c>
    </row>
    <row r="411" spans="1:10" ht="14.25" customHeight="1">
      <c r="A411" s="122" t="s">
        <v>299</v>
      </c>
      <c r="B411" s="128" t="s">
        <v>342</v>
      </c>
      <c r="C411" s="129" t="s">
        <v>185</v>
      </c>
      <c r="D411" s="123" t="s">
        <v>697</v>
      </c>
      <c r="E411" s="13">
        <v>2253000000</v>
      </c>
      <c r="F411" s="13">
        <v>77599558</v>
      </c>
      <c r="G411" s="13">
        <v>443255798</v>
      </c>
      <c r="H411" s="13">
        <f t="shared" ref="H411:H426" si="7">E411-G411</f>
        <v>1809744202</v>
      </c>
      <c r="I411" s="125">
        <v>2</v>
      </c>
      <c r="J411" s="126" t="s">
        <v>1208</v>
      </c>
    </row>
    <row r="412" spans="1:10" ht="14.25" customHeight="1">
      <c r="A412" s="127" t="s">
        <v>182</v>
      </c>
      <c r="B412" s="123">
        <v>12</v>
      </c>
      <c r="C412" s="129" t="s">
        <v>266</v>
      </c>
      <c r="D412" s="123" t="s">
        <v>1209</v>
      </c>
      <c r="E412" s="13">
        <v>1491000000</v>
      </c>
      <c r="F412" s="13">
        <v>1491000000</v>
      </c>
      <c r="G412" s="13">
        <v>1491000000</v>
      </c>
      <c r="H412" s="13">
        <f t="shared" si="7"/>
        <v>0</v>
      </c>
      <c r="I412" s="125">
        <v>1.7</v>
      </c>
      <c r="J412" s="126" t="s">
        <v>1210</v>
      </c>
    </row>
    <row r="413" spans="1:10" ht="14.25" customHeight="1">
      <c r="A413" s="122"/>
      <c r="B413" s="128">
        <v>12</v>
      </c>
      <c r="C413" s="129" t="s">
        <v>189</v>
      </c>
      <c r="D413" s="123" t="s">
        <v>1211</v>
      </c>
      <c r="E413" s="13">
        <v>1785000000</v>
      </c>
      <c r="F413" s="13">
        <v>68766721</v>
      </c>
      <c r="G413" s="13">
        <v>332807159</v>
      </c>
      <c r="H413" s="13">
        <f t="shared" si="7"/>
        <v>1452192841</v>
      </c>
      <c r="I413" s="125">
        <v>1.65</v>
      </c>
      <c r="J413" s="126" t="s">
        <v>1212</v>
      </c>
    </row>
    <row r="414" spans="1:10" ht="14.25" customHeight="1">
      <c r="A414" s="127"/>
      <c r="B414" s="123">
        <v>12</v>
      </c>
      <c r="C414" s="129" t="s">
        <v>164</v>
      </c>
      <c r="D414" s="123" t="s">
        <v>1213</v>
      </c>
      <c r="E414" s="13">
        <v>1950000000</v>
      </c>
      <c r="F414" s="13">
        <v>68212218</v>
      </c>
      <c r="G414" s="13">
        <v>330445877</v>
      </c>
      <c r="H414" s="13">
        <f t="shared" si="7"/>
        <v>1619554123</v>
      </c>
      <c r="I414" s="125">
        <v>1.6</v>
      </c>
      <c r="J414" s="126" t="s">
        <v>1214</v>
      </c>
    </row>
    <row r="415" spans="1:10" ht="14.25" customHeight="1">
      <c r="A415" s="127"/>
      <c r="B415" s="123">
        <v>13</v>
      </c>
      <c r="C415" s="129" t="s">
        <v>189</v>
      </c>
      <c r="D415" s="123" t="s">
        <v>1215</v>
      </c>
      <c r="E415" s="13">
        <v>2831000000</v>
      </c>
      <c r="F415" s="13">
        <v>102241961</v>
      </c>
      <c r="G415" s="13">
        <v>395881884</v>
      </c>
      <c r="H415" s="13">
        <f t="shared" si="7"/>
        <v>2435118116</v>
      </c>
      <c r="I415" s="125">
        <v>2.2000000000000002</v>
      </c>
      <c r="J415" s="126" t="s">
        <v>1216</v>
      </c>
    </row>
    <row r="416" spans="1:10" ht="14.25" customHeight="1">
      <c r="A416" s="127"/>
      <c r="B416" s="123">
        <v>13</v>
      </c>
      <c r="C416" s="129" t="s">
        <v>164</v>
      </c>
      <c r="D416" s="123" t="s">
        <v>1217</v>
      </c>
      <c r="E416" s="13">
        <v>2948000000</v>
      </c>
      <c r="F416" s="13">
        <v>95647685</v>
      </c>
      <c r="G416" s="13">
        <v>370348783</v>
      </c>
      <c r="H416" s="13">
        <f t="shared" si="7"/>
        <v>2577651217</v>
      </c>
      <c r="I416" s="125">
        <v>2.2000000000000002</v>
      </c>
      <c r="J416" s="126" t="s">
        <v>1218</v>
      </c>
    </row>
    <row r="417" spans="1:10" ht="14.25" customHeight="1">
      <c r="A417" s="127"/>
      <c r="B417" s="123">
        <v>14</v>
      </c>
      <c r="C417" s="129" t="s">
        <v>164</v>
      </c>
      <c r="D417" s="123" t="s">
        <v>1219</v>
      </c>
      <c r="E417" s="13">
        <v>519000000</v>
      </c>
      <c r="F417" s="13">
        <v>18350700</v>
      </c>
      <c r="G417" s="13">
        <v>54399970</v>
      </c>
      <c r="H417" s="13">
        <f t="shared" si="7"/>
        <v>464600030</v>
      </c>
      <c r="I417" s="125">
        <v>1.2</v>
      </c>
      <c r="J417" s="126" t="s">
        <v>1220</v>
      </c>
    </row>
    <row r="418" spans="1:10" ht="14.25" customHeight="1">
      <c r="A418" s="127"/>
      <c r="B418" s="128">
        <v>14</v>
      </c>
      <c r="C418" s="129" t="s">
        <v>189</v>
      </c>
      <c r="D418" s="123" t="s">
        <v>1219</v>
      </c>
      <c r="E418" s="13">
        <v>2551000000</v>
      </c>
      <c r="F418" s="13">
        <v>98340296</v>
      </c>
      <c r="G418" s="13">
        <v>291238988</v>
      </c>
      <c r="H418" s="13">
        <f t="shared" si="7"/>
        <v>2259761012</v>
      </c>
      <c r="I418" s="125">
        <v>1.3</v>
      </c>
      <c r="J418" s="126" t="s">
        <v>1214</v>
      </c>
    </row>
    <row r="419" spans="1:10" ht="14.25" customHeight="1">
      <c r="A419" s="127"/>
      <c r="B419" s="123">
        <v>15</v>
      </c>
      <c r="C419" s="129" t="s">
        <v>189</v>
      </c>
      <c r="D419" s="123" t="s">
        <v>1221</v>
      </c>
      <c r="E419" s="13">
        <v>992000000</v>
      </c>
      <c r="F419" s="13">
        <v>35419797</v>
      </c>
      <c r="G419" s="13">
        <v>70176087</v>
      </c>
      <c r="H419" s="13">
        <f t="shared" si="7"/>
        <v>921823913</v>
      </c>
      <c r="I419" s="125">
        <v>1.9</v>
      </c>
      <c r="J419" s="126" t="s">
        <v>1218</v>
      </c>
    </row>
    <row r="420" spans="1:10" ht="14.25" customHeight="1">
      <c r="A420" s="127"/>
      <c r="B420" s="123">
        <v>16</v>
      </c>
      <c r="C420" s="129" t="s">
        <v>189</v>
      </c>
      <c r="D420" s="123" t="s">
        <v>1222</v>
      </c>
      <c r="E420" s="13">
        <v>235000000</v>
      </c>
      <c r="F420" s="13">
        <v>8042283</v>
      </c>
      <c r="G420" s="13">
        <v>8042283</v>
      </c>
      <c r="H420" s="13">
        <f t="shared" si="7"/>
        <v>226957717</v>
      </c>
      <c r="I420" s="125">
        <v>2.1</v>
      </c>
      <c r="J420" s="126" t="s">
        <v>1220</v>
      </c>
    </row>
    <row r="421" spans="1:10" ht="14.25" customHeight="1">
      <c r="A421" s="127"/>
      <c r="B421" s="123">
        <v>17</v>
      </c>
      <c r="C421" s="129" t="s">
        <v>189</v>
      </c>
      <c r="D421" s="123" t="s">
        <v>1223</v>
      </c>
      <c r="E421" s="13">
        <v>100000000</v>
      </c>
      <c r="F421" s="13">
        <v>0</v>
      </c>
      <c r="G421" s="13">
        <v>0</v>
      </c>
      <c r="H421" s="13">
        <f t="shared" si="7"/>
        <v>100000000</v>
      </c>
      <c r="I421" s="125">
        <v>2</v>
      </c>
      <c r="J421" s="126" t="s">
        <v>1224</v>
      </c>
    </row>
    <row r="422" spans="1:10" ht="14.25" customHeight="1">
      <c r="A422" s="127"/>
      <c r="B422" s="123">
        <v>18</v>
      </c>
      <c r="C422" s="129" t="s">
        <v>189</v>
      </c>
      <c r="D422" s="123" t="s">
        <v>347</v>
      </c>
      <c r="E422" s="13">
        <v>259000000</v>
      </c>
      <c r="F422" s="13">
        <v>0</v>
      </c>
      <c r="G422" s="13">
        <v>0</v>
      </c>
      <c r="H422" s="13">
        <f t="shared" si="7"/>
        <v>259000000</v>
      </c>
      <c r="I422" s="125">
        <v>2.1</v>
      </c>
      <c r="J422" s="126" t="s">
        <v>344</v>
      </c>
    </row>
    <row r="423" spans="1:10" ht="14.25" customHeight="1">
      <c r="A423" s="127"/>
      <c r="B423" s="123">
        <v>19</v>
      </c>
      <c r="C423" s="129" t="s">
        <v>984</v>
      </c>
      <c r="D423" s="128" t="s">
        <v>1225</v>
      </c>
      <c r="E423" s="13">
        <v>63000000</v>
      </c>
      <c r="F423" s="13">
        <v>0</v>
      </c>
      <c r="G423" s="13">
        <v>0</v>
      </c>
      <c r="H423" s="13">
        <f t="shared" si="7"/>
        <v>63000000</v>
      </c>
      <c r="I423" s="125">
        <v>2.0499999999999998</v>
      </c>
      <c r="J423" s="147" t="s">
        <v>1226</v>
      </c>
    </row>
    <row r="424" spans="1:10" ht="14.25" customHeight="1">
      <c r="A424" s="127"/>
      <c r="B424" s="123">
        <v>20</v>
      </c>
      <c r="C424" s="184" t="s">
        <v>695</v>
      </c>
      <c r="D424" s="128" t="s">
        <v>1183</v>
      </c>
      <c r="E424" s="13">
        <v>55000000</v>
      </c>
      <c r="F424" s="13">
        <v>0</v>
      </c>
      <c r="G424" s="13">
        <v>0</v>
      </c>
      <c r="H424" s="13">
        <f t="shared" si="7"/>
        <v>55000000</v>
      </c>
      <c r="I424" s="125">
        <v>1.9</v>
      </c>
      <c r="J424" s="147" t="s">
        <v>1184</v>
      </c>
    </row>
    <row r="425" spans="1:10" ht="14.25" customHeight="1">
      <c r="A425" s="127"/>
      <c r="B425" s="123">
        <v>21</v>
      </c>
      <c r="C425" s="184" t="s">
        <v>698</v>
      </c>
      <c r="D425" s="128" t="s">
        <v>1227</v>
      </c>
      <c r="E425" s="13">
        <v>19000000</v>
      </c>
      <c r="F425" s="13">
        <v>0</v>
      </c>
      <c r="G425" s="13">
        <v>0</v>
      </c>
      <c r="H425" s="13">
        <f t="shared" si="7"/>
        <v>19000000</v>
      </c>
      <c r="I425" s="125">
        <v>2.1</v>
      </c>
      <c r="J425" s="147" t="s">
        <v>696</v>
      </c>
    </row>
    <row r="426" spans="1:10" ht="14.25" customHeight="1">
      <c r="A426" s="127"/>
      <c r="B426" s="123">
        <v>22</v>
      </c>
      <c r="C426" s="184" t="s">
        <v>886</v>
      </c>
      <c r="D426" s="128" t="s">
        <v>887</v>
      </c>
      <c r="E426" s="13">
        <v>4000000</v>
      </c>
      <c r="F426" s="13">
        <v>0</v>
      </c>
      <c r="G426" s="13">
        <v>0</v>
      </c>
      <c r="H426" s="13">
        <f t="shared" si="7"/>
        <v>4000000</v>
      </c>
      <c r="I426" s="125">
        <v>1.9</v>
      </c>
      <c r="J426" s="147" t="s">
        <v>888</v>
      </c>
    </row>
    <row r="427" spans="1:10" ht="17.25" customHeight="1">
      <c r="A427" s="136" t="s">
        <v>988</v>
      </c>
      <c r="B427" s="137" t="s">
        <v>173</v>
      </c>
      <c r="C427" s="138" t="s">
        <v>173</v>
      </c>
      <c r="D427" s="139" t="s">
        <v>173</v>
      </c>
      <c r="E427" s="18">
        <f>SUM(E390:E406,E411:E426)</f>
        <v>59756000000</v>
      </c>
      <c r="F427" s="18">
        <f>SUM(F390:F406,F411:F426)</f>
        <v>3522428886</v>
      </c>
      <c r="G427" s="18">
        <f>SUM(G390:G406,G411:G426)</f>
        <v>17789280612</v>
      </c>
      <c r="H427" s="18">
        <f>SUM(H390:H406,H411:H426)</f>
        <v>41966719388</v>
      </c>
      <c r="I427" s="140"/>
      <c r="J427" s="141" t="s">
        <v>173</v>
      </c>
    </row>
    <row r="428" spans="1:10" ht="14.25" customHeight="1">
      <c r="A428" s="122" t="s">
        <v>300</v>
      </c>
      <c r="B428" s="123" t="s">
        <v>1228</v>
      </c>
      <c r="C428" s="129" t="s">
        <v>189</v>
      </c>
      <c r="D428" s="123" t="s">
        <v>1229</v>
      </c>
      <c r="E428" s="13">
        <v>2079000000</v>
      </c>
      <c r="F428" s="13">
        <v>82202276</v>
      </c>
      <c r="G428" s="13">
        <v>722956571</v>
      </c>
      <c r="H428" s="13">
        <f t="shared" ref="H428:H434" si="8">E428-G428</f>
        <v>1356043429</v>
      </c>
      <c r="I428" s="125">
        <v>4.75</v>
      </c>
      <c r="J428" s="147" t="s">
        <v>284</v>
      </c>
    </row>
    <row r="429" spans="1:10" ht="14.25" customHeight="1">
      <c r="A429" s="127" t="s">
        <v>182</v>
      </c>
      <c r="B429" s="123">
        <v>6</v>
      </c>
      <c r="C429" s="129" t="s">
        <v>189</v>
      </c>
      <c r="D429" s="123" t="s">
        <v>1195</v>
      </c>
      <c r="E429" s="13">
        <v>5630000000</v>
      </c>
      <c r="F429" s="13">
        <v>222934669</v>
      </c>
      <c r="G429" s="13">
        <v>1965024744</v>
      </c>
      <c r="H429" s="13">
        <f t="shared" si="8"/>
        <v>3664975256</v>
      </c>
      <c r="I429" s="125">
        <v>4.7</v>
      </c>
      <c r="J429" s="147" t="s">
        <v>284</v>
      </c>
    </row>
    <row r="430" spans="1:10" ht="14.25" customHeight="1">
      <c r="A430" s="127"/>
      <c r="B430" s="123">
        <v>6</v>
      </c>
      <c r="C430" s="129" t="s">
        <v>180</v>
      </c>
      <c r="D430" s="123" t="s">
        <v>1230</v>
      </c>
      <c r="E430" s="13">
        <v>2312000000</v>
      </c>
      <c r="F430" s="13">
        <v>0</v>
      </c>
      <c r="G430" s="13">
        <v>2312000000</v>
      </c>
      <c r="H430" s="13">
        <f t="shared" si="8"/>
        <v>0</v>
      </c>
      <c r="I430" s="125">
        <v>4.5</v>
      </c>
      <c r="J430" s="147" t="s">
        <v>244</v>
      </c>
    </row>
    <row r="431" spans="1:10" ht="14.25" customHeight="1">
      <c r="A431" s="127"/>
      <c r="B431" s="123">
        <v>6</v>
      </c>
      <c r="C431" s="129" t="s">
        <v>185</v>
      </c>
      <c r="D431" s="123" t="s">
        <v>1231</v>
      </c>
      <c r="E431" s="13">
        <v>8743000000</v>
      </c>
      <c r="F431" s="13">
        <v>310473803</v>
      </c>
      <c r="G431" s="13">
        <v>2708270430</v>
      </c>
      <c r="H431" s="13">
        <f t="shared" si="8"/>
        <v>6034729570</v>
      </c>
      <c r="I431" s="125">
        <v>3.15</v>
      </c>
      <c r="J431" s="147" t="s">
        <v>293</v>
      </c>
    </row>
    <row r="432" spans="1:10" ht="14.25" customHeight="1">
      <c r="A432" s="122"/>
      <c r="B432" s="128">
        <v>7</v>
      </c>
      <c r="C432" s="129" t="s">
        <v>189</v>
      </c>
      <c r="D432" s="128" t="s">
        <v>1232</v>
      </c>
      <c r="E432" s="13">
        <v>1752000000</v>
      </c>
      <c r="F432" s="13">
        <v>69693042</v>
      </c>
      <c r="G432" s="13">
        <v>608343493</v>
      </c>
      <c r="H432" s="13">
        <f t="shared" si="8"/>
        <v>1143656507</v>
      </c>
      <c r="I432" s="125">
        <v>3.25</v>
      </c>
      <c r="J432" s="147" t="s">
        <v>286</v>
      </c>
    </row>
    <row r="433" spans="1:10" ht="14.25" customHeight="1">
      <c r="A433" s="127"/>
      <c r="B433" s="123">
        <v>7</v>
      </c>
      <c r="C433" s="129" t="s">
        <v>189</v>
      </c>
      <c r="D433" s="123" t="s">
        <v>1232</v>
      </c>
      <c r="E433" s="13">
        <v>7579000000</v>
      </c>
      <c r="F433" s="13">
        <v>301990143</v>
      </c>
      <c r="G433" s="13">
        <v>2641494390</v>
      </c>
      <c r="H433" s="13">
        <f t="shared" si="8"/>
        <v>4937505610</v>
      </c>
      <c r="I433" s="125">
        <v>3.2</v>
      </c>
      <c r="J433" s="147" t="s">
        <v>286</v>
      </c>
    </row>
    <row r="434" spans="1:10" ht="14.25" customHeight="1">
      <c r="A434" s="127"/>
      <c r="B434" s="123">
        <v>7</v>
      </c>
      <c r="C434" s="129" t="s">
        <v>266</v>
      </c>
      <c r="D434" s="123" t="s">
        <v>1233</v>
      </c>
      <c r="E434" s="13">
        <v>2000000000</v>
      </c>
      <c r="F434" s="13">
        <v>0</v>
      </c>
      <c r="G434" s="13">
        <v>2000000000</v>
      </c>
      <c r="H434" s="13">
        <f t="shared" si="8"/>
        <v>0</v>
      </c>
      <c r="I434" s="125">
        <v>3.3</v>
      </c>
      <c r="J434" s="147" t="s">
        <v>247</v>
      </c>
    </row>
    <row r="435" spans="1:10" ht="14.25" customHeight="1">
      <c r="A435" s="122"/>
      <c r="B435" s="123">
        <v>7</v>
      </c>
      <c r="C435" s="129" t="s">
        <v>185</v>
      </c>
      <c r="D435" s="123" t="s">
        <v>1234</v>
      </c>
      <c r="E435" s="13">
        <v>839842385</v>
      </c>
      <c r="F435" s="13">
        <v>0</v>
      </c>
      <c r="G435" s="13">
        <v>839842385</v>
      </c>
      <c r="H435" s="13">
        <f t="shared" ref="H435:H460" si="9">E435-G435</f>
        <v>0</v>
      </c>
      <c r="I435" s="125">
        <v>2.8</v>
      </c>
      <c r="J435" s="147" t="s">
        <v>1235</v>
      </c>
    </row>
    <row r="436" spans="1:10" ht="14.25" customHeight="1">
      <c r="A436" s="127"/>
      <c r="B436" s="123">
        <v>8</v>
      </c>
      <c r="C436" s="129" t="s">
        <v>266</v>
      </c>
      <c r="D436" s="123" t="s">
        <v>1234</v>
      </c>
      <c r="E436" s="13">
        <v>2000000000</v>
      </c>
      <c r="F436" s="13">
        <v>0</v>
      </c>
      <c r="G436" s="13">
        <v>2000000000</v>
      </c>
      <c r="H436" s="13">
        <f t="shared" si="9"/>
        <v>0</v>
      </c>
      <c r="I436" s="125">
        <v>2.6</v>
      </c>
      <c r="J436" s="126" t="s">
        <v>249</v>
      </c>
    </row>
    <row r="437" spans="1:10" ht="14.25" customHeight="1">
      <c r="A437" s="127"/>
      <c r="B437" s="123">
        <v>8</v>
      </c>
      <c r="C437" s="129" t="s">
        <v>189</v>
      </c>
      <c r="D437" s="123" t="s">
        <v>1236</v>
      </c>
      <c r="E437" s="13">
        <v>908000000</v>
      </c>
      <c r="F437" s="13">
        <v>35495337</v>
      </c>
      <c r="G437" s="13">
        <v>289561240</v>
      </c>
      <c r="H437" s="13">
        <f t="shared" si="9"/>
        <v>618438760</v>
      </c>
      <c r="I437" s="125">
        <v>2.85</v>
      </c>
      <c r="J437" s="126" t="s">
        <v>287</v>
      </c>
    </row>
    <row r="438" spans="1:10" ht="14.25" customHeight="1">
      <c r="A438" s="127"/>
      <c r="B438" s="123">
        <v>8</v>
      </c>
      <c r="C438" s="129" t="s">
        <v>189</v>
      </c>
      <c r="D438" s="123" t="s">
        <v>1236</v>
      </c>
      <c r="E438" s="13">
        <v>1164000000</v>
      </c>
      <c r="F438" s="13">
        <v>45407676</v>
      </c>
      <c r="G438" s="13">
        <v>369746336</v>
      </c>
      <c r="H438" s="13">
        <f t="shared" si="9"/>
        <v>794253664</v>
      </c>
      <c r="I438" s="125">
        <v>2.9</v>
      </c>
      <c r="J438" s="126" t="s">
        <v>287</v>
      </c>
    </row>
    <row r="439" spans="1:10" ht="14.25" customHeight="1">
      <c r="A439" s="127"/>
      <c r="B439" s="123">
        <v>9</v>
      </c>
      <c r="C439" s="129" t="s">
        <v>266</v>
      </c>
      <c r="D439" s="123" t="s">
        <v>1237</v>
      </c>
      <c r="E439" s="13">
        <v>2000000000</v>
      </c>
      <c r="F439" s="13">
        <v>0</v>
      </c>
      <c r="G439" s="13">
        <v>2000000000</v>
      </c>
      <c r="H439" s="13">
        <f t="shared" si="9"/>
        <v>0</v>
      </c>
      <c r="I439" s="125">
        <v>2</v>
      </c>
      <c r="J439" s="126" t="s">
        <v>251</v>
      </c>
    </row>
    <row r="440" spans="1:10" ht="14.25" customHeight="1">
      <c r="A440" s="127"/>
      <c r="B440" s="123">
        <v>8</v>
      </c>
      <c r="C440" s="129" t="s">
        <v>185</v>
      </c>
      <c r="D440" s="123" t="s">
        <v>1201</v>
      </c>
      <c r="E440" s="13">
        <v>286740422</v>
      </c>
      <c r="F440" s="13">
        <v>0</v>
      </c>
      <c r="G440" s="13">
        <v>286740422</v>
      </c>
      <c r="H440" s="13">
        <f t="shared" si="9"/>
        <v>0</v>
      </c>
      <c r="I440" s="125">
        <v>2.1</v>
      </c>
      <c r="J440" s="126" t="s">
        <v>1235</v>
      </c>
    </row>
    <row r="441" spans="1:10" ht="14.25" customHeight="1">
      <c r="A441" s="127"/>
      <c r="B441" s="123">
        <v>8</v>
      </c>
      <c r="C441" s="129" t="s">
        <v>189</v>
      </c>
      <c r="D441" s="123" t="s">
        <v>1201</v>
      </c>
      <c r="E441" s="13">
        <v>2118000000</v>
      </c>
      <c r="F441" s="13">
        <v>83367223</v>
      </c>
      <c r="G441" s="13">
        <v>627819941</v>
      </c>
      <c r="H441" s="13">
        <f t="shared" si="9"/>
        <v>1490180059</v>
      </c>
      <c r="I441" s="125">
        <v>2.15</v>
      </c>
      <c r="J441" s="126" t="s">
        <v>293</v>
      </c>
    </row>
    <row r="442" spans="1:10" ht="14.25" customHeight="1">
      <c r="A442" s="127"/>
      <c r="B442" s="123">
        <v>9</v>
      </c>
      <c r="C442" s="129" t="s">
        <v>189</v>
      </c>
      <c r="D442" s="123" t="s">
        <v>1201</v>
      </c>
      <c r="E442" s="13">
        <v>1001000000</v>
      </c>
      <c r="F442" s="13">
        <v>39063953</v>
      </c>
      <c r="G442" s="13">
        <v>299827818</v>
      </c>
      <c r="H442" s="13">
        <f t="shared" si="9"/>
        <v>701172182</v>
      </c>
      <c r="I442" s="125">
        <v>2.2000000000000002</v>
      </c>
      <c r="J442" s="126" t="s">
        <v>293</v>
      </c>
    </row>
    <row r="443" spans="1:10" ht="14.25" customHeight="1">
      <c r="A443" s="127"/>
      <c r="B443" s="123">
        <v>9</v>
      </c>
      <c r="C443" s="129" t="s">
        <v>189</v>
      </c>
      <c r="D443" s="123" t="s">
        <v>1201</v>
      </c>
      <c r="E443" s="13">
        <v>930000000</v>
      </c>
      <c r="F443" s="13">
        <v>36382114</v>
      </c>
      <c r="G443" s="13">
        <v>279673672</v>
      </c>
      <c r="H443" s="13">
        <f t="shared" si="9"/>
        <v>650326328</v>
      </c>
      <c r="I443" s="125">
        <v>2.15</v>
      </c>
      <c r="J443" s="126" t="s">
        <v>293</v>
      </c>
    </row>
    <row r="444" spans="1:10" ht="14.25" customHeight="1">
      <c r="A444" s="127"/>
      <c r="B444" s="123">
        <v>10</v>
      </c>
      <c r="C444" s="129" t="s">
        <v>266</v>
      </c>
      <c r="D444" s="123" t="s">
        <v>1238</v>
      </c>
      <c r="E444" s="13">
        <v>2000000000</v>
      </c>
      <c r="F444" s="13">
        <v>0</v>
      </c>
      <c r="G444" s="13">
        <v>2000000000</v>
      </c>
      <c r="H444" s="13">
        <f t="shared" si="9"/>
        <v>0</v>
      </c>
      <c r="I444" s="125">
        <v>1.9</v>
      </c>
      <c r="J444" s="126" t="s">
        <v>253</v>
      </c>
    </row>
    <row r="445" spans="1:10" ht="14.25" customHeight="1">
      <c r="A445" s="127"/>
      <c r="B445" s="123">
        <v>9</v>
      </c>
      <c r="C445" s="129" t="s">
        <v>189</v>
      </c>
      <c r="D445" s="123" t="s">
        <v>1239</v>
      </c>
      <c r="E445" s="13">
        <v>625000000</v>
      </c>
      <c r="F445" s="13">
        <v>25221607</v>
      </c>
      <c r="G445" s="13">
        <v>187382238</v>
      </c>
      <c r="H445" s="13">
        <f t="shared" si="9"/>
        <v>437617762</v>
      </c>
      <c r="I445" s="125">
        <v>1.35</v>
      </c>
      <c r="J445" s="126" t="s">
        <v>294</v>
      </c>
    </row>
    <row r="446" spans="1:10" ht="14.25" customHeight="1">
      <c r="A446" s="127"/>
      <c r="B446" s="123">
        <v>9</v>
      </c>
      <c r="C446" s="129" t="s">
        <v>185</v>
      </c>
      <c r="D446" s="123" t="s">
        <v>1202</v>
      </c>
      <c r="E446" s="13">
        <v>124925255</v>
      </c>
      <c r="F446" s="13">
        <v>0</v>
      </c>
      <c r="G446" s="13">
        <v>124925255</v>
      </c>
      <c r="H446" s="13">
        <f t="shared" si="9"/>
        <v>0</v>
      </c>
      <c r="I446" s="125">
        <v>2.2000000000000002</v>
      </c>
      <c r="J446" s="126" t="s">
        <v>1235</v>
      </c>
    </row>
    <row r="447" spans="1:10" ht="14.25" customHeight="1">
      <c r="A447" s="127"/>
      <c r="B447" s="123">
        <v>10</v>
      </c>
      <c r="C447" s="129" t="s">
        <v>189</v>
      </c>
      <c r="D447" s="123" t="s">
        <v>1203</v>
      </c>
      <c r="E447" s="13">
        <v>1085000000</v>
      </c>
      <c r="F447" s="13">
        <v>41642628</v>
      </c>
      <c r="G447" s="13">
        <v>285557154</v>
      </c>
      <c r="H447" s="13">
        <f t="shared" si="9"/>
        <v>799442846</v>
      </c>
      <c r="I447" s="125">
        <v>2.1</v>
      </c>
      <c r="J447" s="126" t="s">
        <v>294</v>
      </c>
    </row>
    <row r="448" spans="1:10" ht="14.25" customHeight="1">
      <c r="A448" s="127"/>
      <c r="B448" s="123">
        <v>10</v>
      </c>
      <c r="C448" s="129" t="s">
        <v>189</v>
      </c>
      <c r="D448" s="123" t="s">
        <v>1203</v>
      </c>
      <c r="E448" s="13">
        <v>1063000000</v>
      </c>
      <c r="F448" s="13">
        <v>40798262</v>
      </c>
      <c r="G448" s="13">
        <v>279767056</v>
      </c>
      <c r="H448" s="13">
        <f t="shared" si="9"/>
        <v>783232944</v>
      </c>
      <c r="I448" s="125">
        <v>2.1</v>
      </c>
      <c r="J448" s="126" t="s">
        <v>294</v>
      </c>
    </row>
    <row r="449" spans="1:10" ht="14.25" customHeight="1">
      <c r="A449" s="127"/>
      <c r="B449" s="123">
        <v>10</v>
      </c>
      <c r="C449" s="129" t="s">
        <v>185</v>
      </c>
      <c r="D449" s="123" t="s">
        <v>1240</v>
      </c>
      <c r="E449" s="13">
        <v>53192729</v>
      </c>
      <c r="F449" s="13">
        <v>0</v>
      </c>
      <c r="G449" s="13">
        <v>53192729</v>
      </c>
      <c r="H449" s="13">
        <f t="shared" si="9"/>
        <v>0</v>
      </c>
      <c r="I449" s="125">
        <v>2.1</v>
      </c>
      <c r="J449" s="126" t="s">
        <v>1235</v>
      </c>
    </row>
    <row r="450" spans="1:10" ht="14.25" customHeight="1">
      <c r="A450" s="127"/>
      <c r="B450" s="123">
        <v>11</v>
      </c>
      <c r="C450" s="129" t="s">
        <v>189</v>
      </c>
      <c r="D450" s="123" t="s">
        <v>1206</v>
      </c>
      <c r="E450" s="13">
        <v>663000000</v>
      </c>
      <c r="F450" s="13">
        <v>24087707</v>
      </c>
      <c r="G450" s="13">
        <v>170857241</v>
      </c>
      <c r="H450" s="13">
        <f t="shared" si="9"/>
        <v>492142759</v>
      </c>
      <c r="I450" s="125">
        <v>2</v>
      </c>
      <c r="J450" s="126" t="s">
        <v>1207</v>
      </c>
    </row>
    <row r="451" spans="1:10" ht="14.25" customHeight="1">
      <c r="A451" s="127"/>
      <c r="B451" s="123">
        <v>11</v>
      </c>
      <c r="C451" s="129" t="s">
        <v>189</v>
      </c>
      <c r="D451" s="123" t="s">
        <v>306</v>
      </c>
      <c r="E451" s="13">
        <v>433000000</v>
      </c>
      <c r="F451" s="13">
        <v>15731490</v>
      </c>
      <c r="G451" s="13">
        <v>111585498</v>
      </c>
      <c r="H451" s="13">
        <f t="shared" si="9"/>
        <v>321414502</v>
      </c>
      <c r="I451" s="125">
        <v>2</v>
      </c>
      <c r="J451" s="126" t="s">
        <v>1207</v>
      </c>
    </row>
    <row r="452" spans="1:10" ht="14.25" customHeight="1">
      <c r="A452" s="127"/>
      <c r="B452" s="123">
        <v>11</v>
      </c>
      <c r="C452" s="129" t="s">
        <v>185</v>
      </c>
      <c r="D452" s="123" t="s">
        <v>1241</v>
      </c>
      <c r="E452" s="13">
        <v>31008169</v>
      </c>
      <c r="F452" s="13">
        <v>0</v>
      </c>
      <c r="G452" s="13">
        <v>31008169</v>
      </c>
      <c r="H452" s="13">
        <f t="shared" si="9"/>
        <v>0</v>
      </c>
      <c r="I452" s="125">
        <v>2</v>
      </c>
      <c r="J452" s="126" t="s">
        <v>1235</v>
      </c>
    </row>
    <row r="453" spans="1:10" ht="14.25" customHeight="1">
      <c r="A453" s="127"/>
      <c r="B453" s="123">
        <v>12</v>
      </c>
      <c r="C453" s="129" t="s">
        <v>164</v>
      </c>
      <c r="D453" s="123" t="s">
        <v>1213</v>
      </c>
      <c r="E453" s="13">
        <v>103000000</v>
      </c>
      <c r="F453" s="13">
        <v>0</v>
      </c>
      <c r="G453" s="13">
        <v>103000000</v>
      </c>
      <c r="H453" s="13">
        <f t="shared" si="9"/>
        <v>0</v>
      </c>
      <c r="I453" s="125">
        <v>1.6</v>
      </c>
      <c r="J453" s="126" t="s">
        <v>1235</v>
      </c>
    </row>
    <row r="454" spans="1:10" ht="14.25" customHeight="1">
      <c r="A454" s="127"/>
      <c r="B454" s="123">
        <v>13</v>
      </c>
      <c r="C454" s="129" t="s">
        <v>165</v>
      </c>
      <c r="D454" s="123" t="s">
        <v>1242</v>
      </c>
      <c r="E454" s="13">
        <v>47194000</v>
      </c>
      <c r="F454" s="13">
        <v>0</v>
      </c>
      <c r="G454" s="13">
        <v>47194000</v>
      </c>
      <c r="H454" s="13">
        <f t="shared" si="9"/>
        <v>0</v>
      </c>
      <c r="I454" s="125" t="s">
        <v>1243</v>
      </c>
      <c r="J454" s="126" t="s">
        <v>1244</v>
      </c>
    </row>
    <row r="455" spans="1:10" ht="14.25" customHeight="1">
      <c r="A455" s="127"/>
      <c r="B455" s="123">
        <v>13</v>
      </c>
      <c r="C455" s="129" t="s">
        <v>164</v>
      </c>
      <c r="D455" s="123" t="s">
        <v>1245</v>
      </c>
      <c r="E455" s="13">
        <v>42000000</v>
      </c>
      <c r="F455" s="13">
        <v>0</v>
      </c>
      <c r="G455" s="13">
        <v>42000000</v>
      </c>
      <c r="H455" s="13">
        <f t="shared" si="9"/>
        <v>0</v>
      </c>
      <c r="I455" s="125">
        <v>1.4</v>
      </c>
      <c r="J455" s="147" t="s">
        <v>1235</v>
      </c>
    </row>
    <row r="456" spans="1:10" ht="14.25" customHeight="1">
      <c r="A456" s="127"/>
      <c r="B456" s="123">
        <v>14</v>
      </c>
      <c r="C456" s="129" t="s">
        <v>189</v>
      </c>
      <c r="D456" s="123" t="s">
        <v>1219</v>
      </c>
      <c r="E456" s="13">
        <v>46000000</v>
      </c>
      <c r="F456" s="13">
        <v>1768166</v>
      </c>
      <c r="G456" s="13">
        <v>5369338</v>
      </c>
      <c r="H456" s="13">
        <f t="shared" si="9"/>
        <v>40630662</v>
      </c>
      <c r="I456" s="125">
        <v>1.3</v>
      </c>
      <c r="J456" s="126" t="s">
        <v>1214</v>
      </c>
    </row>
    <row r="457" spans="1:10" ht="14.25" customHeight="1">
      <c r="A457" s="127"/>
      <c r="B457" s="123">
        <v>15</v>
      </c>
      <c r="C457" s="129" t="s">
        <v>189</v>
      </c>
      <c r="D457" s="123" t="s">
        <v>1221</v>
      </c>
      <c r="E457" s="13">
        <v>1137000000</v>
      </c>
      <c r="F457" s="13">
        <v>40597086</v>
      </c>
      <c r="G457" s="13">
        <v>80433681</v>
      </c>
      <c r="H457" s="13">
        <f t="shared" si="9"/>
        <v>1056566319</v>
      </c>
      <c r="I457" s="125">
        <v>1.9</v>
      </c>
      <c r="J457" s="126" t="s">
        <v>1218</v>
      </c>
    </row>
    <row r="458" spans="1:10" ht="14.25" customHeight="1">
      <c r="A458" s="148"/>
      <c r="B458" s="128">
        <v>14</v>
      </c>
      <c r="C458" s="129" t="s">
        <v>164</v>
      </c>
      <c r="D458" s="123" t="s">
        <v>1246</v>
      </c>
      <c r="E458" s="13">
        <v>6867162</v>
      </c>
      <c r="F458" s="13">
        <v>0</v>
      </c>
      <c r="G458" s="13">
        <v>6867162</v>
      </c>
      <c r="H458" s="13">
        <f t="shared" si="9"/>
        <v>0</v>
      </c>
      <c r="I458" s="125">
        <v>2</v>
      </c>
      <c r="J458" s="126" t="s">
        <v>1235</v>
      </c>
    </row>
    <row r="459" spans="1:10" ht="14.25" customHeight="1">
      <c r="A459" s="148"/>
      <c r="B459" s="123">
        <v>15</v>
      </c>
      <c r="C459" s="129" t="s">
        <v>189</v>
      </c>
      <c r="D459" s="123" t="s">
        <v>1247</v>
      </c>
      <c r="E459" s="13">
        <v>398000000</v>
      </c>
      <c r="F459" s="13">
        <v>13919674</v>
      </c>
      <c r="G459" s="13">
        <v>20776318</v>
      </c>
      <c r="H459" s="13">
        <f t="shared" si="9"/>
        <v>377223682</v>
      </c>
      <c r="I459" s="125">
        <v>2</v>
      </c>
      <c r="J459" s="147" t="s">
        <v>1220</v>
      </c>
    </row>
    <row r="460" spans="1:10" ht="14.25" customHeight="1">
      <c r="A460" s="148"/>
      <c r="B460" s="123">
        <v>15</v>
      </c>
      <c r="C460" s="129" t="s">
        <v>164</v>
      </c>
      <c r="D460" s="123" t="s">
        <v>1248</v>
      </c>
      <c r="E460" s="13">
        <v>3390000000</v>
      </c>
      <c r="F460" s="13">
        <v>105440564</v>
      </c>
      <c r="G460" s="13">
        <v>157340560</v>
      </c>
      <c r="H460" s="13">
        <f t="shared" si="9"/>
        <v>3232659440</v>
      </c>
      <c r="I460" s="125">
        <v>2.1</v>
      </c>
      <c r="J460" s="126" t="s">
        <v>1249</v>
      </c>
    </row>
    <row r="461" spans="1:10" ht="14.25" customHeight="1">
      <c r="A461" s="148"/>
      <c r="B461" s="128">
        <v>7</v>
      </c>
      <c r="C461" s="129" t="s">
        <v>164</v>
      </c>
      <c r="D461" s="123" t="s">
        <v>1250</v>
      </c>
      <c r="E461" s="13">
        <v>8684157615</v>
      </c>
      <c r="F461" s="13">
        <v>333542302</v>
      </c>
      <c r="G461" s="13">
        <v>1868968408</v>
      </c>
      <c r="H461" s="13">
        <f t="shared" ref="H461:H466" si="10">E461-G461</f>
        <v>6815189207</v>
      </c>
      <c r="I461" s="125">
        <v>2.8</v>
      </c>
      <c r="J461" s="126" t="s">
        <v>294</v>
      </c>
    </row>
    <row r="462" spans="1:10" ht="14.25" customHeight="1">
      <c r="A462" s="148"/>
      <c r="B462" s="123">
        <v>8</v>
      </c>
      <c r="C462" s="129" t="s">
        <v>164</v>
      </c>
      <c r="D462" s="123" t="s">
        <v>1250</v>
      </c>
      <c r="E462" s="13">
        <v>4067259578</v>
      </c>
      <c r="F462" s="13">
        <v>154517098</v>
      </c>
      <c r="G462" s="13">
        <v>880486230</v>
      </c>
      <c r="H462" s="13">
        <f t="shared" si="10"/>
        <v>3186773348</v>
      </c>
      <c r="I462" s="125">
        <v>2.1</v>
      </c>
      <c r="J462" s="126" t="s">
        <v>1207</v>
      </c>
    </row>
    <row r="463" spans="1:10" ht="14.25" customHeight="1">
      <c r="A463" s="148"/>
      <c r="B463" s="123">
        <v>11</v>
      </c>
      <c r="C463" s="129" t="s">
        <v>164</v>
      </c>
      <c r="D463" s="123" t="s">
        <v>1250</v>
      </c>
      <c r="E463" s="13">
        <v>586991831</v>
      </c>
      <c r="F463" s="13">
        <v>20017449</v>
      </c>
      <c r="G463" s="13">
        <v>105325820</v>
      </c>
      <c r="H463" s="13">
        <f t="shared" si="10"/>
        <v>481666011</v>
      </c>
      <c r="I463" s="125">
        <v>2</v>
      </c>
      <c r="J463" s="147" t="s">
        <v>1214</v>
      </c>
    </row>
    <row r="464" spans="1:10" ht="14.25" customHeight="1">
      <c r="A464" s="148"/>
      <c r="B464" s="123">
        <v>12</v>
      </c>
      <c r="C464" s="129" t="s">
        <v>164</v>
      </c>
      <c r="D464" s="123" t="s">
        <v>1250</v>
      </c>
      <c r="E464" s="13">
        <v>1398000000</v>
      </c>
      <c r="F464" s="13">
        <v>48902913</v>
      </c>
      <c r="G464" s="13">
        <v>236904274</v>
      </c>
      <c r="H464" s="13">
        <f t="shared" si="10"/>
        <v>1161095726</v>
      </c>
      <c r="I464" s="125">
        <v>1.6</v>
      </c>
      <c r="J464" s="147" t="s">
        <v>1214</v>
      </c>
    </row>
    <row r="465" spans="1:10" ht="14.25" customHeight="1">
      <c r="A465" s="148"/>
      <c r="B465" s="123">
        <v>14</v>
      </c>
      <c r="C465" s="129" t="s">
        <v>164</v>
      </c>
      <c r="D465" s="123" t="s">
        <v>1250</v>
      </c>
      <c r="E465" s="13">
        <v>2371132838</v>
      </c>
      <c r="F465" s="13">
        <v>75419379</v>
      </c>
      <c r="G465" s="13">
        <f>156219860-G458</f>
        <v>149352698</v>
      </c>
      <c r="H465" s="13">
        <f t="shared" si="10"/>
        <v>2221780140</v>
      </c>
      <c r="I465" s="125">
        <v>2</v>
      </c>
      <c r="J465" s="147" t="s">
        <v>1224</v>
      </c>
    </row>
    <row r="466" spans="1:10" ht="14.25" customHeight="1" thickBot="1">
      <c r="A466" s="148"/>
      <c r="B466" s="123">
        <v>16</v>
      </c>
      <c r="C466" s="129" t="s">
        <v>189</v>
      </c>
      <c r="D466" s="123" t="s">
        <v>699</v>
      </c>
      <c r="E466" s="13">
        <v>4470000000</v>
      </c>
      <c r="F466" s="13">
        <v>152974484</v>
      </c>
      <c r="G466" s="13">
        <v>152974484</v>
      </c>
      <c r="H466" s="13">
        <f t="shared" si="10"/>
        <v>4317025516</v>
      </c>
      <c r="I466" s="125">
        <v>2.1</v>
      </c>
      <c r="J466" s="147" t="s">
        <v>700</v>
      </c>
    </row>
    <row r="467" spans="1:10" ht="9.75" customHeight="1" thickBot="1">
      <c r="A467" s="165"/>
      <c r="B467" s="166"/>
      <c r="C467" s="165"/>
      <c r="D467" s="166"/>
      <c r="E467" s="28"/>
      <c r="F467" s="28"/>
      <c r="G467" s="28"/>
      <c r="H467" s="28"/>
      <c r="I467" s="167"/>
      <c r="J467" s="173"/>
    </row>
    <row r="468" spans="1:10">
      <c r="A468" s="500" t="s">
        <v>996</v>
      </c>
      <c r="B468" s="502" t="s">
        <v>311</v>
      </c>
      <c r="C468" s="504" t="s">
        <v>891</v>
      </c>
      <c r="D468" s="502" t="s">
        <v>312</v>
      </c>
      <c r="E468" s="506" t="s">
        <v>892</v>
      </c>
      <c r="F468" s="508" t="s">
        <v>893</v>
      </c>
      <c r="G468" s="510"/>
      <c r="H468" s="494" t="s">
        <v>174</v>
      </c>
      <c r="I468" s="496" t="s">
        <v>894</v>
      </c>
      <c r="J468" s="498" t="s">
        <v>313</v>
      </c>
    </row>
    <row r="469" spans="1:10">
      <c r="A469" s="501"/>
      <c r="B469" s="503"/>
      <c r="C469" s="505"/>
      <c r="D469" s="503"/>
      <c r="E469" s="507"/>
      <c r="F469" s="115" t="s">
        <v>176</v>
      </c>
      <c r="G469" s="115" t="s">
        <v>305</v>
      </c>
      <c r="H469" s="495"/>
      <c r="I469" s="497"/>
      <c r="J469" s="499"/>
    </row>
    <row r="470" spans="1:10">
      <c r="A470" s="117"/>
      <c r="B470" s="118"/>
      <c r="C470" s="118"/>
      <c r="D470" s="119" t="s">
        <v>177</v>
      </c>
      <c r="E470" s="44" t="s">
        <v>178</v>
      </c>
      <c r="F470" s="44" t="s">
        <v>172</v>
      </c>
      <c r="G470" s="44" t="s">
        <v>178</v>
      </c>
      <c r="H470" s="44" t="s">
        <v>178</v>
      </c>
      <c r="I470" s="120" t="s">
        <v>895</v>
      </c>
      <c r="J470" s="121" t="s">
        <v>175</v>
      </c>
    </row>
    <row r="471" spans="1:10" ht="14.25" customHeight="1">
      <c r="A471" s="122" t="s">
        <v>300</v>
      </c>
      <c r="B471" s="128" t="s">
        <v>343</v>
      </c>
      <c r="C471" s="129" t="s">
        <v>164</v>
      </c>
      <c r="D471" s="123" t="s">
        <v>701</v>
      </c>
      <c r="E471" s="13">
        <v>2132074745</v>
      </c>
      <c r="F471" s="13">
        <v>78267272</v>
      </c>
      <c r="G471" s="13">
        <v>444916820</v>
      </c>
      <c r="H471" s="13">
        <f t="shared" ref="H471:H490" si="11">E471-G471</f>
        <v>1687157925</v>
      </c>
      <c r="I471" s="125">
        <v>2.2000000000000002</v>
      </c>
      <c r="J471" s="147" t="s">
        <v>1251</v>
      </c>
    </row>
    <row r="472" spans="1:10" ht="14.25" customHeight="1">
      <c r="A472" s="127" t="s">
        <v>182</v>
      </c>
      <c r="B472" s="123">
        <v>10</v>
      </c>
      <c r="C472" s="129" t="s">
        <v>164</v>
      </c>
      <c r="D472" s="123" t="s">
        <v>301</v>
      </c>
      <c r="E472" s="13">
        <v>2010807271</v>
      </c>
      <c r="F472" s="13">
        <v>70508585</v>
      </c>
      <c r="G472" s="13">
        <v>401779731</v>
      </c>
      <c r="H472" s="13">
        <f t="shared" si="11"/>
        <v>1609027540</v>
      </c>
      <c r="I472" s="125">
        <v>2.1</v>
      </c>
      <c r="J472" s="147" t="s">
        <v>1216</v>
      </c>
    </row>
    <row r="473" spans="1:10" ht="14.25" customHeight="1">
      <c r="A473" s="122"/>
      <c r="B473" s="128">
        <v>13</v>
      </c>
      <c r="C473" s="129" t="s">
        <v>164</v>
      </c>
      <c r="D473" s="123" t="s">
        <v>301</v>
      </c>
      <c r="E473" s="13">
        <v>1799000000</v>
      </c>
      <c r="F473" s="13">
        <v>62709837</v>
      </c>
      <c r="G473" s="13">
        <v>215709693</v>
      </c>
      <c r="H473" s="13">
        <f t="shared" si="11"/>
        <v>1583290307</v>
      </c>
      <c r="I473" s="125">
        <v>1.4</v>
      </c>
      <c r="J473" s="126" t="s">
        <v>1220</v>
      </c>
    </row>
    <row r="474" spans="1:10" ht="14.25" customHeight="1">
      <c r="A474" s="127"/>
      <c r="B474" s="123">
        <v>16</v>
      </c>
      <c r="C474" s="129" t="s">
        <v>164</v>
      </c>
      <c r="D474" s="123" t="s">
        <v>1252</v>
      </c>
      <c r="E474" s="13">
        <v>1424000000</v>
      </c>
      <c r="F474" s="13">
        <v>22090129</v>
      </c>
      <c r="G474" s="13">
        <v>22090129</v>
      </c>
      <c r="H474" s="13">
        <f t="shared" si="11"/>
        <v>1401909871</v>
      </c>
      <c r="I474" s="125">
        <v>2</v>
      </c>
      <c r="J474" s="147" t="s">
        <v>1253</v>
      </c>
    </row>
    <row r="475" spans="1:10" ht="14.25" customHeight="1">
      <c r="A475" s="127"/>
      <c r="B475" s="123">
        <v>16</v>
      </c>
      <c r="C475" s="129" t="s">
        <v>189</v>
      </c>
      <c r="D475" s="123" t="s">
        <v>1252</v>
      </c>
      <c r="E475" s="13">
        <v>279000000</v>
      </c>
      <c r="F475" s="13">
        <v>4864497</v>
      </c>
      <c r="G475" s="13">
        <v>4864497</v>
      </c>
      <c r="H475" s="13">
        <f t="shared" si="11"/>
        <v>274135503</v>
      </c>
      <c r="I475" s="125">
        <v>1.9</v>
      </c>
      <c r="J475" s="147" t="s">
        <v>1224</v>
      </c>
    </row>
    <row r="476" spans="1:10" ht="14.25" customHeight="1">
      <c r="A476" s="127"/>
      <c r="B476" s="123">
        <v>17</v>
      </c>
      <c r="C476" s="129" t="s">
        <v>189</v>
      </c>
      <c r="D476" s="123" t="s">
        <v>1223</v>
      </c>
      <c r="E476" s="13">
        <v>6488000000</v>
      </c>
      <c r="F476" s="13">
        <v>0</v>
      </c>
      <c r="G476" s="13">
        <v>0</v>
      </c>
      <c r="H476" s="13">
        <f t="shared" si="11"/>
        <v>6488000000</v>
      </c>
      <c r="I476" s="125">
        <v>2</v>
      </c>
      <c r="J476" s="147" t="s">
        <v>1224</v>
      </c>
    </row>
    <row r="477" spans="1:10" ht="14.25" customHeight="1">
      <c r="A477" s="127"/>
      <c r="B477" s="123">
        <v>18</v>
      </c>
      <c r="C477" s="129" t="s">
        <v>189</v>
      </c>
      <c r="D477" s="128" t="s">
        <v>1254</v>
      </c>
      <c r="E477" s="13">
        <v>803000000</v>
      </c>
      <c r="F477" s="13">
        <v>0</v>
      </c>
      <c r="G477" s="13">
        <v>0</v>
      </c>
      <c r="H477" s="13">
        <f t="shared" si="11"/>
        <v>803000000</v>
      </c>
      <c r="I477" s="125">
        <v>2.1</v>
      </c>
      <c r="J477" s="147" t="s">
        <v>1255</v>
      </c>
    </row>
    <row r="478" spans="1:10" ht="14.25" customHeight="1">
      <c r="A478" s="127"/>
      <c r="B478" s="123">
        <v>18</v>
      </c>
      <c r="C478" s="129" t="s">
        <v>189</v>
      </c>
      <c r="D478" s="128" t="s">
        <v>1254</v>
      </c>
      <c r="E478" s="13">
        <v>3571000000</v>
      </c>
      <c r="F478" s="13">
        <v>0</v>
      </c>
      <c r="G478" s="13">
        <v>0</v>
      </c>
      <c r="H478" s="13">
        <f t="shared" si="11"/>
        <v>3571000000</v>
      </c>
      <c r="I478" s="125">
        <v>2.1</v>
      </c>
      <c r="J478" s="147" t="s">
        <v>344</v>
      </c>
    </row>
    <row r="479" spans="1:10" ht="14.25" customHeight="1">
      <c r="A479" s="127"/>
      <c r="B479" s="123">
        <v>18</v>
      </c>
      <c r="C479" s="129" t="s">
        <v>164</v>
      </c>
      <c r="D479" s="128" t="s">
        <v>1256</v>
      </c>
      <c r="E479" s="13">
        <v>1940000000</v>
      </c>
      <c r="F479" s="13">
        <v>0</v>
      </c>
      <c r="G479" s="13">
        <v>0</v>
      </c>
      <c r="H479" s="13">
        <f t="shared" si="11"/>
        <v>1940000000</v>
      </c>
      <c r="I479" s="125">
        <v>2.1</v>
      </c>
      <c r="J479" s="147" t="s">
        <v>1257</v>
      </c>
    </row>
    <row r="480" spans="1:10" ht="14.25" customHeight="1">
      <c r="A480" s="127"/>
      <c r="B480" s="123">
        <v>18</v>
      </c>
      <c r="C480" s="129" t="s">
        <v>164</v>
      </c>
      <c r="D480" s="128" t="s">
        <v>1258</v>
      </c>
      <c r="E480" s="13">
        <v>4606000000</v>
      </c>
      <c r="F480" s="13">
        <v>0</v>
      </c>
      <c r="G480" s="13">
        <v>0</v>
      </c>
      <c r="H480" s="13">
        <f t="shared" si="11"/>
        <v>4606000000</v>
      </c>
      <c r="I480" s="125">
        <v>2.1</v>
      </c>
      <c r="J480" s="147" t="s">
        <v>1259</v>
      </c>
    </row>
    <row r="481" spans="1:10" ht="14.25" customHeight="1">
      <c r="A481" s="127"/>
      <c r="B481" s="123">
        <v>18</v>
      </c>
      <c r="C481" s="129" t="s">
        <v>984</v>
      </c>
      <c r="D481" s="128" t="s">
        <v>1260</v>
      </c>
      <c r="E481" s="13">
        <v>38000000</v>
      </c>
      <c r="F481" s="13">
        <v>0</v>
      </c>
      <c r="G481" s="13">
        <v>0</v>
      </c>
      <c r="H481" s="13">
        <f t="shared" si="11"/>
        <v>38000000</v>
      </c>
      <c r="I481" s="125">
        <v>2.1</v>
      </c>
      <c r="J481" s="147" t="s">
        <v>1226</v>
      </c>
    </row>
    <row r="482" spans="1:10" ht="14.25" customHeight="1">
      <c r="A482" s="127"/>
      <c r="B482" s="123">
        <v>19</v>
      </c>
      <c r="C482" s="129" t="s">
        <v>984</v>
      </c>
      <c r="D482" s="128" t="s">
        <v>1225</v>
      </c>
      <c r="E482" s="13">
        <v>1139000000</v>
      </c>
      <c r="F482" s="13">
        <v>0</v>
      </c>
      <c r="G482" s="13">
        <v>0</v>
      </c>
      <c r="H482" s="13">
        <f t="shared" si="11"/>
        <v>1139000000</v>
      </c>
      <c r="I482" s="125">
        <v>2.0499999999999998</v>
      </c>
      <c r="J482" s="147" t="s">
        <v>1226</v>
      </c>
    </row>
    <row r="483" spans="1:10" ht="14.25" customHeight="1">
      <c r="A483" s="127"/>
      <c r="B483" s="123">
        <v>19</v>
      </c>
      <c r="C483" s="129" t="s">
        <v>164</v>
      </c>
      <c r="D483" s="128" t="s">
        <v>1261</v>
      </c>
      <c r="E483" s="13">
        <v>1099000000</v>
      </c>
      <c r="F483" s="13">
        <v>0</v>
      </c>
      <c r="G483" s="13">
        <v>0</v>
      </c>
      <c r="H483" s="13">
        <f t="shared" si="11"/>
        <v>1099000000</v>
      </c>
      <c r="I483" s="125">
        <v>1.9</v>
      </c>
      <c r="J483" s="147" t="s">
        <v>1262</v>
      </c>
    </row>
    <row r="484" spans="1:10" ht="14.25" customHeight="1">
      <c r="A484" s="127"/>
      <c r="B484" s="123">
        <v>20</v>
      </c>
      <c r="C484" s="184" t="s">
        <v>695</v>
      </c>
      <c r="D484" s="128" t="s">
        <v>1263</v>
      </c>
      <c r="E484" s="13">
        <v>32000000</v>
      </c>
      <c r="F484" s="13">
        <v>0</v>
      </c>
      <c r="G484" s="13">
        <v>0</v>
      </c>
      <c r="H484" s="13">
        <f t="shared" si="11"/>
        <v>32000000</v>
      </c>
      <c r="I484" s="125">
        <v>1.8</v>
      </c>
      <c r="J484" s="147" t="s">
        <v>1184</v>
      </c>
    </row>
    <row r="485" spans="1:10" ht="14.25" customHeight="1">
      <c r="A485" s="127"/>
      <c r="B485" s="123">
        <v>20</v>
      </c>
      <c r="C485" s="184" t="s">
        <v>695</v>
      </c>
      <c r="D485" s="128" t="s">
        <v>1183</v>
      </c>
      <c r="E485" s="13">
        <v>1232000000</v>
      </c>
      <c r="F485" s="13">
        <v>0</v>
      </c>
      <c r="G485" s="13">
        <v>0</v>
      </c>
      <c r="H485" s="13">
        <f t="shared" si="11"/>
        <v>1232000000</v>
      </c>
      <c r="I485" s="125">
        <v>1.9</v>
      </c>
      <c r="J485" s="147" t="s">
        <v>1184</v>
      </c>
    </row>
    <row r="486" spans="1:10" ht="14.25" customHeight="1">
      <c r="A486" s="127"/>
      <c r="B486" s="123">
        <v>20</v>
      </c>
      <c r="C486" s="129" t="s">
        <v>164</v>
      </c>
      <c r="D486" s="128" t="s">
        <v>1264</v>
      </c>
      <c r="E486" s="13">
        <v>1184000000</v>
      </c>
      <c r="F486" s="13">
        <v>0</v>
      </c>
      <c r="G486" s="13">
        <v>0</v>
      </c>
      <c r="H486" s="13">
        <f t="shared" si="11"/>
        <v>1184000000</v>
      </c>
      <c r="I486" s="125">
        <v>2.1</v>
      </c>
      <c r="J486" s="147" t="s">
        <v>1265</v>
      </c>
    </row>
    <row r="487" spans="1:10" ht="14.25" customHeight="1">
      <c r="A487" s="148"/>
      <c r="B487" s="123">
        <v>21</v>
      </c>
      <c r="C487" s="184" t="s">
        <v>698</v>
      </c>
      <c r="D487" s="128" t="s">
        <v>1227</v>
      </c>
      <c r="E487" s="13">
        <v>495000000</v>
      </c>
      <c r="F487" s="13">
        <v>0</v>
      </c>
      <c r="G487" s="13">
        <v>0</v>
      </c>
      <c r="H487" s="13">
        <f t="shared" si="11"/>
        <v>495000000</v>
      </c>
      <c r="I487" s="125">
        <v>2.1</v>
      </c>
      <c r="J487" s="147" t="s">
        <v>696</v>
      </c>
    </row>
    <row r="488" spans="1:10" ht="14.25" customHeight="1">
      <c r="A488" s="148"/>
      <c r="B488" s="123">
        <v>21</v>
      </c>
      <c r="C488" s="184" t="s">
        <v>698</v>
      </c>
      <c r="D488" s="128" t="s">
        <v>1266</v>
      </c>
      <c r="E488" s="13">
        <v>76000000</v>
      </c>
      <c r="F488" s="13">
        <v>0</v>
      </c>
      <c r="G488" s="13">
        <v>0</v>
      </c>
      <c r="H488" s="13">
        <f>E488-G488</f>
        <v>76000000</v>
      </c>
      <c r="I488" s="125">
        <v>1.9</v>
      </c>
      <c r="J488" s="147" t="s">
        <v>1267</v>
      </c>
    </row>
    <row r="489" spans="1:10" ht="14.25" customHeight="1">
      <c r="A489" s="148"/>
      <c r="B489" s="123">
        <v>21</v>
      </c>
      <c r="C489" s="184" t="s">
        <v>886</v>
      </c>
      <c r="D489" s="128" t="s">
        <v>887</v>
      </c>
      <c r="E489" s="13">
        <v>999000000</v>
      </c>
      <c r="F489" s="13">
        <v>0</v>
      </c>
      <c r="G489" s="13">
        <v>0</v>
      </c>
      <c r="H489" s="13">
        <f>E489-G489</f>
        <v>999000000</v>
      </c>
      <c r="I489" s="125">
        <v>1.9</v>
      </c>
      <c r="J489" s="147" t="s">
        <v>888</v>
      </c>
    </row>
    <row r="490" spans="1:10" ht="14.25" customHeight="1">
      <c r="A490" s="148"/>
      <c r="B490" s="123">
        <v>22</v>
      </c>
      <c r="C490" s="184" t="s">
        <v>886</v>
      </c>
      <c r="D490" s="128" t="s">
        <v>887</v>
      </c>
      <c r="E490" s="13">
        <v>1019000000</v>
      </c>
      <c r="F490" s="13">
        <v>0</v>
      </c>
      <c r="G490" s="13">
        <v>0</v>
      </c>
      <c r="H490" s="13">
        <f t="shared" si="11"/>
        <v>1019000000</v>
      </c>
      <c r="I490" s="125">
        <v>1.9</v>
      </c>
      <c r="J490" s="147" t="s">
        <v>888</v>
      </c>
    </row>
    <row r="491" spans="1:10" ht="17.25" customHeight="1">
      <c r="A491" s="136" t="s">
        <v>988</v>
      </c>
      <c r="B491" s="137" t="s">
        <v>173</v>
      </c>
      <c r="C491" s="138" t="s">
        <v>173</v>
      </c>
      <c r="D491" s="139" t="s">
        <v>173</v>
      </c>
      <c r="E491" s="18">
        <f>SUM(E428:E466,E471:E490)</f>
        <v>106534194000</v>
      </c>
      <c r="F491" s="18">
        <f>SUM(F428:F466,F471:F490)</f>
        <v>2560031365</v>
      </c>
      <c r="G491" s="18">
        <f>SUM(G428:G466,G471:G490)</f>
        <v>28141930625</v>
      </c>
      <c r="H491" s="18">
        <f>SUM(H428:H466,H471:H490)</f>
        <v>78392263375</v>
      </c>
      <c r="I491" s="140"/>
      <c r="J491" s="141" t="s">
        <v>173</v>
      </c>
    </row>
    <row r="492" spans="1:10" ht="14.25" customHeight="1">
      <c r="A492" s="122" t="s">
        <v>1268</v>
      </c>
      <c r="B492" s="128" t="s">
        <v>1269</v>
      </c>
      <c r="C492" s="129" t="s">
        <v>185</v>
      </c>
      <c r="D492" s="123" t="s">
        <v>1270</v>
      </c>
      <c r="E492" s="13">
        <v>598000000</v>
      </c>
      <c r="F492" s="13">
        <v>20977909</v>
      </c>
      <c r="G492" s="13">
        <v>169363466</v>
      </c>
      <c r="H492" s="13">
        <f t="shared" ref="H492:H528" si="12">E492-G492</f>
        <v>428636534</v>
      </c>
      <c r="I492" s="125">
        <v>2.8</v>
      </c>
      <c r="J492" s="126" t="s">
        <v>294</v>
      </c>
    </row>
    <row r="493" spans="1:10" ht="14.25" customHeight="1">
      <c r="A493" s="127" t="s">
        <v>302</v>
      </c>
      <c r="B493" s="128">
        <v>8</v>
      </c>
      <c r="C493" s="129" t="s">
        <v>189</v>
      </c>
      <c r="D493" s="123" t="s">
        <v>1236</v>
      </c>
      <c r="E493" s="13">
        <v>490000000</v>
      </c>
      <c r="F493" s="13">
        <v>19229747</v>
      </c>
      <c r="G493" s="13">
        <v>154958221</v>
      </c>
      <c r="H493" s="13">
        <f t="shared" si="12"/>
        <v>335041779</v>
      </c>
      <c r="I493" s="125">
        <v>2.85</v>
      </c>
      <c r="J493" s="126" t="s">
        <v>287</v>
      </c>
    </row>
    <row r="494" spans="1:10" ht="17.25" customHeight="1">
      <c r="A494" s="136" t="s">
        <v>988</v>
      </c>
      <c r="B494" s="137"/>
      <c r="C494" s="138"/>
      <c r="D494" s="139"/>
      <c r="E494" s="18">
        <f>SUM(E492:E493)</f>
        <v>1088000000</v>
      </c>
      <c r="F494" s="18">
        <f>SUM(F492:F493)</f>
        <v>40207656</v>
      </c>
      <c r="G494" s="18">
        <f>SUM(G492:G493)</f>
        <v>324321687</v>
      </c>
      <c r="H494" s="18">
        <f>SUM(H492:H493)</f>
        <v>763678313</v>
      </c>
      <c r="I494" s="140"/>
      <c r="J494" s="141"/>
    </row>
    <row r="495" spans="1:10" ht="14.25" customHeight="1">
      <c r="A495" s="185" t="s">
        <v>702</v>
      </c>
      <c r="B495" s="128" t="s">
        <v>317</v>
      </c>
      <c r="C495" s="129" t="s">
        <v>266</v>
      </c>
      <c r="D495" s="123" t="s">
        <v>1271</v>
      </c>
      <c r="E495" s="13">
        <v>509000000</v>
      </c>
      <c r="F495" s="13">
        <v>509000000</v>
      </c>
      <c r="G495" s="13">
        <v>509000000</v>
      </c>
      <c r="H495" s="13">
        <f t="shared" si="12"/>
        <v>0</v>
      </c>
      <c r="I495" s="125">
        <v>1.7</v>
      </c>
      <c r="J495" s="126" t="s">
        <v>1210</v>
      </c>
    </row>
    <row r="496" spans="1:10" ht="14.25" customHeight="1">
      <c r="A496" s="186" t="s">
        <v>703</v>
      </c>
      <c r="B496" s="123">
        <v>13</v>
      </c>
      <c r="C496" s="129" t="s">
        <v>1272</v>
      </c>
      <c r="D496" s="123" t="s">
        <v>1273</v>
      </c>
      <c r="E496" s="13">
        <v>466000000</v>
      </c>
      <c r="F496" s="13">
        <v>68164064</v>
      </c>
      <c r="G496" s="13">
        <v>397015513</v>
      </c>
      <c r="H496" s="13">
        <f t="shared" si="12"/>
        <v>68984487</v>
      </c>
      <c r="I496" s="125">
        <v>1.2</v>
      </c>
      <c r="J496" s="126" t="s">
        <v>1274</v>
      </c>
    </row>
    <row r="497" spans="1:10" ht="17.25" customHeight="1">
      <c r="A497" s="136" t="s">
        <v>1275</v>
      </c>
      <c r="B497" s="137" t="s">
        <v>173</v>
      </c>
      <c r="C497" s="138" t="s">
        <v>173</v>
      </c>
      <c r="D497" s="139" t="s">
        <v>173</v>
      </c>
      <c r="E497" s="18">
        <f>SUM(E495:E496)</f>
        <v>975000000</v>
      </c>
      <c r="F497" s="18">
        <f>SUM(F495:F496)</f>
        <v>577164064</v>
      </c>
      <c r="G497" s="18">
        <f>SUM(G495:G496)</f>
        <v>906015513</v>
      </c>
      <c r="H497" s="18">
        <f>SUM(H495:H496)</f>
        <v>68984487</v>
      </c>
      <c r="I497" s="140"/>
      <c r="J497" s="141" t="s">
        <v>173</v>
      </c>
    </row>
    <row r="498" spans="1:10" ht="14.25" customHeight="1">
      <c r="A498" s="187" t="s">
        <v>704</v>
      </c>
      <c r="B498" s="128" t="s">
        <v>318</v>
      </c>
      <c r="C498" s="129" t="s">
        <v>163</v>
      </c>
      <c r="D498" s="123" t="s">
        <v>307</v>
      </c>
      <c r="E498" s="13">
        <v>584000000</v>
      </c>
      <c r="F498" s="13">
        <v>19946137</v>
      </c>
      <c r="G498" s="13">
        <v>68442714</v>
      </c>
      <c r="H498" s="13">
        <f t="shared" si="12"/>
        <v>515557286</v>
      </c>
      <c r="I498" s="125">
        <v>1.6</v>
      </c>
      <c r="J498" s="126" t="s">
        <v>1276</v>
      </c>
    </row>
    <row r="499" spans="1:10" ht="14.25" customHeight="1">
      <c r="A499" s="188" t="s">
        <v>302</v>
      </c>
      <c r="B499" s="128">
        <v>14</v>
      </c>
      <c r="C499" s="129" t="s">
        <v>163</v>
      </c>
      <c r="D499" s="123" t="s">
        <v>1219</v>
      </c>
      <c r="E499" s="13">
        <v>341000000</v>
      </c>
      <c r="F499" s="13">
        <v>12057011</v>
      </c>
      <c r="G499" s="13">
        <v>35742561</v>
      </c>
      <c r="H499" s="13">
        <f t="shared" si="12"/>
        <v>305257439</v>
      </c>
      <c r="I499" s="125">
        <v>1.2</v>
      </c>
      <c r="J499" s="126" t="s">
        <v>1220</v>
      </c>
    </row>
    <row r="500" spans="1:10" ht="17.25" customHeight="1">
      <c r="A500" s="136" t="s">
        <v>988</v>
      </c>
      <c r="B500" s="137" t="s">
        <v>173</v>
      </c>
      <c r="C500" s="138" t="s">
        <v>173</v>
      </c>
      <c r="D500" s="139" t="s">
        <v>173</v>
      </c>
      <c r="E500" s="18">
        <f>SUM(E498:E499)</f>
        <v>925000000</v>
      </c>
      <c r="F500" s="18">
        <f>SUM(F498:F499)</f>
        <v>32003148</v>
      </c>
      <c r="G500" s="18">
        <f>SUM(G498:G499)</f>
        <v>104185275</v>
      </c>
      <c r="H500" s="18">
        <f>SUM(H498:H499)</f>
        <v>820814725</v>
      </c>
      <c r="I500" s="189"/>
      <c r="J500" s="141" t="s">
        <v>173</v>
      </c>
    </row>
    <row r="501" spans="1:10" ht="14.25" customHeight="1">
      <c r="A501" s="190" t="s">
        <v>705</v>
      </c>
      <c r="B501" s="128" t="s">
        <v>318</v>
      </c>
      <c r="C501" s="129" t="s">
        <v>189</v>
      </c>
      <c r="D501" s="128" t="s">
        <v>308</v>
      </c>
      <c r="E501" s="13">
        <v>329000000</v>
      </c>
      <c r="F501" s="13">
        <v>48418107</v>
      </c>
      <c r="G501" s="13">
        <v>329000000</v>
      </c>
      <c r="H501" s="13">
        <f t="shared" si="12"/>
        <v>0</v>
      </c>
      <c r="I501" s="125">
        <v>1</v>
      </c>
      <c r="J501" s="126" t="s">
        <v>1210</v>
      </c>
    </row>
    <row r="502" spans="1:10" ht="14.25" customHeight="1">
      <c r="A502" s="191" t="s">
        <v>166</v>
      </c>
      <c r="B502" s="128">
        <v>13</v>
      </c>
      <c r="C502" s="129" t="s">
        <v>1277</v>
      </c>
      <c r="D502" s="123" t="s">
        <v>1278</v>
      </c>
      <c r="E502" s="13">
        <v>728000000</v>
      </c>
      <c r="F502" s="13">
        <v>26291822</v>
      </c>
      <c r="G502" s="13">
        <v>101802195</v>
      </c>
      <c r="H502" s="13">
        <f t="shared" si="12"/>
        <v>626197805</v>
      </c>
      <c r="I502" s="125">
        <v>2.2000000000000002</v>
      </c>
      <c r="J502" s="126" t="s">
        <v>303</v>
      </c>
    </row>
    <row r="503" spans="1:10" ht="14.25" customHeight="1">
      <c r="A503" s="191"/>
      <c r="B503" s="128">
        <v>13</v>
      </c>
      <c r="C503" s="129" t="s">
        <v>1277</v>
      </c>
      <c r="D503" s="123" t="s">
        <v>1279</v>
      </c>
      <c r="E503" s="13">
        <v>59000000</v>
      </c>
      <c r="F503" s="13">
        <v>2167232</v>
      </c>
      <c r="G503" s="13">
        <v>7409355</v>
      </c>
      <c r="H503" s="13">
        <f t="shared" si="12"/>
        <v>51590645</v>
      </c>
      <c r="I503" s="125">
        <v>1.9</v>
      </c>
      <c r="J503" s="126" t="s">
        <v>1280</v>
      </c>
    </row>
    <row r="504" spans="1:10" ht="14.25" customHeight="1">
      <c r="A504" s="191"/>
      <c r="B504" s="128">
        <v>14</v>
      </c>
      <c r="C504" s="129" t="s">
        <v>266</v>
      </c>
      <c r="D504" s="123" t="s">
        <v>1281</v>
      </c>
      <c r="E504" s="13">
        <v>2500000000</v>
      </c>
      <c r="F504" s="13">
        <v>0</v>
      </c>
      <c r="G504" s="13">
        <v>0</v>
      </c>
      <c r="H504" s="13">
        <f t="shared" si="12"/>
        <v>2500000000</v>
      </c>
      <c r="I504" s="125">
        <v>0.8</v>
      </c>
      <c r="J504" s="126" t="s">
        <v>1282</v>
      </c>
    </row>
    <row r="505" spans="1:10" ht="14.25" customHeight="1">
      <c r="A505" s="191"/>
      <c r="B505" s="128">
        <v>14</v>
      </c>
      <c r="C505" s="129" t="s">
        <v>1277</v>
      </c>
      <c r="D505" s="123" t="s">
        <v>1283</v>
      </c>
      <c r="E505" s="13">
        <v>530000000</v>
      </c>
      <c r="F505" s="13">
        <v>76163785</v>
      </c>
      <c r="G505" s="13">
        <v>376296674</v>
      </c>
      <c r="H505" s="13">
        <f t="shared" si="12"/>
        <v>153703326</v>
      </c>
      <c r="I505" s="125">
        <v>0.6</v>
      </c>
      <c r="J505" s="126" t="s">
        <v>1282</v>
      </c>
    </row>
    <row r="506" spans="1:10" ht="14.25" customHeight="1">
      <c r="A506" s="191"/>
      <c r="B506" s="128">
        <v>15</v>
      </c>
      <c r="C506" s="129" t="s">
        <v>266</v>
      </c>
      <c r="D506" s="123" t="s">
        <v>1284</v>
      </c>
      <c r="E506" s="13">
        <v>2000000000</v>
      </c>
      <c r="F506" s="13">
        <v>0</v>
      </c>
      <c r="G506" s="13">
        <v>0</v>
      </c>
      <c r="H506" s="13">
        <f t="shared" si="12"/>
        <v>2000000000</v>
      </c>
      <c r="I506" s="125">
        <v>1.4</v>
      </c>
      <c r="J506" s="126" t="s">
        <v>1285</v>
      </c>
    </row>
    <row r="507" spans="1:10" ht="14.25" customHeight="1">
      <c r="A507" s="191"/>
      <c r="B507" s="128">
        <v>14</v>
      </c>
      <c r="C507" s="129" t="s">
        <v>189</v>
      </c>
      <c r="D507" s="123" t="s">
        <v>304</v>
      </c>
      <c r="E507" s="13">
        <v>70000000</v>
      </c>
      <c r="F507" s="13">
        <v>10048000</v>
      </c>
      <c r="G507" s="13">
        <v>44437089</v>
      </c>
      <c r="H507" s="13">
        <f t="shared" si="12"/>
        <v>25562911</v>
      </c>
      <c r="I507" s="125">
        <v>1</v>
      </c>
      <c r="J507" s="126" t="s">
        <v>1285</v>
      </c>
    </row>
    <row r="508" spans="1:10" ht="14.25" customHeight="1">
      <c r="A508" s="191"/>
      <c r="B508" s="128">
        <v>15</v>
      </c>
      <c r="C508" s="129" t="s">
        <v>189</v>
      </c>
      <c r="D508" s="123" t="s">
        <v>1286</v>
      </c>
      <c r="E508" s="13">
        <v>989000000</v>
      </c>
      <c r="F508" s="13">
        <v>141251716</v>
      </c>
      <c r="G508" s="13">
        <v>555827670</v>
      </c>
      <c r="H508" s="13">
        <f t="shared" si="12"/>
        <v>433172330</v>
      </c>
      <c r="I508" s="125">
        <v>1.1000000000000001</v>
      </c>
      <c r="J508" s="126" t="s">
        <v>267</v>
      </c>
    </row>
    <row r="509" spans="1:10" ht="14.25" customHeight="1">
      <c r="A509" s="191"/>
      <c r="B509" s="128">
        <v>16</v>
      </c>
      <c r="C509" s="129" t="s">
        <v>266</v>
      </c>
      <c r="D509" s="123" t="s">
        <v>1287</v>
      </c>
      <c r="E509" s="13">
        <v>2000000000</v>
      </c>
      <c r="F509" s="13">
        <v>0</v>
      </c>
      <c r="G509" s="13">
        <v>0</v>
      </c>
      <c r="H509" s="13">
        <f t="shared" si="12"/>
        <v>2000000000</v>
      </c>
      <c r="I509" s="125">
        <v>1.3</v>
      </c>
      <c r="J509" s="126" t="s">
        <v>1288</v>
      </c>
    </row>
    <row r="510" spans="1:10" ht="14.25" customHeight="1">
      <c r="A510" s="191"/>
      <c r="B510" s="128">
        <v>17</v>
      </c>
      <c r="C510" s="129" t="s">
        <v>266</v>
      </c>
      <c r="D510" s="123" t="s">
        <v>1289</v>
      </c>
      <c r="E510" s="13">
        <v>2000000000</v>
      </c>
      <c r="F510" s="13">
        <v>0</v>
      </c>
      <c r="G510" s="13">
        <v>0</v>
      </c>
      <c r="H510" s="13">
        <f t="shared" si="12"/>
        <v>2000000000</v>
      </c>
      <c r="I510" s="125">
        <v>1.5</v>
      </c>
      <c r="J510" s="126" t="s">
        <v>167</v>
      </c>
    </row>
    <row r="511" spans="1:10" ht="14.25" customHeight="1">
      <c r="A511" s="191"/>
      <c r="B511" s="128">
        <v>16</v>
      </c>
      <c r="C511" s="129" t="s">
        <v>189</v>
      </c>
      <c r="D511" s="123" t="s">
        <v>1290</v>
      </c>
      <c r="E511" s="13">
        <v>255000000</v>
      </c>
      <c r="F511" s="13">
        <v>35770406</v>
      </c>
      <c r="G511" s="13">
        <v>88629951</v>
      </c>
      <c r="H511" s="13">
        <f t="shared" si="12"/>
        <v>166370049</v>
      </c>
      <c r="I511" s="125">
        <v>1.2</v>
      </c>
      <c r="J511" s="126" t="s">
        <v>1291</v>
      </c>
    </row>
    <row r="512" spans="1:10" ht="14.25" customHeight="1">
      <c r="A512" s="191"/>
      <c r="B512" s="128">
        <v>18</v>
      </c>
      <c r="C512" s="129" t="s">
        <v>266</v>
      </c>
      <c r="D512" s="128" t="s">
        <v>1292</v>
      </c>
      <c r="E512" s="13">
        <v>500000000</v>
      </c>
      <c r="F512" s="13">
        <v>0</v>
      </c>
      <c r="G512" s="13">
        <v>0</v>
      </c>
      <c r="H512" s="13">
        <f t="shared" si="12"/>
        <v>500000000</v>
      </c>
      <c r="I512" s="125">
        <v>1.8</v>
      </c>
      <c r="J512" s="147" t="s">
        <v>1293</v>
      </c>
    </row>
    <row r="513" spans="1:10" ht="14.25" customHeight="1">
      <c r="A513" s="191"/>
      <c r="B513" s="128">
        <v>18</v>
      </c>
      <c r="C513" s="129" t="s">
        <v>189</v>
      </c>
      <c r="D513" s="128" t="s">
        <v>347</v>
      </c>
      <c r="E513" s="13">
        <v>187000000</v>
      </c>
      <c r="F513" s="13">
        <v>25415559</v>
      </c>
      <c r="G513" s="13">
        <v>25415559</v>
      </c>
      <c r="H513" s="13">
        <f t="shared" si="12"/>
        <v>161584441</v>
      </c>
      <c r="I513" s="125">
        <v>1.65</v>
      </c>
      <c r="J513" s="147" t="s">
        <v>276</v>
      </c>
    </row>
    <row r="514" spans="1:10" ht="14.25" customHeight="1">
      <c r="A514" s="191"/>
      <c r="B514" s="128">
        <v>19</v>
      </c>
      <c r="C514" s="129" t="s">
        <v>1294</v>
      </c>
      <c r="D514" s="128" t="s">
        <v>1295</v>
      </c>
      <c r="E514" s="13">
        <v>2000000000</v>
      </c>
      <c r="F514" s="13">
        <v>0</v>
      </c>
      <c r="G514" s="13">
        <v>0</v>
      </c>
      <c r="H514" s="13">
        <f t="shared" si="12"/>
        <v>2000000000</v>
      </c>
      <c r="I514" s="125">
        <v>1.65</v>
      </c>
      <c r="J514" s="147" t="s">
        <v>1296</v>
      </c>
    </row>
    <row r="515" spans="1:10" ht="14.25" customHeight="1">
      <c r="A515" s="191"/>
      <c r="B515" s="128">
        <v>19</v>
      </c>
      <c r="C515" s="129" t="s">
        <v>189</v>
      </c>
      <c r="D515" s="128" t="s">
        <v>348</v>
      </c>
      <c r="E515" s="13">
        <v>273000000</v>
      </c>
      <c r="F515" s="13">
        <v>0</v>
      </c>
      <c r="G515" s="13">
        <v>0</v>
      </c>
      <c r="H515" s="13">
        <f t="shared" si="12"/>
        <v>273000000</v>
      </c>
      <c r="I515" s="125">
        <v>1.35</v>
      </c>
      <c r="J515" s="147" t="s">
        <v>277</v>
      </c>
    </row>
    <row r="516" spans="1:10" ht="14.25" customHeight="1">
      <c r="A516" s="191"/>
      <c r="B516" s="128">
        <v>20</v>
      </c>
      <c r="C516" s="129" t="s">
        <v>266</v>
      </c>
      <c r="D516" s="128" t="s">
        <v>1297</v>
      </c>
      <c r="E516" s="13">
        <v>2000000000</v>
      </c>
      <c r="F516" s="13">
        <v>0</v>
      </c>
      <c r="G516" s="13">
        <v>0</v>
      </c>
      <c r="H516" s="13">
        <f t="shared" si="12"/>
        <v>2000000000</v>
      </c>
      <c r="I516" s="125">
        <v>1.48</v>
      </c>
      <c r="J516" s="147" t="s">
        <v>280</v>
      </c>
    </row>
    <row r="517" spans="1:10" ht="14.25" customHeight="1">
      <c r="A517" s="191"/>
      <c r="B517" s="128">
        <v>20</v>
      </c>
      <c r="C517" s="184" t="s">
        <v>695</v>
      </c>
      <c r="D517" s="128" t="s">
        <v>1183</v>
      </c>
      <c r="E517" s="13">
        <v>605000000</v>
      </c>
      <c r="F517" s="13">
        <v>0</v>
      </c>
      <c r="G517" s="13">
        <v>0</v>
      </c>
      <c r="H517" s="13">
        <f t="shared" si="12"/>
        <v>605000000</v>
      </c>
      <c r="I517" s="125">
        <v>1</v>
      </c>
      <c r="J517" s="147" t="s">
        <v>280</v>
      </c>
    </row>
    <row r="518" spans="1:10" ht="14.25" customHeight="1">
      <c r="A518" s="192"/>
      <c r="B518" s="128">
        <v>20</v>
      </c>
      <c r="C518" s="184" t="s">
        <v>695</v>
      </c>
      <c r="D518" s="128" t="s">
        <v>1183</v>
      </c>
      <c r="E518" s="13">
        <v>363000000</v>
      </c>
      <c r="F518" s="13">
        <v>0</v>
      </c>
      <c r="G518" s="13">
        <v>0</v>
      </c>
      <c r="H518" s="13">
        <f t="shared" si="12"/>
        <v>363000000</v>
      </c>
      <c r="I518" s="125">
        <v>1</v>
      </c>
      <c r="J518" s="147" t="s">
        <v>1298</v>
      </c>
    </row>
    <row r="519" spans="1:10" ht="14.25" customHeight="1">
      <c r="A519" s="191"/>
      <c r="B519" s="128">
        <v>21</v>
      </c>
      <c r="C519" s="184" t="s">
        <v>698</v>
      </c>
      <c r="D519" s="128" t="s">
        <v>1227</v>
      </c>
      <c r="E519" s="13">
        <v>1423000000</v>
      </c>
      <c r="F519" s="13">
        <v>0</v>
      </c>
      <c r="G519" s="13">
        <v>0</v>
      </c>
      <c r="H519" s="13">
        <f>E519-G519</f>
        <v>1423000000</v>
      </c>
      <c r="I519" s="125">
        <v>0.9</v>
      </c>
      <c r="J519" s="147" t="s">
        <v>283</v>
      </c>
    </row>
    <row r="520" spans="1:10" ht="14.25" customHeight="1">
      <c r="A520" s="191"/>
      <c r="B520" s="128">
        <v>22</v>
      </c>
      <c r="C520" s="184" t="s">
        <v>886</v>
      </c>
      <c r="D520" s="128" t="s">
        <v>887</v>
      </c>
      <c r="E520" s="13">
        <v>603000000</v>
      </c>
      <c r="F520" s="13">
        <v>0</v>
      </c>
      <c r="G520" s="13">
        <v>0</v>
      </c>
      <c r="H520" s="13">
        <f t="shared" si="12"/>
        <v>603000000</v>
      </c>
      <c r="I520" s="125">
        <v>0.9</v>
      </c>
      <c r="J520" s="147" t="s">
        <v>1299</v>
      </c>
    </row>
    <row r="521" spans="1:10" ht="17.25" customHeight="1">
      <c r="A521" s="136" t="s">
        <v>988</v>
      </c>
      <c r="B521" s="137" t="s">
        <v>173</v>
      </c>
      <c r="C521" s="138" t="s">
        <v>173</v>
      </c>
      <c r="D521" s="139" t="s">
        <v>173</v>
      </c>
      <c r="E521" s="18">
        <f>SUM(E501:E520)</f>
        <v>19414000000</v>
      </c>
      <c r="F521" s="18">
        <f>SUM(F501:F520)</f>
        <v>365526627</v>
      </c>
      <c r="G521" s="18">
        <f>SUM(G501:G520)</f>
        <v>1528818493</v>
      </c>
      <c r="H521" s="18">
        <f>SUM(H501:H520)</f>
        <v>17885181507</v>
      </c>
      <c r="I521" s="140"/>
      <c r="J521" s="141" t="s">
        <v>173</v>
      </c>
    </row>
    <row r="522" spans="1:10" ht="14.25" customHeight="1">
      <c r="A522" s="185" t="s">
        <v>168</v>
      </c>
      <c r="B522" s="128" t="s">
        <v>319</v>
      </c>
      <c r="C522" s="193" t="s">
        <v>189</v>
      </c>
      <c r="D522" s="123" t="s">
        <v>309</v>
      </c>
      <c r="E522" s="194">
        <v>29000000</v>
      </c>
      <c r="F522" s="13">
        <v>1630293</v>
      </c>
      <c r="G522" s="13">
        <v>7975530</v>
      </c>
      <c r="H522" s="13">
        <f t="shared" si="12"/>
        <v>21024470</v>
      </c>
      <c r="I522" s="125">
        <v>1.1000000000000001</v>
      </c>
      <c r="J522" s="145" t="s">
        <v>1300</v>
      </c>
    </row>
    <row r="523" spans="1:10" ht="14.25" customHeight="1">
      <c r="A523" s="195" t="s">
        <v>169</v>
      </c>
      <c r="B523" s="128">
        <v>15</v>
      </c>
      <c r="C523" s="196" t="s">
        <v>189</v>
      </c>
      <c r="D523" s="123" t="s">
        <v>1301</v>
      </c>
      <c r="E523" s="197">
        <v>67000000</v>
      </c>
      <c r="F523" s="13">
        <v>3628255</v>
      </c>
      <c r="G523" s="13">
        <v>14172456</v>
      </c>
      <c r="H523" s="13">
        <f t="shared" si="12"/>
        <v>52827544</v>
      </c>
      <c r="I523" s="125">
        <v>1.6</v>
      </c>
      <c r="J523" s="126" t="s">
        <v>1302</v>
      </c>
    </row>
    <row r="524" spans="1:10" ht="14.25" customHeight="1">
      <c r="A524" s="195"/>
      <c r="B524" s="128">
        <v>16</v>
      </c>
      <c r="C524" s="196" t="s">
        <v>189</v>
      </c>
      <c r="D524" s="123" t="s">
        <v>1303</v>
      </c>
      <c r="E524" s="197">
        <v>62000000</v>
      </c>
      <c r="F524" s="13">
        <v>3283519</v>
      </c>
      <c r="G524" s="13">
        <v>9686134</v>
      </c>
      <c r="H524" s="13">
        <f t="shared" si="12"/>
        <v>52313866</v>
      </c>
      <c r="I524" s="125">
        <v>1.7</v>
      </c>
      <c r="J524" s="147" t="s">
        <v>1304</v>
      </c>
    </row>
    <row r="525" spans="1:10" ht="14.25" customHeight="1">
      <c r="A525" s="195"/>
      <c r="B525" s="128">
        <v>17</v>
      </c>
      <c r="C525" s="196" t="s">
        <v>189</v>
      </c>
      <c r="D525" s="123" t="s">
        <v>1305</v>
      </c>
      <c r="E525" s="197">
        <v>124000000</v>
      </c>
      <c r="F525" s="13">
        <v>6409502</v>
      </c>
      <c r="G525" s="13">
        <v>12705172</v>
      </c>
      <c r="H525" s="13">
        <f t="shared" si="12"/>
        <v>111294828</v>
      </c>
      <c r="I525" s="125">
        <v>1.8</v>
      </c>
      <c r="J525" s="147" t="s">
        <v>1306</v>
      </c>
    </row>
    <row r="526" spans="1:10" ht="14.25" customHeight="1">
      <c r="A526" s="195"/>
      <c r="B526" s="128">
        <v>18</v>
      </c>
      <c r="C526" s="196" t="s">
        <v>189</v>
      </c>
      <c r="D526" s="123" t="s">
        <v>347</v>
      </c>
      <c r="E526" s="197">
        <v>38000000</v>
      </c>
      <c r="F526" s="13">
        <v>1913249</v>
      </c>
      <c r="G526" s="13">
        <v>1913249</v>
      </c>
      <c r="H526" s="13">
        <f t="shared" si="12"/>
        <v>36086751</v>
      </c>
      <c r="I526" s="125">
        <v>1.9</v>
      </c>
      <c r="J526" s="147" t="s">
        <v>294</v>
      </c>
    </row>
    <row r="527" spans="1:10" ht="14.25" customHeight="1">
      <c r="A527" s="195"/>
      <c r="B527" s="128">
        <v>19</v>
      </c>
      <c r="C527" s="196" t="s">
        <v>1307</v>
      </c>
      <c r="D527" s="128" t="s">
        <v>1308</v>
      </c>
      <c r="E527" s="197">
        <v>71000000</v>
      </c>
      <c r="F527" s="13">
        <v>0</v>
      </c>
      <c r="G527" s="13">
        <v>0</v>
      </c>
      <c r="H527" s="13">
        <f t="shared" si="12"/>
        <v>71000000</v>
      </c>
      <c r="I527" s="125">
        <v>1.75</v>
      </c>
      <c r="J527" s="147" t="s">
        <v>1309</v>
      </c>
    </row>
    <row r="528" spans="1:10" ht="14.25" customHeight="1">
      <c r="A528" s="195"/>
      <c r="B528" s="128">
        <v>20</v>
      </c>
      <c r="C528" s="184" t="s">
        <v>695</v>
      </c>
      <c r="D528" s="128" t="s">
        <v>1183</v>
      </c>
      <c r="E528" s="197">
        <v>55000000</v>
      </c>
      <c r="F528" s="13">
        <v>0</v>
      </c>
      <c r="G528" s="13">
        <v>0</v>
      </c>
      <c r="H528" s="13">
        <f t="shared" si="12"/>
        <v>55000000</v>
      </c>
      <c r="I528" s="125">
        <v>1.6</v>
      </c>
      <c r="J528" s="147" t="s">
        <v>296</v>
      </c>
    </row>
    <row r="529" spans="1:10" ht="17.25" customHeight="1" thickBot="1">
      <c r="A529" s="176" t="s">
        <v>1310</v>
      </c>
      <c r="B529" s="177" t="s">
        <v>173</v>
      </c>
      <c r="C529" s="178" t="s">
        <v>173</v>
      </c>
      <c r="D529" s="179" t="s">
        <v>173</v>
      </c>
      <c r="E529" s="180">
        <f>SUM(E522:E528)</f>
        <v>446000000</v>
      </c>
      <c r="F529" s="180">
        <f>SUM(F522:F528)</f>
        <v>16864818</v>
      </c>
      <c r="G529" s="180">
        <f>SUM(G522:G528)</f>
        <v>46452541</v>
      </c>
      <c r="H529" s="180">
        <f>SUM(H522:H528)</f>
        <v>399547459</v>
      </c>
      <c r="I529" s="181"/>
      <c r="J529" s="182" t="s">
        <v>173</v>
      </c>
    </row>
    <row r="530" spans="1:10" ht="17.25" customHeight="1" thickBot="1">
      <c r="A530" s="173"/>
      <c r="B530" s="164"/>
      <c r="C530" s="165"/>
      <c r="D530" s="168"/>
      <c r="E530" s="28"/>
      <c r="F530" s="28"/>
      <c r="G530" s="28"/>
      <c r="H530" s="28"/>
      <c r="I530" s="167"/>
      <c r="J530" s="168"/>
    </row>
    <row r="531" spans="1:10" ht="14.25" customHeight="1">
      <c r="A531" s="500" t="s">
        <v>1311</v>
      </c>
      <c r="B531" s="502" t="s">
        <v>311</v>
      </c>
      <c r="C531" s="504" t="s">
        <v>891</v>
      </c>
      <c r="D531" s="502" t="s">
        <v>312</v>
      </c>
      <c r="E531" s="506" t="s">
        <v>892</v>
      </c>
      <c r="F531" s="508" t="s">
        <v>893</v>
      </c>
      <c r="G531" s="510"/>
      <c r="H531" s="494" t="s">
        <v>174</v>
      </c>
      <c r="I531" s="496" t="s">
        <v>894</v>
      </c>
      <c r="J531" s="498" t="s">
        <v>313</v>
      </c>
    </row>
    <row r="532" spans="1:10" ht="14.25" customHeight="1">
      <c r="A532" s="501"/>
      <c r="B532" s="503"/>
      <c r="C532" s="505"/>
      <c r="D532" s="503"/>
      <c r="E532" s="507"/>
      <c r="F532" s="115" t="s">
        <v>176</v>
      </c>
      <c r="G532" s="115" t="s">
        <v>305</v>
      </c>
      <c r="H532" s="495"/>
      <c r="I532" s="497"/>
      <c r="J532" s="499"/>
    </row>
    <row r="533" spans="1:10" ht="14.25" customHeight="1">
      <c r="A533" s="198" t="s">
        <v>706</v>
      </c>
      <c r="B533" s="199" t="s">
        <v>320</v>
      </c>
      <c r="C533" s="143" t="s">
        <v>163</v>
      </c>
      <c r="D533" s="119" t="s">
        <v>310</v>
      </c>
      <c r="E533" s="144">
        <v>1006000000</v>
      </c>
      <c r="F533" s="13">
        <v>31998163</v>
      </c>
      <c r="G533" s="13">
        <v>63365835</v>
      </c>
      <c r="H533" s="13">
        <f t="shared" ref="H533:H542" si="13">E533-G533</f>
        <v>942634165</v>
      </c>
      <c r="I533" s="120">
        <v>2</v>
      </c>
      <c r="J533" s="145" t="s">
        <v>1312</v>
      </c>
    </row>
    <row r="534" spans="1:10" ht="14.25" customHeight="1">
      <c r="A534" s="195" t="s">
        <v>707</v>
      </c>
      <c r="B534" s="128">
        <v>16</v>
      </c>
      <c r="C534" s="196" t="s">
        <v>189</v>
      </c>
      <c r="D534" s="123" t="s">
        <v>1313</v>
      </c>
      <c r="E534" s="13">
        <v>288000000</v>
      </c>
      <c r="F534" s="13">
        <v>9856074</v>
      </c>
      <c r="G534" s="13">
        <v>9856074</v>
      </c>
      <c r="H534" s="13">
        <f t="shared" si="13"/>
        <v>278143926</v>
      </c>
      <c r="I534" s="125">
        <v>2.1</v>
      </c>
      <c r="J534" s="147" t="s">
        <v>1314</v>
      </c>
    </row>
    <row r="535" spans="1:10" ht="14.25" customHeight="1">
      <c r="A535" s="192"/>
      <c r="B535" s="128">
        <v>16</v>
      </c>
      <c r="C535" s="129" t="s">
        <v>163</v>
      </c>
      <c r="D535" s="123" t="s">
        <v>1078</v>
      </c>
      <c r="E535" s="13">
        <v>2952000000</v>
      </c>
      <c r="F535" s="13">
        <v>90863205</v>
      </c>
      <c r="G535" s="13">
        <v>90863205</v>
      </c>
      <c r="H535" s="13">
        <f t="shared" si="13"/>
        <v>2861136795</v>
      </c>
      <c r="I535" s="125">
        <v>2.1</v>
      </c>
      <c r="J535" s="147" t="s">
        <v>1249</v>
      </c>
    </row>
    <row r="536" spans="1:10" ht="14.25" customHeight="1">
      <c r="A536" s="192"/>
      <c r="B536" s="128">
        <v>17</v>
      </c>
      <c r="C536" s="129" t="s">
        <v>163</v>
      </c>
      <c r="D536" s="123" t="s">
        <v>1315</v>
      </c>
      <c r="E536" s="13">
        <v>3534000000</v>
      </c>
      <c r="F536" s="13">
        <v>0</v>
      </c>
      <c r="G536" s="13">
        <v>0</v>
      </c>
      <c r="H536" s="13">
        <f t="shared" si="13"/>
        <v>3534000000</v>
      </c>
      <c r="I536" s="125">
        <v>2.1</v>
      </c>
      <c r="J536" s="147" t="s">
        <v>1253</v>
      </c>
    </row>
    <row r="537" spans="1:10" ht="14.25" customHeight="1">
      <c r="A537" s="192"/>
      <c r="B537" s="128">
        <v>18</v>
      </c>
      <c r="C537" s="129" t="s">
        <v>266</v>
      </c>
      <c r="D537" s="128" t="s">
        <v>346</v>
      </c>
      <c r="E537" s="13">
        <v>1500000000</v>
      </c>
      <c r="F537" s="13">
        <v>0</v>
      </c>
      <c r="G537" s="13">
        <v>0</v>
      </c>
      <c r="H537" s="13">
        <f t="shared" si="13"/>
        <v>1500000000</v>
      </c>
      <c r="I537" s="125">
        <v>1.8</v>
      </c>
      <c r="J537" s="147" t="s">
        <v>276</v>
      </c>
    </row>
    <row r="538" spans="1:10" ht="14.25" customHeight="1">
      <c r="A538" s="192"/>
      <c r="B538" s="128">
        <v>18</v>
      </c>
      <c r="C538" s="129" t="s">
        <v>163</v>
      </c>
      <c r="D538" s="128" t="s">
        <v>1256</v>
      </c>
      <c r="E538" s="13">
        <v>1800000000</v>
      </c>
      <c r="F538" s="13">
        <v>0</v>
      </c>
      <c r="G538" s="13">
        <v>0</v>
      </c>
      <c r="H538" s="13">
        <f t="shared" si="13"/>
        <v>1800000000</v>
      </c>
      <c r="I538" s="125">
        <v>2.1</v>
      </c>
      <c r="J538" s="147" t="s">
        <v>1257</v>
      </c>
    </row>
    <row r="539" spans="1:10" ht="14.25" customHeight="1">
      <c r="A539" s="192"/>
      <c r="B539" s="128">
        <v>19</v>
      </c>
      <c r="C539" s="129" t="s">
        <v>345</v>
      </c>
      <c r="D539" s="128" t="s">
        <v>1225</v>
      </c>
      <c r="E539" s="13">
        <v>3666000000</v>
      </c>
      <c r="F539" s="13">
        <v>0</v>
      </c>
      <c r="G539" s="13">
        <v>0</v>
      </c>
      <c r="H539" s="13">
        <f t="shared" si="13"/>
        <v>3666000000</v>
      </c>
      <c r="I539" s="125">
        <v>2.1</v>
      </c>
      <c r="J539" s="147" t="s">
        <v>1259</v>
      </c>
    </row>
    <row r="540" spans="1:10" ht="14.25" customHeight="1">
      <c r="A540" s="192"/>
      <c r="B540" s="128">
        <v>20</v>
      </c>
      <c r="C540" s="129" t="s">
        <v>345</v>
      </c>
      <c r="D540" s="128" t="s">
        <v>1316</v>
      </c>
      <c r="E540" s="13">
        <v>3348000000</v>
      </c>
      <c r="F540" s="13">
        <v>0</v>
      </c>
      <c r="G540" s="13">
        <v>0</v>
      </c>
      <c r="H540" s="13">
        <f t="shared" si="13"/>
        <v>3348000000</v>
      </c>
      <c r="I540" s="125">
        <v>1.9</v>
      </c>
      <c r="J540" s="147" t="s">
        <v>636</v>
      </c>
    </row>
    <row r="541" spans="1:10" ht="14.25" customHeight="1">
      <c r="A541" s="192"/>
      <c r="B541" s="128">
        <v>21</v>
      </c>
      <c r="C541" s="196" t="s">
        <v>163</v>
      </c>
      <c r="D541" s="128" t="s">
        <v>1185</v>
      </c>
      <c r="E541" s="13">
        <v>1744000000</v>
      </c>
      <c r="F541" s="13">
        <v>0</v>
      </c>
      <c r="G541" s="13">
        <v>0</v>
      </c>
      <c r="H541" s="13">
        <f>E541-G541</f>
        <v>1744000000</v>
      </c>
      <c r="I541" s="125">
        <v>2.1</v>
      </c>
      <c r="J541" s="147" t="s">
        <v>696</v>
      </c>
    </row>
    <row r="542" spans="1:10" ht="14.25" customHeight="1">
      <c r="A542" s="192"/>
      <c r="B542" s="128">
        <v>22</v>
      </c>
      <c r="C542" s="196" t="s">
        <v>163</v>
      </c>
      <c r="D542" s="128" t="s">
        <v>887</v>
      </c>
      <c r="E542" s="13">
        <v>416000000</v>
      </c>
      <c r="F542" s="13">
        <v>0</v>
      </c>
      <c r="G542" s="13">
        <v>0</v>
      </c>
      <c r="H542" s="13">
        <f t="shared" si="13"/>
        <v>416000000</v>
      </c>
      <c r="I542" s="125">
        <v>1.9</v>
      </c>
      <c r="J542" s="147" t="s">
        <v>888</v>
      </c>
    </row>
    <row r="543" spans="1:10">
      <c r="A543" s="136" t="s">
        <v>988</v>
      </c>
      <c r="B543" s="137"/>
      <c r="C543" s="138"/>
      <c r="D543" s="139"/>
      <c r="E543" s="18">
        <f>SUM(E533:E542)</f>
        <v>20254000000</v>
      </c>
      <c r="F543" s="18">
        <f>SUM(F533:F542)</f>
        <v>132717442</v>
      </c>
      <c r="G543" s="18">
        <f>SUM(G533:G542)</f>
        <v>164085114</v>
      </c>
      <c r="H543" s="18">
        <f>SUM(H533:H542)</f>
        <v>20089914886</v>
      </c>
      <c r="I543" s="140"/>
      <c r="J543" s="141"/>
    </row>
    <row r="544" spans="1:10" ht="14.25" thickBot="1">
      <c r="A544" s="176" t="s">
        <v>170</v>
      </c>
      <c r="B544" s="177" t="s">
        <v>173</v>
      </c>
      <c r="C544" s="178" t="s">
        <v>173</v>
      </c>
      <c r="D544" s="179" t="s">
        <v>173</v>
      </c>
      <c r="E544" s="180">
        <f>E24+E43+E78+E161+E195+E287+E385+E389+E427+E491+E494+E497+E500+E521+E529+E543</f>
        <v>521233236889</v>
      </c>
      <c r="F544" s="180">
        <f>F24+F43+F78+F161+F195+F287+F385+F389+F427+F491+F494+F497+F500+F521+F529+F543</f>
        <v>10549679716</v>
      </c>
      <c r="G544" s="180">
        <f>G24+G43+G78+G161+G195+G287+G385+G389+G427+G491+G494+G497+G500+G521+G529+G543</f>
        <v>319976945363</v>
      </c>
      <c r="H544" s="180">
        <f>H24+H43+H78+H161+H195+H287+H385+H389+H427+H491+H494+H497+H500+H521+H529+H543</f>
        <v>201256291526</v>
      </c>
      <c r="I544" s="181"/>
      <c r="J544" s="182" t="s">
        <v>173</v>
      </c>
    </row>
    <row r="545" spans="5:8">
      <c r="H545" s="107"/>
    </row>
    <row r="547" spans="5:8">
      <c r="E547" s="107"/>
    </row>
  </sheetData>
  <mergeCells count="90">
    <mergeCell ref="D468:D469"/>
    <mergeCell ref="A531:A532"/>
    <mergeCell ref="B531:B532"/>
    <mergeCell ref="J531:J532"/>
    <mergeCell ref="H468:H469"/>
    <mergeCell ref="I468:I469"/>
    <mergeCell ref="J468:J469"/>
    <mergeCell ref="H531:H532"/>
    <mergeCell ref="E468:E469"/>
    <mergeCell ref="F468:G468"/>
    <mergeCell ref="C531:C532"/>
    <mergeCell ref="D531:D532"/>
    <mergeCell ref="I531:I532"/>
    <mergeCell ref="E531:E532"/>
    <mergeCell ref="F531:G531"/>
    <mergeCell ref="A468:A469"/>
    <mergeCell ref="J346:J347"/>
    <mergeCell ref="A408:A409"/>
    <mergeCell ref="B408:B409"/>
    <mergeCell ref="C408:C409"/>
    <mergeCell ref="D408:D409"/>
    <mergeCell ref="E408:E409"/>
    <mergeCell ref="F408:G408"/>
    <mergeCell ref="H408:H409"/>
    <mergeCell ref="I408:I409"/>
    <mergeCell ref="D346:D347"/>
    <mergeCell ref="J408:J409"/>
    <mergeCell ref="E346:E347"/>
    <mergeCell ref="F346:G346"/>
    <mergeCell ref="H346:H347"/>
    <mergeCell ref="I346:I347"/>
    <mergeCell ref="B468:B469"/>
    <mergeCell ref="A346:A347"/>
    <mergeCell ref="B346:B347"/>
    <mergeCell ref="C346:C347"/>
    <mergeCell ref="C468:C469"/>
    <mergeCell ref="F289:G289"/>
    <mergeCell ref="H289:H290"/>
    <mergeCell ref="I289:I290"/>
    <mergeCell ref="J289:J290"/>
    <mergeCell ref="A171:A172"/>
    <mergeCell ref="B171:B172"/>
    <mergeCell ref="C171:C172"/>
    <mergeCell ref="D171:D172"/>
    <mergeCell ref="A228:A229"/>
    <mergeCell ref="B228:B229"/>
    <mergeCell ref="A289:A290"/>
    <mergeCell ref="B289:B290"/>
    <mergeCell ref="C289:C290"/>
    <mergeCell ref="D289:D290"/>
    <mergeCell ref="E289:E290"/>
    <mergeCell ref="J228:J229"/>
    <mergeCell ref="C228:C229"/>
    <mergeCell ref="D228:D229"/>
    <mergeCell ref="I171:I172"/>
    <mergeCell ref="J171:J172"/>
    <mergeCell ref="I57:I58"/>
    <mergeCell ref="J57:J58"/>
    <mergeCell ref="I113:I114"/>
    <mergeCell ref="J113:J114"/>
    <mergeCell ref="E113:E114"/>
    <mergeCell ref="F113:G113"/>
    <mergeCell ref="E228:E229"/>
    <mergeCell ref="F228:G228"/>
    <mergeCell ref="H228:H229"/>
    <mergeCell ref="I228:I229"/>
    <mergeCell ref="F171:G171"/>
    <mergeCell ref="H171:H172"/>
    <mergeCell ref="H113:H114"/>
    <mergeCell ref="E171:E172"/>
    <mergeCell ref="A113:A114"/>
    <mergeCell ref="B113:B114"/>
    <mergeCell ref="C113:C114"/>
    <mergeCell ref="D113:D114"/>
    <mergeCell ref="H2:H3"/>
    <mergeCell ref="I2:I3"/>
    <mergeCell ref="J2:J3"/>
    <mergeCell ref="A57:A58"/>
    <mergeCell ref="B57:B58"/>
    <mergeCell ref="C57:C58"/>
    <mergeCell ref="D57:D58"/>
    <mergeCell ref="E57:E58"/>
    <mergeCell ref="F57:G57"/>
    <mergeCell ref="H57:H58"/>
    <mergeCell ref="E2:E3"/>
    <mergeCell ref="F2:G2"/>
    <mergeCell ref="A2:A3"/>
    <mergeCell ref="B2:B3"/>
    <mergeCell ref="C2:C3"/>
    <mergeCell ref="D2:D3"/>
  </mergeCells>
  <phoneticPr fontId="2"/>
  <pageMargins left="0.75" right="0.28000000000000003" top="0.52" bottom="0.51" header="0.27" footer="0.16"/>
  <pageSetup paperSize="9" scale="91" firstPageNumber="100" orientation="portrait" cellComments="asDisplayed" useFirstPageNumber="1" r:id="rId1"/>
  <headerFooter alignWithMargins="0">
    <oddFooter>&amp;C&amp;P</oddFooter>
  </headerFooter>
  <rowBreaks count="9" manualBreakCount="9">
    <brk id="56" max="16383" man="1"/>
    <brk id="112" max="9" man="1"/>
    <brk id="170" max="16383" man="1"/>
    <brk id="227" max="16383" man="1"/>
    <brk id="288" max="16383" man="1"/>
    <brk id="345" max="16383" man="1"/>
    <brk id="407" max="16383" man="1"/>
    <brk id="467" max="16383" man="1"/>
    <brk id="530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</sheetPr>
  <dimension ref="A1:J539"/>
  <sheetViews>
    <sheetView view="pageBreakPreview" zoomScaleNormal="100" zoomScaleSheetLayoutView="100" workbookViewId="0">
      <selection activeCell="A2" sqref="A2:A3"/>
    </sheetView>
  </sheetViews>
  <sheetFormatPr defaultColWidth="9" defaultRowHeight="13.5"/>
  <cols>
    <col min="1" max="1" width="10.875" style="20" customWidth="1"/>
    <col min="2" max="2" width="4.5" style="20" customWidth="1"/>
    <col min="3" max="3" width="12.75" style="20" customWidth="1"/>
    <col min="4" max="4" width="8.875" style="20" customWidth="1"/>
    <col min="5" max="5" width="12.75" style="91" customWidth="1"/>
    <col min="6" max="6" width="11.875" style="91" customWidth="1"/>
    <col min="7" max="7" width="12.75" style="91" customWidth="1"/>
    <col min="8" max="8" width="12.75" style="92" customWidth="1"/>
    <col min="9" max="9" width="5" style="20" customWidth="1"/>
    <col min="10" max="10" width="4.25" style="20" customWidth="1"/>
    <col min="11" max="16384" width="9" style="20"/>
  </cols>
  <sheetData>
    <row r="1" spans="1:10" ht="20.25" customHeight="1" thickBot="1">
      <c r="A1" s="99" t="s">
        <v>708</v>
      </c>
      <c r="B1" s="37"/>
      <c r="C1" s="38"/>
      <c r="D1" s="103"/>
      <c r="E1" s="1"/>
      <c r="F1" s="104"/>
      <c r="G1" s="1"/>
      <c r="H1" s="23"/>
      <c r="I1" s="39"/>
      <c r="J1" s="38"/>
    </row>
    <row r="2" spans="1:10">
      <c r="A2" s="523" t="s">
        <v>709</v>
      </c>
      <c r="B2" s="515" t="s">
        <v>311</v>
      </c>
      <c r="C2" s="511" t="s">
        <v>710</v>
      </c>
      <c r="D2" s="515" t="s">
        <v>312</v>
      </c>
      <c r="E2" s="513" t="s">
        <v>352</v>
      </c>
      <c r="F2" s="519" t="s">
        <v>353</v>
      </c>
      <c r="G2" s="520"/>
      <c r="H2" s="494" t="s">
        <v>174</v>
      </c>
      <c r="I2" s="517" t="s">
        <v>354</v>
      </c>
      <c r="J2" s="521" t="s">
        <v>313</v>
      </c>
    </row>
    <row r="3" spans="1:10">
      <c r="A3" s="524"/>
      <c r="B3" s="516"/>
      <c r="C3" s="512"/>
      <c r="D3" s="516"/>
      <c r="E3" s="514"/>
      <c r="F3" s="40" t="s">
        <v>176</v>
      </c>
      <c r="G3" s="40" t="s">
        <v>305</v>
      </c>
      <c r="H3" s="495"/>
      <c r="I3" s="518"/>
      <c r="J3" s="522"/>
    </row>
    <row r="4" spans="1:10" ht="14.25" customHeight="1">
      <c r="A4" s="41"/>
      <c r="B4" s="42"/>
      <c r="C4" s="42"/>
      <c r="D4" s="43" t="s">
        <v>177</v>
      </c>
      <c r="E4" s="2" t="s">
        <v>178</v>
      </c>
      <c r="F4" s="2" t="s">
        <v>172</v>
      </c>
      <c r="G4" s="2" t="s">
        <v>178</v>
      </c>
      <c r="H4" s="44" t="s">
        <v>178</v>
      </c>
      <c r="I4" s="12" t="s">
        <v>355</v>
      </c>
      <c r="J4" s="45" t="s">
        <v>175</v>
      </c>
    </row>
    <row r="5" spans="1:10" ht="14.25" customHeight="1">
      <c r="A5" s="31" t="s">
        <v>179</v>
      </c>
      <c r="B5" s="6" t="s">
        <v>356</v>
      </c>
      <c r="C5" s="8" t="s">
        <v>180</v>
      </c>
      <c r="D5" s="6" t="s">
        <v>357</v>
      </c>
      <c r="E5" s="3">
        <v>40000000</v>
      </c>
      <c r="F5" s="3">
        <v>0</v>
      </c>
      <c r="G5" s="3">
        <v>40000000</v>
      </c>
      <c r="H5" s="13">
        <v>0</v>
      </c>
      <c r="I5" s="7">
        <v>7.8</v>
      </c>
      <c r="J5" s="32" t="s">
        <v>358</v>
      </c>
    </row>
    <row r="6" spans="1:10" ht="14.25" customHeight="1">
      <c r="A6" s="29" t="s">
        <v>182</v>
      </c>
      <c r="B6" s="9" t="s">
        <v>183</v>
      </c>
      <c r="C6" s="8" t="s">
        <v>184</v>
      </c>
      <c r="D6" s="6" t="s">
        <v>359</v>
      </c>
      <c r="E6" s="3">
        <v>10000000</v>
      </c>
      <c r="F6" s="3">
        <v>0</v>
      </c>
      <c r="G6" s="3">
        <v>10000000</v>
      </c>
      <c r="H6" s="13">
        <v>0</v>
      </c>
      <c r="I6" s="7">
        <v>7.8</v>
      </c>
      <c r="J6" s="32" t="s">
        <v>181</v>
      </c>
    </row>
    <row r="7" spans="1:10" ht="14.25" customHeight="1">
      <c r="A7" s="29"/>
      <c r="B7" s="9" t="s">
        <v>183</v>
      </c>
      <c r="C7" s="5" t="s">
        <v>185</v>
      </c>
      <c r="D7" s="6" t="s">
        <v>360</v>
      </c>
      <c r="E7" s="3">
        <v>50000000</v>
      </c>
      <c r="F7" s="3">
        <v>0</v>
      </c>
      <c r="G7" s="3">
        <v>50000000</v>
      </c>
      <c r="H7" s="13">
        <v>0</v>
      </c>
      <c r="I7" s="7">
        <v>6.5</v>
      </c>
      <c r="J7" s="32" t="s">
        <v>186</v>
      </c>
    </row>
    <row r="8" spans="1:10" ht="14.25" customHeight="1">
      <c r="A8" s="29"/>
      <c r="B8" s="9" t="s">
        <v>187</v>
      </c>
      <c r="C8" s="5" t="s">
        <v>185</v>
      </c>
      <c r="D8" s="6" t="s">
        <v>361</v>
      </c>
      <c r="E8" s="3">
        <v>150000000</v>
      </c>
      <c r="F8" s="3">
        <v>0</v>
      </c>
      <c r="G8" s="3">
        <v>150000000</v>
      </c>
      <c r="H8" s="13">
        <v>0</v>
      </c>
      <c r="I8" s="7">
        <v>6.5</v>
      </c>
      <c r="J8" s="32" t="s">
        <v>188</v>
      </c>
    </row>
    <row r="9" spans="1:10" ht="14.25" customHeight="1">
      <c r="A9" s="29"/>
      <c r="B9" s="9" t="s">
        <v>187</v>
      </c>
      <c r="C9" s="5" t="s">
        <v>189</v>
      </c>
      <c r="D9" s="6" t="s">
        <v>362</v>
      </c>
      <c r="E9" s="3">
        <v>200000000</v>
      </c>
      <c r="F9" s="3">
        <v>0</v>
      </c>
      <c r="G9" s="3">
        <v>200000000</v>
      </c>
      <c r="H9" s="13">
        <v>0</v>
      </c>
      <c r="I9" s="7">
        <v>7.6</v>
      </c>
      <c r="J9" s="32" t="s">
        <v>190</v>
      </c>
    </row>
    <row r="10" spans="1:10" ht="14.25" customHeight="1">
      <c r="A10" s="29"/>
      <c r="B10" s="9" t="s">
        <v>191</v>
      </c>
      <c r="C10" s="5" t="s">
        <v>189</v>
      </c>
      <c r="D10" s="6" t="s">
        <v>363</v>
      </c>
      <c r="E10" s="3">
        <v>200000000</v>
      </c>
      <c r="F10" s="3">
        <v>0</v>
      </c>
      <c r="G10" s="3">
        <v>200000000</v>
      </c>
      <c r="H10" s="13">
        <v>0</v>
      </c>
      <c r="I10" s="7">
        <v>7.6</v>
      </c>
      <c r="J10" s="32" t="s">
        <v>192</v>
      </c>
    </row>
    <row r="11" spans="1:10" ht="14.25" customHeight="1">
      <c r="A11" s="29"/>
      <c r="B11" s="9" t="s">
        <v>191</v>
      </c>
      <c r="C11" s="5" t="s">
        <v>193</v>
      </c>
      <c r="D11" s="6" t="s">
        <v>364</v>
      </c>
      <c r="E11" s="3">
        <v>200000000</v>
      </c>
      <c r="F11" s="3">
        <v>0</v>
      </c>
      <c r="G11" s="3">
        <v>200000000</v>
      </c>
      <c r="H11" s="13">
        <v>0</v>
      </c>
      <c r="I11" s="7">
        <v>6.5</v>
      </c>
      <c r="J11" s="32" t="s">
        <v>194</v>
      </c>
    </row>
    <row r="12" spans="1:10" ht="14.25" customHeight="1">
      <c r="A12" s="29"/>
      <c r="B12" s="9" t="s">
        <v>195</v>
      </c>
      <c r="C12" s="5" t="s">
        <v>189</v>
      </c>
      <c r="D12" s="6" t="s">
        <v>365</v>
      </c>
      <c r="E12" s="3">
        <v>250000000</v>
      </c>
      <c r="F12" s="3">
        <v>0</v>
      </c>
      <c r="G12" s="3">
        <v>250000000</v>
      </c>
      <c r="H12" s="13">
        <v>0</v>
      </c>
      <c r="I12" s="7">
        <v>7.6</v>
      </c>
      <c r="J12" s="32" t="s">
        <v>196</v>
      </c>
    </row>
    <row r="13" spans="1:10" ht="14.25" customHeight="1">
      <c r="A13" s="29"/>
      <c r="B13" s="9" t="s">
        <v>195</v>
      </c>
      <c r="C13" s="8" t="s">
        <v>180</v>
      </c>
      <c r="D13" s="6" t="s">
        <v>366</v>
      </c>
      <c r="E13" s="3">
        <v>100000000</v>
      </c>
      <c r="F13" s="3">
        <v>0</v>
      </c>
      <c r="G13" s="3">
        <v>100000000</v>
      </c>
      <c r="H13" s="13">
        <v>0</v>
      </c>
      <c r="I13" s="7">
        <v>7.3</v>
      </c>
      <c r="J13" s="32" t="s">
        <v>197</v>
      </c>
    </row>
    <row r="14" spans="1:10" ht="14.25" customHeight="1">
      <c r="A14" s="29"/>
      <c r="B14" s="9" t="s">
        <v>195</v>
      </c>
      <c r="C14" s="5" t="s">
        <v>193</v>
      </c>
      <c r="D14" s="6" t="s">
        <v>367</v>
      </c>
      <c r="E14" s="3">
        <v>250000000</v>
      </c>
      <c r="F14" s="3">
        <v>0</v>
      </c>
      <c r="G14" s="3">
        <v>250000000</v>
      </c>
      <c r="H14" s="13">
        <v>0</v>
      </c>
      <c r="I14" s="7">
        <v>6.5</v>
      </c>
      <c r="J14" s="32" t="s">
        <v>198</v>
      </c>
    </row>
    <row r="15" spans="1:10" ht="14.25" customHeight="1">
      <c r="A15" s="29"/>
      <c r="B15" s="9" t="s">
        <v>199</v>
      </c>
      <c r="C15" s="5" t="s">
        <v>189</v>
      </c>
      <c r="D15" s="6" t="s">
        <v>368</v>
      </c>
      <c r="E15" s="3">
        <v>100000000</v>
      </c>
      <c r="F15" s="3">
        <v>0</v>
      </c>
      <c r="G15" s="3">
        <v>100000000</v>
      </c>
      <c r="H15" s="13">
        <v>0</v>
      </c>
      <c r="I15" s="7">
        <v>7.6</v>
      </c>
      <c r="J15" s="32" t="s">
        <v>186</v>
      </c>
    </row>
    <row r="16" spans="1:10" ht="14.25" customHeight="1">
      <c r="A16" s="29"/>
      <c r="B16" s="9" t="s">
        <v>199</v>
      </c>
      <c r="C16" s="5" t="s">
        <v>189</v>
      </c>
      <c r="D16" s="6" t="s">
        <v>369</v>
      </c>
      <c r="E16" s="3">
        <v>170000000</v>
      </c>
      <c r="F16" s="3">
        <v>0</v>
      </c>
      <c r="G16" s="3">
        <v>170000000</v>
      </c>
      <c r="H16" s="13">
        <v>0</v>
      </c>
      <c r="I16" s="7">
        <v>7.6</v>
      </c>
      <c r="J16" s="32" t="s">
        <v>186</v>
      </c>
    </row>
    <row r="17" spans="1:10" ht="14.25" customHeight="1">
      <c r="A17" s="29"/>
      <c r="B17" s="9" t="s">
        <v>199</v>
      </c>
      <c r="C17" s="8" t="s">
        <v>180</v>
      </c>
      <c r="D17" s="6" t="s">
        <v>370</v>
      </c>
      <c r="E17" s="3">
        <v>60000000</v>
      </c>
      <c r="F17" s="3">
        <v>0</v>
      </c>
      <c r="G17" s="3">
        <v>60000000</v>
      </c>
      <c r="H17" s="13">
        <v>0</v>
      </c>
      <c r="I17" s="7">
        <v>7.3</v>
      </c>
      <c r="J17" s="32" t="s">
        <v>200</v>
      </c>
    </row>
    <row r="18" spans="1:10" ht="14.25" customHeight="1">
      <c r="A18" s="29"/>
      <c r="B18" s="9" t="s">
        <v>199</v>
      </c>
      <c r="C18" s="5" t="s">
        <v>193</v>
      </c>
      <c r="D18" s="6" t="s">
        <v>371</v>
      </c>
      <c r="E18" s="3">
        <v>270000000</v>
      </c>
      <c r="F18" s="3">
        <v>0</v>
      </c>
      <c r="G18" s="3">
        <v>270000000</v>
      </c>
      <c r="H18" s="13">
        <v>0</v>
      </c>
      <c r="I18" s="7">
        <v>6.5</v>
      </c>
      <c r="J18" s="32" t="s">
        <v>201</v>
      </c>
    </row>
    <row r="19" spans="1:10" ht="14.25" customHeight="1">
      <c r="A19" s="29"/>
      <c r="B19" s="9" t="s">
        <v>202</v>
      </c>
      <c r="C19" s="5" t="s">
        <v>189</v>
      </c>
      <c r="D19" s="6" t="s">
        <v>372</v>
      </c>
      <c r="E19" s="3">
        <v>160000000</v>
      </c>
      <c r="F19" s="3">
        <v>0</v>
      </c>
      <c r="G19" s="3">
        <v>160000000</v>
      </c>
      <c r="H19" s="13">
        <v>0</v>
      </c>
      <c r="I19" s="7">
        <v>7.4</v>
      </c>
      <c r="J19" s="32" t="s">
        <v>203</v>
      </c>
    </row>
    <row r="20" spans="1:10" ht="14.25" customHeight="1">
      <c r="A20" s="29"/>
      <c r="B20" s="9" t="s">
        <v>202</v>
      </c>
      <c r="C20" s="5" t="s">
        <v>193</v>
      </c>
      <c r="D20" s="6" t="s">
        <v>373</v>
      </c>
      <c r="E20" s="3">
        <v>200000000</v>
      </c>
      <c r="F20" s="3">
        <v>0</v>
      </c>
      <c r="G20" s="3">
        <v>200000000</v>
      </c>
      <c r="H20" s="13">
        <v>0</v>
      </c>
      <c r="I20" s="7">
        <v>6.5</v>
      </c>
      <c r="J20" s="32" t="s">
        <v>204</v>
      </c>
    </row>
    <row r="21" spans="1:10" ht="14.25" customHeight="1">
      <c r="A21" s="29"/>
      <c r="B21" s="9" t="s">
        <v>205</v>
      </c>
      <c r="C21" s="8" t="s">
        <v>180</v>
      </c>
      <c r="D21" s="6" t="s">
        <v>374</v>
      </c>
      <c r="E21" s="3">
        <v>30000000</v>
      </c>
      <c r="F21" s="3">
        <v>0</v>
      </c>
      <c r="G21" s="3">
        <v>30000000</v>
      </c>
      <c r="H21" s="13">
        <v>0</v>
      </c>
      <c r="I21" s="7">
        <v>7.1</v>
      </c>
      <c r="J21" s="32" t="s">
        <v>206</v>
      </c>
    </row>
    <row r="22" spans="1:10" ht="14.25" customHeight="1">
      <c r="A22" s="29"/>
      <c r="B22" s="9" t="s">
        <v>205</v>
      </c>
      <c r="C22" s="8" t="s">
        <v>184</v>
      </c>
      <c r="D22" s="6" t="s">
        <v>375</v>
      </c>
      <c r="E22" s="3">
        <v>50000000</v>
      </c>
      <c r="F22" s="3">
        <v>0</v>
      </c>
      <c r="G22" s="3">
        <v>50000000</v>
      </c>
      <c r="H22" s="13">
        <v>0</v>
      </c>
      <c r="I22" s="7">
        <v>7.1</v>
      </c>
      <c r="J22" s="32" t="s">
        <v>171</v>
      </c>
    </row>
    <row r="23" spans="1:10" ht="14.25" customHeight="1">
      <c r="A23" s="46"/>
      <c r="B23" s="47" t="s">
        <v>205</v>
      </c>
      <c r="C23" s="48" t="s">
        <v>207</v>
      </c>
      <c r="D23" s="49" t="s">
        <v>375</v>
      </c>
      <c r="E23" s="24">
        <v>50000000</v>
      </c>
      <c r="F23" s="3">
        <v>0</v>
      </c>
      <c r="G23" s="3">
        <v>50000000</v>
      </c>
      <c r="H23" s="13">
        <v>0</v>
      </c>
      <c r="I23" s="10">
        <v>7.1</v>
      </c>
      <c r="J23" s="50" t="s">
        <v>171</v>
      </c>
    </row>
    <row r="24" spans="1:10" ht="17.25" customHeight="1">
      <c r="A24" s="51" t="s">
        <v>376</v>
      </c>
      <c r="B24" s="14" t="s">
        <v>173</v>
      </c>
      <c r="C24" s="15" t="s">
        <v>173</v>
      </c>
      <c r="D24" s="16" t="s">
        <v>173</v>
      </c>
      <c r="E24" s="17">
        <v>2540000000</v>
      </c>
      <c r="F24" s="17">
        <v>0</v>
      </c>
      <c r="G24" s="17">
        <v>2540000000</v>
      </c>
      <c r="H24" s="18">
        <v>0</v>
      </c>
      <c r="I24" s="19"/>
      <c r="J24" s="52" t="s">
        <v>173</v>
      </c>
    </row>
    <row r="25" spans="1:10" ht="14.25" customHeight="1">
      <c r="A25" s="41" t="s">
        <v>208</v>
      </c>
      <c r="B25" s="53" t="s">
        <v>377</v>
      </c>
      <c r="C25" s="11" t="s">
        <v>189</v>
      </c>
      <c r="D25" s="43" t="s">
        <v>378</v>
      </c>
      <c r="E25" s="4">
        <v>340000000</v>
      </c>
      <c r="F25" s="3">
        <v>0</v>
      </c>
      <c r="G25" s="3">
        <v>340000000</v>
      </c>
      <c r="H25" s="13">
        <v>0</v>
      </c>
      <c r="I25" s="12">
        <v>7.4</v>
      </c>
      <c r="J25" s="54" t="s">
        <v>209</v>
      </c>
    </row>
    <row r="26" spans="1:10" ht="14.25" customHeight="1">
      <c r="A26" s="29" t="s">
        <v>182</v>
      </c>
      <c r="B26" s="55" t="s">
        <v>205</v>
      </c>
      <c r="C26" s="8" t="s">
        <v>180</v>
      </c>
      <c r="D26" s="6" t="s">
        <v>375</v>
      </c>
      <c r="E26" s="3">
        <v>200000000</v>
      </c>
      <c r="F26" s="3">
        <v>0</v>
      </c>
      <c r="G26" s="3">
        <v>200000000</v>
      </c>
      <c r="H26" s="13">
        <v>0</v>
      </c>
      <c r="I26" s="7">
        <v>7.1</v>
      </c>
      <c r="J26" s="32" t="s">
        <v>171</v>
      </c>
    </row>
    <row r="27" spans="1:10" ht="14.25" customHeight="1">
      <c r="A27" s="29"/>
      <c r="B27" s="55" t="s">
        <v>205</v>
      </c>
      <c r="C27" s="5" t="s">
        <v>193</v>
      </c>
      <c r="D27" s="6" t="s">
        <v>379</v>
      </c>
      <c r="E27" s="3">
        <v>370000000</v>
      </c>
      <c r="F27" s="3">
        <v>0</v>
      </c>
      <c r="G27" s="3">
        <v>370000000</v>
      </c>
      <c r="H27" s="13">
        <v>0</v>
      </c>
      <c r="I27" s="7">
        <v>6.5</v>
      </c>
      <c r="J27" s="32" t="s">
        <v>210</v>
      </c>
    </row>
    <row r="28" spans="1:10" ht="14.25" customHeight="1">
      <c r="A28" s="29"/>
      <c r="B28" s="55" t="s">
        <v>211</v>
      </c>
      <c r="C28" s="5" t="s">
        <v>189</v>
      </c>
      <c r="D28" s="6" t="s">
        <v>380</v>
      </c>
      <c r="E28" s="3">
        <v>200000000</v>
      </c>
      <c r="F28" s="3">
        <v>0</v>
      </c>
      <c r="G28" s="3">
        <v>200000000</v>
      </c>
      <c r="H28" s="13">
        <v>0</v>
      </c>
      <c r="I28" s="7">
        <v>7.3</v>
      </c>
      <c r="J28" s="32" t="s">
        <v>212</v>
      </c>
    </row>
    <row r="29" spans="1:10" ht="14.25" customHeight="1">
      <c r="A29" s="29"/>
      <c r="B29" s="55" t="s">
        <v>211</v>
      </c>
      <c r="C29" s="5" t="s">
        <v>213</v>
      </c>
      <c r="D29" s="6" t="s">
        <v>381</v>
      </c>
      <c r="E29" s="3">
        <v>300000000</v>
      </c>
      <c r="F29" s="3">
        <v>0</v>
      </c>
      <c r="G29" s="3">
        <v>300000000</v>
      </c>
      <c r="H29" s="13">
        <v>0</v>
      </c>
      <c r="I29" s="7">
        <v>6.5</v>
      </c>
      <c r="J29" s="32" t="s">
        <v>214</v>
      </c>
    </row>
    <row r="30" spans="1:10" ht="14.25" customHeight="1">
      <c r="A30" s="29"/>
      <c r="B30" s="55" t="s">
        <v>211</v>
      </c>
      <c r="C30" s="5" t="s">
        <v>189</v>
      </c>
      <c r="D30" s="6" t="s">
        <v>382</v>
      </c>
      <c r="E30" s="3">
        <v>220000000</v>
      </c>
      <c r="F30" s="3">
        <v>0</v>
      </c>
      <c r="G30" s="3">
        <v>220000000</v>
      </c>
      <c r="H30" s="13">
        <v>0</v>
      </c>
      <c r="I30" s="7">
        <v>7.3</v>
      </c>
      <c r="J30" s="32" t="s">
        <v>212</v>
      </c>
    </row>
    <row r="31" spans="1:10" ht="14.25" customHeight="1">
      <c r="A31" s="29"/>
      <c r="B31" s="55" t="s">
        <v>211</v>
      </c>
      <c r="C31" s="8" t="s">
        <v>180</v>
      </c>
      <c r="D31" s="6" t="s">
        <v>383</v>
      </c>
      <c r="E31" s="3">
        <v>100000000</v>
      </c>
      <c r="F31" s="3">
        <v>0</v>
      </c>
      <c r="G31" s="3">
        <v>100000000</v>
      </c>
      <c r="H31" s="13">
        <v>0</v>
      </c>
      <c r="I31" s="7">
        <v>7.3</v>
      </c>
      <c r="J31" s="32" t="s">
        <v>171</v>
      </c>
    </row>
    <row r="32" spans="1:10" ht="14.25" customHeight="1">
      <c r="A32" s="29"/>
      <c r="B32" s="55" t="s">
        <v>211</v>
      </c>
      <c r="C32" s="5" t="s">
        <v>193</v>
      </c>
      <c r="D32" s="6" t="s">
        <v>384</v>
      </c>
      <c r="E32" s="3">
        <v>480000000</v>
      </c>
      <c r="F32" s="3">
        <v>0</v>
      </c>
      <c r="G32" s="3">
        <v>480000000</v>
      </c>
      <c r="H32" s="13">
        <v>0</v>
      </c>
      <c r="I32" s="7">
        <v>6.5</v>
      </c>
      <c r="J32" s="32" t="s">
        <v>214</v>
      </c>
    </row>
    <row r="33" spans="1:10" ht="14.25" customHeight="1">
      <c r="A33" s="29"/>
      <c r="B33" s="55" t="s">
        <v>215</v>
      </c>
      <c r="C33" s="5" t="s">
        <v>189</v>
      </c>
      <c r="D33" s="6" t="s">
        <v>385</v>
      </c>
      <c r="E33" s="3">
        <v>300000000</v>
      </c>
      <c r="F33" s="3">
        <v>0</v>
      </c>
      <c r="G33" s="3">
        <v>300000000</v>
      </c>
      <c r="H33" s="13">
        <v>0</v>
      </c>
      <c r="I33" s="7">
        <v>7.3</v>
      </c>
      <c r="J33" s="32" t="s">
        <v>188</v>
      </c>
    </row>
    <row r="34" spans="1:10" ht="14.25" customHeight="1">
      <c r="A34" s="29"/>
      <c r="B34" s="55" t="s">
        <v>215</v>
      </c>
      <c r="C34" s="5" t="s">
        <v>189</v>
      </c>
      <c r="D34" s="6" t="s">
        <v>385</v>
      </c>
      <c r="E34" s="3">
        <v>620000000</v>
      </c>
      <c r="F34" s="3">
        <v>0</v>
      </c>
      <c r="G34" s="3">
        <v>620000000</v>
      </c>
      <c r="H34" s="13">
        <v>0</v>
      </c>
      <c r="I34" s="7">
        <v>7.3</v>
      </c>
      <c r="J34" s="32" t="s">
        <v>188</v>
      </c>
    </row>
    <row r="35" spans="1:10" ht="14.25" customHeight="1">
      <c r="A35" s="29"/>
      <c r="B35" s="55" t="s">
        <v>215</v>
      </c>
      <c r="C35" s="8" t="s">
        <v>180</v>
      </c>
      <c r="D35" s="6" t="s">
        <v>386</v>
      </c>
      <c r="E35" s="3">
        <v>100000000</v>
      </c>
      <c r="F35" s="3">
        <v>0</v>
      </c>
      <c r="G35" s="3">
        <v>100000000</v>
      </c>
      <c r="H35" s="13">
        <v>0</v>
      </c>
      <c r="I35" s="7">
        <v>7.1</v>
      </c>
      <c r="J35" s="32" t="s">
        <v>216</v>
      </c>
    </row>
    <row r="36" spans="1:10" ht="14.25" customHeight="1">
      <c r="A36" s="29"/>
      <c r="B36" s="55" t="s">
        <v>215</v>
      </c>
      <c r="C36" s="5" t="s">
        <v>193</v>
      </c>
      <c r="D36" s="6" t="s">
        <v>387</v>
      </c>
      <c r="E36" s="3">
        <v>280000000</v>
      </c>
      <c r="F36" s="3">
        <v>0</v>
      </c>
      <c r="G36" s="3">
        <v>280000000</v>
      </c>
      <c r="H36" s="13">
        <v>0</v>
      </c>
      <c r="I36" s="7">
        <v>6.5</v>
      </c>
      <c r="J36" s="56" t="s">
        <v>217</v>
      </c>
    </row>
    <row r="37" spans="1:10" ht="14.25" customHeight="1">
      <c r="A37" s="29"/>
      <c r="B37" s="55" t="s">
        <v>218</v>
      </c>
      <c r="C37" s="5" t="s">
        <v>189</v>
      </c>
      <c r="D37" s="6" t="s">
        <v>388</v>
      </c>
      <c r="E37" s="3">
        <v>350000000</v>
      </c>
      <c r="F37" s="3">
        <v>0</v>
      </c>
      <c r="G37" s="3">
        <v>350000000</v>
      </c>
      <c r="H37" s="13">
        <v>0</v>
      </c>
      <c r="I37" s="7">
        <v>7.3</v>
      </c>
      <c r="J37" s="56" t="s">
        <v>214</v>
      </c>
    </row>
    <row r="38" spans="1:10" ht="14.25" customHeight="1">
      <c r="A38" s="29"/>
      <c r="B38" s="55" t="s">
        <v>218</v>
      </c>
      <c r="C38" s="5" t="s">
        <v>185</v>
      </c>
      <c r="D38" s="6" t="s">
        <v>389</v>
      </c>
      <c r="E38" s="3">
        <v>780000000</v>
      </c>
      <c r="F38" s="3">
        <v>0</v>
      </c>
      <c r="G38" s="3">
        <v>780000000</v>
      </c>
      <c r="H38" s="13">
        <v>0</v>
      </c>
      <c r="I38" s="7">
        <v>6.5</v>
      </c>
      <c r="J38" s="56" t="s">
        <v>219</v>
      </c>
    </row>
    <row r="39" spans="1:10" ht="14.25" customHeight="1">
      <c r="A39" s="29"/>
      <c r="B39" s="55" t="s">
        <v>218</v>
      </c>
      <c r="C39" s="5" t="s">
        <v>189</v>
      </c>
      <c r="D39" s="6" t="s">
        <v>390</v>
      </c>
      <c r="E39" s="3">
        <v>210000000</v>
      </c>
      <c r="F39" s="3">
        <v>0</v>
      </c>
      <c r="G39" s="3">
        <v>210000000</v>
      </c>
      <c r="H39" s="13">
        <v>0</v>
      </c>
      <c r="I39" s="7">
        <v>7.3</v>
      </c>
      <c r="J39" s="56" t="s">
        <v>214</v>
      </c>
    </row>
    <row r="40" spans="1:10" ht="14.25" customHeight="1">
      <c r="A40" s="29"/>
      <c r="B40" s="55" t="s">
        <v>220</v>
      </c>
      <c r="C40" s="5" t="s">
        <v>189</v>
      </c>
      <c r="D40" s="6" t="s">
        <v>391</v>
      </c>
      <c r="E40" s="3">
        <v>200000000</v>
      </c>
      <c r="F40" s="3">
        <v>0</v>
      </c>
      <c r="G40" s="3">
        <v>200000000</v>
      </c>
      <c r="H40" s="13">
        <v>0</v>
      </c>
      <c r="I40" s="7">
        <v>7</v>
      </c>
      <c r="J40" s="56" t="s">
        <v>217</v>
      </c>
    </row>
    <row r="41" spans="1:10" ht="14.25" customHeight="1">
      <c r="A41" s="29"/>
      <c r="B41" s="55" t="s">
        <v>220</v>
      </c>
      <c r="C41" s="5" t="s">
        <v>193</v>
      </c>
      <c r="D41" s="6" t="s">
        <v>392</v>
      </c>
      <c r="E41" s="3">
        <v>230000000</v>
      </c>
      <c r="F41" s="3">
        <v>0</v>
      </c>
      <c r="G41" s="3">
        <v>230000000</v>
      </c>
      <c r="H41" s="13">
        <v>0</v>
      </c>
      <c r="I41" s="7">
        <v>6.5</v>
      </c>
      <c r="J41" s="56" t="s">
        <v>221</v>
      </c>
    </row>
    <row r="42" spans="1:10" ht="14.25" customHeight="1">
      <c r="A42" s="46"/>
      <c r="B42" s="55" t="s">
        <v>218</v>
      </c>
      <c r="C42" s="5" t="s">
        <v>180</v>
      </c>
      <c r="D42" s="6" t="s">
        <v>393</v>
      </c>
      <c r="E42" s="3">
        <v>60000000</v>
      </c>
      <c r="F42" s="3">
        <v>0</v>
      </c>
      <c r="G42" s="3">
        <v>60000000</v>
      </c>
      <c r="H42" s="13">
        <v>0</v>
      </c>
      <c r="I42" s="7">
        <v>7.1</v>
      </c>
      <c r="J42" s="56" t="s">
        <v>196</v>
      </c>
    </row>
    <row r="43" spans="1:10" ht="17.25" customHeight="1">
      <c r="A43" s="51" t="s">
        <v>376</v>
      </c>
      <c r="B43" s="14" t="s">
        <v>173</v>
      </c>
      <c r="C43" s="15" t="s">
        <v>173</v>
      </c>
      <c r="D43" s="16" t="s">
        <v>173</v>
      </c>
      <c r="E43" s="17">
        <v>5340000000</v>
      </c>
      <c r="F43" s="17">
        <v>0</v>
      </c>
      <c r="G43" s="17">
        <v>5340000000</v>
      </c>
      <c r="H43" s="18">
        <v>0</v>
      </c>
      <c r="I43" s="19"/>
      <c r="J43" s="52" t="s">
        <v>173</v>
      </c>
    </row>
    <row r="44" spans="1:10" ht="14.25" customHeight="1">
      <c r="A44" s="31" t="s">
        <v>222</v>
      </c>
      <c r="B44" s="9" t="s">
        <v>394</v>
      </c>
      <c r="C44" s="5" t="s">
        <v>189</v>
      </c>
      <c r="D44" s="6" t="s">
        <v>395</v>
      </c>
      <c r="E44" s="3">
        <v>40000000</v>
      </c>
      <c r="F44" s="3">
        <v>0</v>
      </c>
      <c r="G44" s="3">
        <v>40000000</v>
      </c>
      <c r="H44" s="13">
        <v>0</v>
      </c>
      <c r="I44" s="7">
        <v>7.3</v>
      </c>
      <c r="J44" s="56" t="s">
        <v>214</v>
      </c>
    </row>
    <row r="45" spans="1:10" ht="14.25" customHeight="1">
      <c r="A45" s="29" t="s">
        <v>182</v>
      </c>
      <c r="B45" s="9" t="s">
        <v>218</v>
      </c>
      <c r="C45" s="5" t="s">
        <v>185</v>
      </c>
      <c r="D45" s="6" t="s">
        <v>396</v>
      </c>
      <c r="E45" s="3">
        <v>25000000</v>
      </c>
      <c r="F45" s="3">
        <v>0</v>
      </c>
      <c r="G45" s="3">
        <v>25000000</v>
      </c>
      <c r="H45" s="13">
        <v>0</v>
      </c>
      <c r="I45" s="7">
        <v>6.5</v>
      </c>
      <c r="J45" s="56" t="s">
        <v>219</v>
      </c>
    </row>
    <row r="46" spans="1:10" ht="14.25" customHeight="1">
      <c r="A46" s="29"/>
      <c r="B46" s="9" t="s">
        <v>220</v>
      </c>
      <c r="C46" s="5" t="s">
        <v>189</v>
      </c>
      <c r="D46" s="6" t="s">
        <v>391</v>
      </c>
      <c r="E46" s="3">
        <v>300000000</v>
      </c>
      <c r="F46" s="3">
        <v>0</v>
      </c>
      <c r="G46" s="3">
        <v>300000000</v>
      </c>
      <c r="H46" s="13">
        <v>0</v>
      </c>
      <c r="I46" s="7">
        <v>7</v>
      </c>
      <c r="J46" s="56" t="s">
        <v>217</v>
      </c>
    </row>
    <row r="47" spans="1:10" ht="14.25" customHeight="1">
      <c r="A47" s="29"/>
      <c r="B47" s="9" t="s">
        <v>220</v>
      </c>
      <c r="C47" s="5" t="s">
        <v>189</v>
      </c>
      <c r="D47" s="6" t="s">
        <v>397</v>
      </c>
      <c r="E47" s="3">
        <v>570000000</v>
      </c>
      <c r="F47" s="3">
        <v>0</v>
      </c>
      <c r="G47" s="3">
        <v>570000000</v>
      </c>
      <c r="H47" s="13">
        <v>0</v>
      </c>
      <c r="I47" s="7">
        <v>7</v>
      </c>
      <c r="J47" s="56" t="s">
        <v>217</v>
      </c>
    </row>
    <row r="48" spans="1:10" ht="14.25" customHeight="1">
      <c r="A48" s="31"/>
      <c r="B48" s="9" t="s">
        <v>220</v>
      </c>
      <c r="C48" s="5" t="s">
        <v>180</v>
      </c>
      <c r="D48" s="6" t="s">
        <v>398</v>
      </c>
      <c r="E48" s="3">
        <v>300000000</v>
      </c>
      <c r="F48" s="3">
        <v>0</v>
      </c>
      <c r="G48" s="3">
        <v>300000000</v>
      </c>
      <c r="H48" s="13">
        <v>0</v>
      </c>
      <c r="I48" s="7">
        <v>7.1</v>
      </c>
      <c r="J48" s="56" t="s">
        <v>203</v>
      </c>
    </row>
    <row r="49" spans="1:10" ht="14.25" customHeight="1">
      <c r="A49" s="31"/>
      <c r="B49" s="9" t="s">
        <v>218</v>
      </c>
      <c r="C49" s="5" t="s">
        <v>180</v>
      </c>
      <c r="D49" s="6" t="s">
        <v>393</v>
      </c>
      <c r="E49" s="3">
        <v>650000000</v>
      </c>
      <c r="F49" s="3">
        <v>0</v>
      </c>
      <c r="G49" s="3">
        <v>650000000</v>
      </c>
      <c r="H49" s="13">
        <v>0</v>
      </c>
      <c r="I49" s="7">
        <v>7.1</v>
      </c>
      <c r="J49" s="56" t="s">
        <v>196</v>
      </c>
    </row>
    <row r="50" spans="1:10" ht="14.25" customHeight="1">
      <c r="A50" s="31"/>
      <c r="B50" s="6" t="s">
        <v>399</v>
      </c>
      <c r="C50" s="5" t="s">
        <v>185</v>
      </c>
      <c r="D50" s="6" t="s">
        <v>400</v>
      </c>
      <c r="E50" s="3">
        <v>1330000000</v>
      </c>
      <c r="F50" s="3">
        <v>0</v>
      </c>
      <c r="G50" s="3">
        <v>1330000000</v>
      </c>
      <c r="H50" s="13">
        <v>0</v>
      </c>
      <c r="I50" s="7">
        <v>6.5</v>
      </c>
      <c r="J50" s="56" t="s">
        <v>221</v>
      </c>
    </row>
    <row r="51" spans="1:10" ht="14.25" customHeight="1">
      <c r="A51" s="31"/>
      <c r="B51" s="9">
        <v>42</v>
      </c>
      <c r="C51" s="5" t="s">
        <v>189</v>
      </c>
      <c r="D51" s="6" t="s">
        <v>401</v>
      </c>
      <c r="E51" s="3">
        <v>480000000</v>
      </c>
      <c r="F51" s="3">
        <v>0</v>
      </c>
      <c r="G51" s="3">
        <v>480000000</v>
      </c>
      <c r="H51" s="13">
        <v>0</v>
      </c>
      <c r="I51" s="7">
        <v>7</v>
      </c>
      <c r="J51" s="56" t="s">
        <v>223</v>
      </c>
    </row>
    <row r="52" spans="1:10" ht="14.25" customHeight="1">
      <c r="A52" s="29"/>
      <c r="B52" s="9" t="s">
        <v>224</v>
      </c>
      <c r="C52" s="5" t="s">
        <v>185</v>
      </c>
      <c r="D52" s="6" t="s">
        <v>402</v>
      </c>
      <c r="E52" s="3">
        <v>990000000</v>
      </c>
      <c r="F52" s="3">
        <v>0</v>
      </c>
      <c r="G52" s="3">
        <v>990000000</v>
      </c>
      <c r="H52" s="13">
        <v>0</v>
      </c>
      <c r="I52" s="7">
        <v>6.5</v>
      </c>
      <c r="J52" s="56" t="s">
        <v>225</v>
      </c>
    </row>
    <row r="53" spans="1:10" ht="14.25" customHeight="1">
      <c r="A53" s="93"/>
      <c r="B53" s="9">
        <v>42</v>
      </c>
      <c r="C53" s="5" t="s">
        <v>180</v>
      </c>
      <c r="D53" s="6" t="s">
        <v>711</v>
      </c>
      <c r="E53" s="3">
        <v>230000000</v>
      </c>
      <c r="F53" s="3">
        <v>0</v>
      </c>
      <c r="G53" s="3">
        <v>230000000</v>
      </c>
      <c r="H53" s="13">
        <v>0</v>
      </c>
      <c r="I53" s="7">
        <v>7.1</v>
      </c>
      <c r="J53" s="72" t="s">
        <v>203</v>
      </c>
    </row>
    <row r="54" spans="1:10" ht="14.25" customHeight="1">
      <c r="A54" s="93"/>
      <c r="B54" s="9" t="s">
        <v>226</v>
      </c>
      <c r="C54" s="5" t="s">
        <v>189</v>
      </c>
      <c r="D54" s="6" t="s">
        <v>322</v>
      </c>
      <c r="E54" s="3">
        <v>300000000</v>
      </c>
      <c r="F54" s="3">
        <v>0</v>
      </c>
      <c r="G54" s="3">
        <v>300000000</v>
      </c>
      <c r="H54" s="13">
        <v>0</v>
      </c>
      <c r="I54" s="7">
        <v>7</v>
      </c>
      <c r="J54" s="72" t="s">
        <v>227</v>
      </c>
    </row>
    <row r="55" spans="1:10" ht="14.25" customHeight="1" thickBot="1">
      <c r="A55" s="94"/>
      <c r="B55" s="57">
        <v>43</v>
      </c>
      <c r="C55" s="58" t="s">
        <v>189</v>
      </c>
      <c r="D55" s="59" t="s">
        <v>323</v>
      </c>
      <c r="E55" s="21">
        <v>500000000</v>
      </c>
      <c r="F55" s="21">
        <v>0</v>
      </c>
      <c r="G55" s="21">
        <v>500000000</v>
      </c>
      <c r="H55" s="22">
        <v>0</v>
      </c>
      <c r="I55" s="60">
        <v>7</v>
      </c>
      <c r="J55" s="95" t="s">
        <v>227</v>
      </c>
    </row>
    <row r="56" spans="1:10" ht="9.75" customHeight="1" thickBot="1">
      <c r="A56" s="38"/>
      <c r="B56" s="55"/>
      <c r="C56" s="38"/>
      <c r="D56" s="53"/>
      <c r="E56" s="1"/>
      <c r="F56" s="1"/>
      <c r="G56" s="1"/>
      <c r="H56" s="23"/>
      <c r="I56" s="39"/>
      <c r="J56" s="37"/>
    </row>
    <row r="57" spans="1:10">
      <c r="A57" s="523" t="s">
        <v>403</v>
      </c>
      <c r="B57" s="515" t="s">
        <v>311</v>
      </c>
      <c r="C57" s="511" t="s">
        <v>404</v>
      </c>
      <c r="D57" s="515" t="s">
        <v>312</v>
      </c>
      <c r="E57" s="513" t="s">
        <v>352</v>
      </c>
      <c r="F57" s="519" t="s">
        <v>353</v>
      </c>
      <c r="G57" s="525"/>
      <c r="H57" s="494" t="s">
        <v>174</v>
      </c>
      <c r="I57" s="517" t="s">
        <v>354</v>
      </c>
      <c r="J57" s="521" t="s">
        <v>313</v>
      </c>
    </row>
    <row r="58" spans="1:10">
      <c r="A58" s="524"/>
      <c r="B58" s="516"/>
      <c r="C58" s="512"/>
      <c r="D58" s="516"/>
      <c r="E58" s="514"/>
      <c r="F58" s="40" t="s">
        <v>176</v>
      </c>
      <c r="G58" s="62" t="s">
        <v>305</v>
      </c>
      <c r="H58" s="495"/>
      <c r="I58" s="518"/>
      <c r="J58" s="522"/>
    </row>
    <row r="59" spans="1:10">
      <c r="A59" s="41"/>
      <c r="B59" s="42"/>
      <c r="C59" s="42"/>
      <c r="D59" s="43" t="s">
        <v>177</v>
      </c>
      <c r="E59" s="2" t="s">
        <v>178</v>
      </c>
      <c r="F59" s="2" t="s">
        <v>172</v>
      </c>
      <c r="G59" s="25" t="s">
        <v>178</v>
      </c>
      <c r="H59" s="44" t="s">
        <v>178</v>
      </c>
      <c r="I59" s="12" t="s">
        <v>355</v>
      </c>
      <c r="J59" s="45" t="s">
        <v>175</v>
      </c>
    </row>
    <row r="60" spans="1:10" ht="14.25" customHeight="1">
      <c r="A60" s="31" t="s">
        <v>222</v>
      </c>
      <c r="B60" s="9" t="s">
        <v>330</v>
      </c>
      <c r="C60" s="5" t="s">
        <v>189</v>
      </c>
      <c r="D60" s="6" t="s">
        <v>690</v>
      </c>
      <c r="E60" s="3">
        <v>310000000</v>
      </c>
      <c r="F60" s="3">
        <v>0</v>
      </c>
      <c r="G60" s="26">
        <v>310000000</v>
      </c>
      <c r="H60" s="13">
        <v>0</v>
      </c>
      <c r="I60" s="7">
        <v>7</v>
      </c>
      <c r="J60" s="56" t="s">
        <v>227</v>
      </c>
    </row>
    <row r="61" spans="1:10" ht="14.25" customHeight="1">
      <c r="A61" s="29" t="s">
        <v>182</v>
      </c>
      <c r="B61" s="9" t="s">
        <v>226</v>
      </c>
      <c r="C61" s="5" t="s">
        <v>180</v>
      </c>
      <c r="D61" s="6" t="s">
        <v>405</v>
      </c>
      <c r="E61" s="3">
        <v>260000000</v>
      </c>
      <c r="F61" s="3">
        <v>0</v>
      </c>
      <c r="G61" s="26">
        <v>260000000</v>
      </c>
      <c r="H61" s="13">
        <v>0</v>
      </c>
      <c r="I61" s="7">
        <v>7.1</v>
      </c>
      <c r="J61" s="56" t="s">
        <v>209</v>
      </c>
    </row>
    <row r="62" spans="1:10" ht="14.25" customHeight="1">
      <c r="A62" s="29"/>
      <c r="B62" s="9" t="s">
        <v>226</v>
      </c>
      <c r="C62" s="5" t="s">
        <v>185</v>
      </c>
      <c r="D62" s="6" t="s">
        <v>406</v>
      </c>
      <c r="E62" s="3">
        <v>2130000000</v>
      </c>
      <c r="F62" s="3">
        <v>0</v>
      </c>
      <c r="G62" s="26">
        <v>2130000000</v>
      </c>
      <c r="H62" s="13">
        <v>0</v>
      </c>
      <c r="I62" s="7">
        <v>6.5</v>
      </c>
      <c r="J62" s="56" t="s">
        <v>228</v>
      </c>
    </row>
    <row r="63" spans="1:10" ht="14.25" customHeight="1">
      <c r="A63" s="29"/>
      <c r="B63" s="9" t="s">
        <v>229</v>
      </c>
      <c r="C63" s="5" t="s">
        <v>189</v>
      </c>
      <c r="D63" s="6" t="s">
        <v>407</v>
      </c>
      <c r="E63" s="3">
        <v>300000000</v>
      </c>
      <c r="F63" s="3">
        <v>0</v>
      </c>
      <c r="G63" s="26">
        <v>300000000</v>
      </c>
      <c r="H63" s="13">
        <v>0</v>
      </c>
      <c r="I63" s="7">
        <v>7</v>
      </c>
      <c r="J63" s="56" t="s">
        <v>230</v>
      </c>
    </row>
    <row r="64" spans="1:10" ht="14.25" customHeight="1">
      <c r="A64" s="29"/>
      <c r="B64" s="9" t="s">
        <v>229</v>
      </c>
      <c r="C64" s="5" t="s">
        <v>189</v>
      </c>
      <c r="D64" s="6" t="s">
        <v>408</v>
      </c>
      <c r="E64" s="3">
        <v>520000000</v>
      </c>
      <c r="F64" s="3">
        <v>0</v>
      </c>
      <c r="G64" s="26">
        <v>520000000</v>
      </c>
      <c r="H64" s="13">
        <v>0</v>
      </c>
      <c r="I64" s="7">
        <v>7</v>
      </c>
      <c r="J64" s="56" t="s">
        <v>230</v>
      </c>
    </row>
    <row r="65" spans="1:10" ht="14.25" customHeight="1">
      <c r="A65" s="29"/>
      <c r="B65" s="9" t="s">
        <v>229</v>
      </c>
      <c r="C65" s="5" t="s">
        <v>189</v>
      </c>
      <c r="D65" s="6" t="s">
        <v>409</v>
      </c>
      <c r="E65" s="3">
        <v>130000000</v>
      </c>
      <c r="F65" s="3">
        <v>0</v>
      </c>
      <c r="G65" s="26">
        <v>130000000</v>
      </c>
      <c r="H65" s="13">
        <v>0</v>
      </c>
      <c r="I65" s="7">
        <v>7</v>
      </c>
      <c r="J65" s="56" t="s">
        <v>230</v>
      </c>
    </row>
    <row r="66" spans="1:10" ht="14.25" customHeight="1">
      <c r="A66" s="29"/>
      <c r="B66" s="9" t="s">
        <v>229</v>
      </c>
      <c r="C66" s="5" t="s">
        <v>180</v>
      </c>
      <c r="D66" s="6" t="s">
        <v>410</v>
      </c>
      <c r="E66" s="3">
        <v>150000000</v>
      </c>
      <c r="F66" s="3">
        <v>0</v>
      </c>
      <c r="G66" s="26">
        <v>150000000</v>
      </c>
      <c r="H66" s="13">
        <v>0</v>
      </c>
      <c r="I66" s="7">
        <v>7.1</v>
      </c>
      <c r="J66" s="56" t="s">
        <v>231</v>
      </c>
    </row>
    <row r="67" spans="1:10" ht="14.25" customHeight="1">
      <c r="A67" s="29"/>
      <c r="B67" s="9" t="s">
        <v>229</v>
      </c>
      <c r="C67" s="5" t="s">
        <v>185</v>
      </c>
      <c r="D67" s="6" t="s">
        <v>411</v>
      </c>
      <c r="E67" s="3">
        <v>1700000000</v>
      </c>
      <c r="F67" s="3">
        <v>0</v>
      </c>
      <c r="G67" s="26">
        <v>1700000000</v>
      </c>
      <c r="H67" s="13">
        <v>0</v>
      </c>
      <c r="I67" s="7">
        <v>6.5</v>
      </c>
      <c r="J67" s="56" t="s">
        <v>232</v>
      </c>
    </row>
    <row r="68" spans="1:10" ht="14.25" customHeight="1">
      <c r="A68" s="29"/>
      <c r="B68" s="9" t="s">
        <v>233</v>
      </c>
      <c r="C68" s="5" t="s">
        <v>189</v>
      </c>
      <c r="D68" s="6" t="s">
        <v>412</v>
      </c>
      <c r="E68" s="3">
        <v>200000000</v>
      </c>
      <c r="F68" s="3">
        <v>0</v>
      </c>
      <c r="G68" s="26">
        <v>200000000</v>
      </c>
      <c r="H68" s="13">
        <v>0</v>
      </c>
      <c r="I68" s="7">
        <v>6.7</v>
      </c>
      <c r="J68" s="56" t="s">
        <v>234</v>
      </c>
    </row>
    <row r="69" spans="1:10" ht="14.25" customHeight="1">
      <c r="A69" s="29"/>
      <c r="B69" s="9" t="s">
        <v>233</v>
      </c>
      <c r="C69" s="5" t="s">
        <v>189</v>
      </c>
      <c r="D69" s="6" t="s">
        <v>412</v>
      </c>
      <c r="E69" s="3">
        <v>600000000</v>
      </c>
      <c r="F69" s="3">
        <v>0</v>
      </c>
      <c r="G69" s="26">
        <v>600000000</v>
      </c>
      <c r="H69" s="13">
        <v>0</v>
      </c>
      <c r="I69" s="7">
        <v>6.7</v>
      </c>
      <c r="J69" s="56" t="s">
        <v>234</v>
      </c>
    </row>
    <row r="70" spans="1:10" ht="14.25" customHeight="1">
      <c r="A70" s="29"/>
      <c r="B70" s="9" t="s">
        <v>233</v>
      </c>
      <c r="C70" s="5" t="s">
        <v>185</v>
      </c>
      <c r="D70" s="6" t="s">
        <v>413</v>
      </c>
      <c r="E70" s="3">
        <v>1560000000</v>
      </c>
      <c r="F70" s="3">
        <v>0</v>
      </c>
      <c r="G70" s="26">
        <v>1560000000</v>
      </c>
      <c r="H70" s="13">
        <v>0</v>
      </c>
      <c r="I70" s="7">
        <v>6.5</v>
      </c>
      <c r="J70" s="56" t="s">
        <v>235</v>
      </c>
    </row>
    <row r="71" spans="1:10" ht="14.25" customHeight="1">
      <c r="A71" s="29"/>
      <c r="B71" s="9" t="s">
        <v>233</v>
      </c>
      <c r="C71" s="5" t="s">
        <v>180</v>
      </c>
      <c r="D71" s="6" t="s">
        <v>414</v>
      </c>
      <c r="E71" s="3">
        <v>240000000</v>
      </c>
      <c r="F71" s="3">
        <v>0</v>
      </c>
      <c r="G71" s="26">
        <v>240000000</v>
      </c>
      <c r="H71" s="13">
        <v>0</v>
      </c>
      <c r="I71" s="7">
        <v>7.1</v>
      </c>
      <c r="J71" s="56" t="s">
        <v>209</v>
      </c>
    </row>
    <row r="72" spans="1:10" ht="14.25" customHeight="1">
      <c r="A72" s="29"/>
      <c r="B72" s="9" t="s">
        <v>236</v>
      </c>
      <c r="C72" s="5" t="s">
        <v>189</v>
      </c>
      <c r="D72" s="6" t="s">
        <v>415</v>
      </c>
      <c r="E72" s="3">
        <v>108000000</v>
      </c>
      <c r="F72" s="3">
        <v>0</v>
      </c>
      <c r="G72" s="26">
        <v>108000000</v>
      </c>
      <c r="H72" s="13">
        <v>0</v>
      </c>
      <c r="I72" s="7">
        <v>6.7</v>
      </c>
      <c r="J72" s="56" t="s">
        <v>237</v>
      </c>
    </row>
    <row r="73" spans="1:10" ht="14.25" customHeight="1">
      <c r="A73" s="29"/>
      <c r="B73" s="9" t="s">
        <v>236</v>
      </c>
      <c r="C73" s="5" t="s">
        <v>189</v>
      </c>
      <c r="D73" s="6" t="s">
        <v>416</v>
      </c>
      <c r="E73" s="3">
        <v>90000000</v>
      </c>
      <c r="F73" s="3">
        <v>0</v>
      </c>
      <c r="G73" s="26">
        <v>90000000</v>
      </c>
      <c r="H73" s="13">
        <v>0</v>
      </c>
      <c r="I73" s="7">
        <v>6.7</v>
      </c>
      <c r="J73" s="56" t="s">
        <v>237</v>
      </c>
    </row>
    <row r="74" spans="1:10" ht="14.25" customHeight="1">
      <c r="A74" s="29"/>
      <c r="B74" s="9" t="s">
        <v>236</v>
      </c>
      <c r="C74" s="5" t="s">
        <v>180</v>
      </c>
      <c r="D74" s="6" t="s">
        <v>416</v>
      </c>
      <c r="E74" s="3">
        <v>50000000</v>
      </c>
      <c r="F74" s="3">
        <v>0</v>
      </c>
      <c r="G74" s="26">
        <v>50000000</v>
      </c>
      <c r="H74" s="13">
        <v>0</v>
      </c>
      <c r="I74" s="7">
        <v>7.1</v>
      </c>
      <c r="J74" s="56" t="s">
        <v>238</v>
      </c>
    </row>
    <row r="75" spans="1:10" ht="14.25" customHeight="1">
      <c r="A75" s="29"/>
      <c r="B75" s="9" t="s">
        <v>236</v>
      </c>
      <c r="C75" s="5" t="s">
        <v>180</v>
      </c>
      <c r="D75" s="6" t="s">
        <v>417</v>
      </c>
      <c r="E75" s="3">
        <v>100000000</v>
      </c>
      <c r="F75" s="3">
        <v>0</v>
      </c>
      <c r="G75" s="26">
        <v>100000000</v>
      </c>
      <c r="H75" s="13">
        <v>0</v>
      </c>
      <c r="I75" s="7">
        <v>6.9</v>
      </c>
      <c r="J75" s="56" t="s">
        <v>238</v>
      </c>
    </row>
    <row r="76" spans="1:10" ht="14.25" customHeight="1">
      <c r="A76" s="29"/>
      <c r="B76" s="9" t="s">
        <v>236</v>
      </c>
      <c r="C76" s="5" t="s">
        <v>185</v>
      </c>
      <c r="D76" s="6" t="s">
        <v>418</v>
      </c>
      <c r="E76" s="3">
        <v>232000000</v>
      </c>
      <c r="F76" s="3">
        <v>0</v>
      </c>
      <c r="G76" s="26">
        <v>232000000</v>
      </c>
      <c r="H76" s="13">
        <v>0</v>
      </c>
      <c r="I76" s="7">
        <v>6.5</v>
      </c>
      <c r="J76" s="56" t="s">
        <v>239</v>
      </c>
    </row>
    <row r="77" spans="1:10" ht="14.25" customHeight="1">
      <c r="A77" s="46"/>
      <c r="B77" s="47" t="s">
        <v>236</v>
      </c>
      <c r="C77" s="63" t="s">
        <v>180</v>
      </c>
      <c r="D77" s="49" t="s">
        <v>418</v>
      </c>
      <c r="E77" s="24">
        <v>100000000</v>
      </c>
      <c r="F77" s="3">
        <v>0</v>
      </c>
      <c r="G77" s="26">
        <v>100000000</v>
      </c>
      <c r="H77" s="13">
        <v>0</v>
      </c>
      <c r="I77" s="10">
        <v>6.8</v>
      </c>
      <c r="J77" s="64" t="s">
        <v>212</v>
      </c>
    </row>
    <row r="78" spans="1:10" ht="17.25" customHeight="1">
      <c r="A78" s="51" t="s">
        <v>376</v>
      </c>
      <c r="B78" s="14" t="s">
        <v>173</v>
      </c>
      <c r="C78" s="15" t="s">
        <v>173</v>
      </c>
      <c r="D78" s="16" t="s">
        <v>173</v>
      </c>
      <c r="E78" s="17">
        <v>14495000000</v>
      </c>
      <c r="F78" s="17">
        <v>0</v>
      </c>
      <c r="G78" s="17">
        <v>14495000000</v>
      </c>
      <c r="H78" s="18">
        <v>0</v>
      </c>
      <c r="I78" s="19"/>
      <c r="J78" s="52" t="s">
        <v>173</v>
      </c>
    </row>
    <row r="79" spans="1:10" ht="14.25" customHeight="1">
      <c r="A79" s="41" t="s">
        <v>240</v>
      </c>
      <c r="B79" s="43" t="s">
        <v>419</v>
      </c>
      <c r="C79" s="11" t="s">
        <v>189</v>
      </c>
      <c r="D79" s="43" t="s">
        <v>420</v>
      </c>
      <c r="E79" s="4">
        <v>150000000</v>
      </c>
      <c r="F79" s="3">
        <v>0</v>
      </c>
      <c r="G79" s="26">
        <v>150000000</v>
      </c>
      <c r="H79" s="13">
        <v>0</v>
      </c>
      <c r="I79" s="12">
        <v>6.7</v>
      </c>
      <c r="J79" s="45" t="s">
        <v>237</v>
      </c>
    </row>
    <row r="80" spans="1:10" ht="14.25" customHeight="1">
      <c r="A80" s="29" t="s">
        <v>182</v>
      </c>
      <c r="B80" s="9" t="s">
        <v>236</v>
      </c>
      <c r="C80" s="5" t="s">
        <v>189</v>
      </c>
      <c r="D80" s="6" t="s">
        <v>416</v>
      </c>
      <c r="E80" s="3">
        <v>482714000</v>
      </c>
      <c r="F80" s="3">
        <v>0</v>
      </c>
      <c r="G80" s="26">
        <v>482714000</v>
      </c>
      <c r="H80" s="13">
        <v>0</v>
      </c>
      <c r="I80" s="7">
        <v>6.7</v>
      </c>
      <c r="J80" s="56" t="s">
        <v>237</v>
      </c>
    </row>
    <row r="81" spans="1:10" ht="14.25" customHeight="1">
      <c r="A81" s="29"/>
      <c r="B81" s="9" t="s">
        <v>236</v>
      </c>
      <c r="C81" s="8" t="s">
        <v>180</v>
      </c>
      <c r="D81" s="6" t="s">
        <v>417</v>
      </c>
      <c r="E81" s="3">
        <v>200000000</v>
      </c>
      <c r="F81" s="3">
        <v>0</v>
      </c>
      <c r="G81" s="26">
        <v>200000000</v>
      </c>
      <c r="H81" s="13">
        <v>0</v>
      </c>
      <c r="I81" s="7">
        <v>6.9</v>
      </c>
      <c r="J81" s="56" t="s">
        <v>238</v>
      </c>
    </row>
    <row r="82" spans="1:10" ht="14.25" customHeight="1">
      <c r="A82" s="29"/>
      <c r="B82" s="9" t="s">
        <v>236</v>
      </c>
      <c r="C82" s="5" t="s">
        <v>189</v>
      </c>
      <c r="D82" s="6" t="s">
        <v>421</v>
      </c>
      <c r="E82" s="3">
        <v>125000000</v>
      </c>
      <c r="F82" s="3">
        <v>0</v>
      </c>
      <c r="G82" s="26">
        <v>125000000</v>
      </c>
      <c r="H82" s="13">
        <v>0</v>
      </c>
      <c r="I82" s="7">
        <v>6.7</v>
      </c>
      <c r="J82" s="56" t="s">
        <v>237</v>
      </c>
    </row>
    <row r="83" spans="1:10" ht="14.25" customHeight="1">
      <c r="A83" s="29"/>
      <c r="B83" s="9" t="s">
        <v>236</v>
      </c>
      <c r="C83" s="8" t="s">
        <v>180</v>
      </c>
      <c r="D83" s="6" t="s">
        <v>422</v>
      </c>
      <c r="E83" s="3">
        <v>500000000</v>
      </c>
      <c r="F83" s="3">
        <v>0</v>
      </c>
      <c r="G83" s="26">
        <v>500000000</v>
      </c>
      <c r="H83" s="13">
        <v>0</v>
      </c>
      <c r="I83" s="7">
        <v>6.8</v>
      </c>
      <c r="J83" s="56" t="s">
        <v>238</v>
      </c>
    </row>
    <row r="84" spans="1:10" ht="14.25" customHeight="1">
      <c r="A84" s="29"/>
      <c r="B84" s="9" t="s">
        <v>236</v>
      </c>
      <c r="C84" s="8" t="s">
        <v>180</v>
      </c>
      <c r="D84" s="6" t="s">
        <v>418</v>
      </c>
      <c r="E84" s="3">
        <v>200000000</v>
      </c>
      <c r="F84" s="3">
        <v>0</v>
      </c>
      <c r="G84" s="26">
        <v>200000000</v>
      </c>
      <c r="H84" s="13">
        <v>0</v>
      </c>
      <c r="I84" s="7">
        <v>6.8</v>
      </c>
      <c r="J84" s="56" t="s">
        <v>212</v>
      </c>
    </row>
    <row r="85" spans="1:10" ht="14.25" customHeight="1">
      <c r="A85" s="29"/>
      <c r="B85" s="9" t="s">
        <v>236</v>
      </c>
      <c r="C85" s="5" t="s">
        <v>185</v>
      </c>
      <c r="D85" s="6" t="s">
        <v>423</v>
      </c>
      <c r="E85" s="3">
        <v>2114870889</v>
      </c>
      <c r="F85" s="3">
        <v>0</v>
      </c>
      <c r="G85" s="26">
        <v>2114870889</v>
      </c>
      <c r="H85" s="13">
        <v>0</v>
      </c>
      <c r="I85" s="7">
        <v>6.5</v>
      </c>
      <c r="J85" s="56" t="s">
        <v>239</v>
      </c>
    </row>
    <row r="86" spans="1:10" ht="14.25" customHeight="1">
      <c r="A86" s="29"/>
      <c r="B86" s="9" t="s">
        <v>236</v>
      </c>
      <c r="C86" s="8" t="s">
        <v>180</v>
      </c>
      <c r="D86" s="6" t="s">
        <v>423</v>
      </c>
      <c r="E86" s="3">
        <v>300000000</v>
      </c>
      <c r="F86" s="3">
        <v>0</v>
      </c>
      <c r="G86" s="26">
        <v>300000000</v>
      </c>
      <c r="H86" s="13">
        <v>0</v>
      </c>
      <c r="I86" s="7">
        <v>6.8</v>
      </c>
      <c r="J86" s="56" t="s">
        <v>212</v>
      </c>
    </row>
    <row r="87" spans="1:10" ht="14.25" customHeight="1">
      <c r="A87" s="29"/>
      <c r="B87" s="9" t="s">
        <v>241</v>
      </c>
      <c r="C87" s="5" t="s">
        <v>189</v>
      </c>
      <c r="D87" s="6" t="s">
        <v>424</v>
      </c>
      <c r="E87" s="3">
        <v>700000000</v>
      </c>
      <c r="F87" s="3">
        <v>0</v>
      </c>
      <c r="G87" s="26">
        <v>700000000</v>
      </c>
      <c r="H87" s="13">
        <v>0</v>
      </c>
      <c r="I87" s="7">
        <v>6.4</v>
      </c>
      <c r="J87" s="56" t="s">
        <v>219</v>
      </c>
    </row>
    <row r="88" spans="1:10" ht="14.25" customHeight="1">
      <c r="A88" s="31"/>
      <c r="B88" s="6">
        <v>47</v>
      </c>
      <c r="C88" s="5" t="s">
        <v>189</v>
      </c>
      <c r="D88" s="6" t="s">
        <v>425</v>
      </c>
      <c r="E88" s="3">
        <v>1361276000</v>
      </c>
      <c r="F88" s="3">
        <v>0</v>
      </c>
      <c r="G88" s="26">
        <v>1361276000</v>
      </c>
      <c r="H88" s="13">
        <v>0</v>
      </c>
      <c r="I88" s="7">
        <v>6.4</v>
      </c>
      <c r="J88" s="56" t="s">
        <v>219</v>
      </c>
    </row>
    <row r="89" spans="1:10" ht="14.25" customHeight="1">
      <c r="A89" s="29"/>
      <c r="B89" s="9" t="s">
        <v>241</v>
      </c>
      <c r="C89" s="8" t="s">
        <v>180</v>
      </c>
      <c r="D89" s="6" t="s">
        <v>426</v>
      </c>
      <c r="E89" s="3">
        <v>130000000</v>
      </c>
      <c r="F89" s="3">
        <v>0</v>
      </c>
      <c r="G89" s="26">
        <v>130000000</v>
      </c>
      <c r="H89" s="13">
        <v>0</v>
      </c>
      <c r="I89" s="7">
        <v>6.8</v>
      </c>
      <c r="J89" s="56" t="s">
        <v>212</v>
      </c>
    </row>
    <row r="90" spans="1:10" ht="14.25" customHeight="1">
      <c r="A90" s="29"/>
      <c r="B90" s="9" t="s">
        <v>241</v>
      </c>
      <c r="C90" s="8" t="s">
        <v>180</v>
      </c>
      <c r="D90" s="6" t="s">
        <v>427</v>
      </c>
      <c r="E90" s="3">
        <v>1280000000</v>
      </c>
      <c r="F90" s="3">
        <v>0</v>
      </c>
      <c r="G90" s="26">
        <v>1280000000</v>
      </c>
      <c r="H90" s="13">
        <v>0</v>
      </c>
      <c r="I90" s="7">
        <v>7</v>
      </c>
      <c r="J90" s="56" t="s">
        <v>188</v>
      </c>
    </row>
    <row r="91" spans="1:10" ht="14.25" customHeight="1">
      <c r="A91" s="29"/>
      <c r="B91" s="9" t="s">
        <v>241</v>
      </c>
      <c r="C91" s="5" t="s">
        <v>185</v>
      </c>
      <c r="D91" s="6" t="s">
        <v>428</v>
      </c>
      <c r="E91" s="3">
        <v>3053639000</v>
      </c>
      <c r="F91" s="3">
        <v>0</v>
      </c>
      <c r="G91" s="26">
        <v>3053639000</v>
      </c>
      <c r="H91" s="13">
        <v>0</v>
      </c>
      <c r="I91" s="7">
        <v>6.75</v>
      </c>
      <c r="J91" s="56" t="s">
        <v>242</v>
      </c>
    </row>
    <row r="92" spans="1:10" ht="14.25" customHeight="1">
      <c r="A92" s="29"/>
      <c r="B92" s="9" t="s">
        <v>243</v>
      </c>
      <c r="C92" s="5" t="s">
        <v>189</v>
      </c>
      <c r="D92" s="6" t="s">
        <v>429</v>
      </c>
      <c r="E92" s="3">
        <v>921935000</v>
      </c>
      <c r="F92" s="3">
        <v>0</v>
      </c>
      <c r="G92" s="26">
        <v>921935000</v>
      </c>
      <c r="H92" s="13">
        <v>0</v>
      </c>
      <c r="I92" s="7">
        <v>7.7</v>
      </c>
      <c r="J92" s="56" t="s">
        <v>228</v>
      </c>
    </row>
    <row r="93" spans="1:10" ht="14.25" customHeight="1">
      <c r="A93" s="29"/>
      <c r="B93" s="9" t="s">
        <v>243</v>
      </c>
      <c r="C93" s="5" t="s">
        <v>189</v>
      </c>
      <c r="D93" s="6" t="s">
        <v>430</v>
      </c>
      <c r="E93" s="3">
        <v>565354000</v>
      </c>
      <c r="F93" s="3">
        <v>0</v>
      </c>
      <c r="G93" s="26">
        <v>565354000</v>
      </c>
      <c r="H93" s="13">
        <v>0</v>
      </c>
      <c r="I93" s="7">
        <v>7.7</v>
      </c>
      <c r="J93" s="56" t="s">
        <v>228</v>
      </c>
    </row>
    <row r="94" spans="1:10" ht="14.25" customHeight="1">
      <c r="A94" s="29"/>
      <c r="B94" s="9" t="s">
        <v>243</v>
      </c>
      <c r="C94" s="5" t="s">
        <v>189</v>
      </c>
      <c r="D94" s="6" t="s">
        <v>431</v>
      </c>
      <c r="E94" s="3">
        <v>500000000</v>
      </c>
      <c r="F94" s="3">
        <v>0</v>
      </c>
      <c r="G94" s="26">
        <v>500000000</v>
      </c>
      <c r="H94" s="13">
        <v>0</v>
      </c>
      <c r="I94" s="7">
        <v>7.7</v>
      </c>
      <c r="J94" s="56" t="s">
        <v>228</v>
      </c>
    </row>
    <row r="95" spans="1:10" ht="14.25" customHeight="1">
      <c r="A95" s="29"/>
      <c r="B95" s="9" t="s">
        <v>243</v>
      </c>
      <c r="C95" s="8" t="s">
        <v>180</v>
      </c>
      <c r="D95" s="6" t="s">
        <v>432</v>
      </c>
      <c r="E95" s="3">
        <v>1546000000</v>
      </c>
      <c r="F95" s="3">
        <v>0</v>
      </c>
      <c r="G95" s="26">
        <v>1546000000</v>
      </c>
      <c r="H95" s="13">
        <v>0</v>
      </c>
      <c r="I95" s="7">
        <v>8.5</v>
      </c>
      <c r="J95" s="56" t="s">
        <v>194</v>
      </c>
    </row>
    <row r="96" spans="1:10" ht="14.25" customHeight="1">
      <c r="A96" s="29"/>
      <c r="B96" s="9" t="s">
        <v>243</v>
      </c>
      <c r="C96" s="5" t="s">
        <v>185</v>
      </c>
      <c r="D96" s="6" t="s">
        <v>433</v>
      </c>
      <c r="E96" s="3">
        <v>4283722000</v>
      </c>
      <c r="F96" s="3">
        <v>0</v>
      </c>
      <c r="G96" s="26">
        <v>4283722000</v>
      </c>
      <c r="H96" s="13">
        <v>0</v>
      </c>
      <c r="I96" s="7">
        <v>8</v>
      </c>
      <c r="J96" s="56" t="s">
        <v>244</v>
      </c>
    </row>
    <row r="97" spans="1:10" ht="14.25" customHeight="1">
      <c r="A97" s="29"/>
      <c r="B97" s="9" t="s">
        <v>245</v>
      </c>
      <c r="C97" s="5" t="s">
        <v>189</v>
      </c>
      <c r="D97" s="6" t="s">
        <v>434</v>
      </c>
      <c r="E97" s="3">
        <v>1341938000</v>
      </c>
      <c r="F97" s="3">
        <v>0</v>
      </c>
      <c r="G97" s="26">
        <v>1341938000</v>
      </c>
      <c r="H97" s="13">
        <v>0</v>
      </c>
      <c r="I97" s="7">
        <v>8.1999999999999993</v>
      </c>
      <c r="J97" s="56" t="s">
        <v>242</v>
      </c>
    </row>
    <row r="98" spans="1:10" ht="14.25" customHeight="1">
      <c r="A98" s="31"/>
      <c r="B98" s="9" t="s">
        <v>245</v>
      </c>
      <c r="C98" s="8" t="s">
        <v>180</v>
      </c>
      <c r="D98" s="6" t="s">
        <v>435</v>
      </c>
      <c r="E98" s="3">
        <v>1000000000</v>
      </c>
      <c r="F98" s="3">
        <v>0</v>
      </c>
      <c r="G98" s="26">
        <v>1000000000</v>
      </c>
      <c r="H98" s="13">
        <v>0</v>
      </c>
      <c r="I98" s="7">
        <v>9.1</v>
      </c>
      <c r="J98" s="56" t="s">
        <v>198</v>
      </c>
    </row>
    <row r="99" spans="1:10" ht="14.25" customHeight="1">
      <c r="A99" s="29"/>
      <c r="B99" s="9" t="s">
        <v>245</v>
      </c>
      <c r="C99" s="5" t="s">
        <v>189</v>
      </c>
      <c r="D99" s="6" t="s">
        <v>436</v>
      </c>
      <c r="E99" s="3">
        <v>1030000000</v>
      </c>
      <c r="F99" s="3">
        <v>0</v>
      </c>
      <c r="G99" s="26">
        <v>1030000000</v>
      </c>
      <c r="H99" s="13">
        <v>0</v>
      </c>
      <c r="I99" s="7">
        <v>8.1999999999999993</v>
      </c>
      <c r="J99" s="56" t="s">
        <v>242</v>
      </c>
    </row>
    <row r="100" spans="1:10" ht="14.25" customHeight="1">
      <c r="A100" s="31"/>
      <c r="B100" s="6" t="s">
        <v>437</v>
      </c>
      <c r="C100" s="8" t="s">
        <v>180</v>
      </c>
      <c r="D100" s="6" t="s">
        <v>438</v>
      </c>
      <c r="E100" s="3">
        <v>600000000</v>
      </c>
      <c r="F100" s="3">
        <v>0</v>
      </c>
      <c r="G100" s="26">
        <v>600000000</v>
      </c>
      <c r="H100" s="13">
        <v>0</v>
      </c>
      <c r="I100" s="7">
        <v>9.1</v>
      </c>
      <c r="J100" s="56" t="s">
        <v>198</v>
      </c>
    </row>
    <row r="101" spans="1:10" ht="14.25" customHeight="1">
      <c r="A101" s="31"/>
      <c r="B101" s="9">
        <v>49</v>
      </c>
      <c r="C101" s="5" t="s">
        <v>189</v>
      </c>
      <c r="D101" s="6" t="s">
        <v>439</v>
      </c>
      <c r="E101" s="3">
        <v>416040000</v>
      </c>
      <c r="F101" s="3">
        <v>0</v>
      </c>
      <c r="G101" s="26">
        <v>416040000</v>
      </c>
      <c r="H101" s="13">
        <v>0</v>
      </c>
      <c r="I101" s="7">
        <v>8.1999999999999993</v>
      </c>
      <c r="J101" s="56" t="s">
        <v>242</v>
      </c>
    </row>
    <row r="102" spans="1:10" ht="14.25" customHeight="1">
      <c r="A102" s="29"/>
      <c r="B102" s="9" t="s">
        <v>245</v>
      </c>
      <c r="C102" s="8" t="s">
        <v>180</v>
      </c>
      <c r="D102" s="6" t="s">
        <v>440</v>
      </c>
      <c r="E102" s="3">
        <v>310000000</v>
      </c>
      <c r="F102" s="3">
        <v>0</v>
      </c>
      <c r="G102" s="26">
        <v>310000000</v>
      </c>
      <c r="H102" s="13">
        <v>0</v>
      </c>
      <c r="I102" s="7">
        <v>9.1</v>
      </c>
      <c r="J102" s="56" t="s">
        <v>201</v>
      </c>
    </row>
    <row r="103" spans="1:10" ht="14.25" customHeight="1">
      <c r="A103" s="29"/>
      <c r="B103" s="9" t="s">
        <v>245</v>
      </c>
      <c r="C103" s="8" t="s">
        <v>180</v>
      </c>
      <c r="D103" s="6" t="s">
        <v>441</v>
      </c>
      <c r="E103" s="3">
        <v>2000000000</v>
      </c>
      <c r="F103" s="3">
        <v>0</v>
      </c>
      <c r="G103" s="26">
        <v>2000000000</v>
      </c>
      <c r="H103" s="13">
        <v>0</v>
      </c>
      <c r="I103" s="7">
        <v>8.6</v>
      </c>
      <c r="J103" s="56" t="s">
        <v>201</v>
      </c>
    </row>
    <row r="104" spans="1:10" ht="14.25" customHeight="1">
      <c r="A104" s="29"/>
      <c r="B104" s="9" t="s">
        <v>245</v>
      </c>
      <c r="C104" s="8" t="s">
        <v>180</v>
      </c>
      <c r="D104" s="6" t="s">
        <v>442</v>
      </c>
      <c r="E104" s="3">
        <v>1000000000</v>
      </c>
      <c r="F104" s="3">
        <v>0</v>
      </c>
      <c r="G104" s="26">
        <v>1000000000</v>
      </c>
      <c r="H104" s="13">
        <v>0</v>
      </c>
      <c r="I104" s="7">
        <v>8.6</v>
      </c>
      <c r="J104" s="56" t="s">
        <v>201</v>
      </c>
    </row>
    <row r="105" spans="1:10" ht="14.25" customHeight="1">
      <c r="A105" s="29"/>
      <c r="B105" s="9">
        <v>50</v>
      </c>
      <c r="C105" s="5" t="s">
        <v>189</v>
      </c>
      <c r="D105" s="6" t="s">
        <v>443</v>
      </c>
      <c r="E105" s="3">
        <v>1422752000</v>
      </c>
      <c r="F105" s="3">
        <v>0</v>
      </c>
      <c r="G105" s="26">
        <v>1422752000</v>
      </c>
      <c r="H105" s="13">
        <v>0</v>
      </c>
      <c r="I105" s="7">
        <v>7.7</v>
      </c>
      <c r="J105" s="32" t="s">
        <v>246</v>
      </c>
    </row>
    <row r="106" spans="1:10" ht="14.25" customHeight="1">
      <c r="A106" s="93"/>
      <c r="B106" s="9">
        <v>49</v>
      </c>
      <c r="C106" s="5" t="s">
        <v>185</v>
      </c>
      <c r="D106" s="6" t="s">
        <v>712</v>
      </c>
      <c r="E106" s="3">
        <v>13759150000</v>
      </c>
      <c r="F106" s="3">
        <v>0</v>
      </c>
      <c r="G106" s="3">
        <v>13759150000</v>
      </c>
      <c r="H106" s="13">
        <v>0</v>
      </c>
      <c r="I106" s="7">
        <v>7.5</v>
      </c>
      <c r="J106" s="96" t="s">
        <v>247</v>
      </c>
    </row>
    <row r="107" spans="1:10" ht="14.25" customHeight="1">
      <c r="A107" s="93"/>
      <c r="B107" s="9">
        <v>50</v>
      </c>
      <c r="C107" s="5" t="s">
        <v>189</v>
      </c>
      <c r="D107" s="6" t="s">
        <v>324</v>
      </c>
      <c r="E107" s="3">
        <v>1878457000</v>
      </c>
      <c r="F107" s="3">
        <v>0</v>
      </c>
      <c r="G107" s="3">
        <v>1878457000</v>
      </c>
      <c r="H107" s="13">
        <v>0</v>
      </c>
      <c r="I107" s="7">
        <v>7.7</v>
      </c>
      <c r="J107" s="96" t="s">
        <v>246</v>
      </c>
    </row>
    <row r="108" spans="1:10" ht="14.25" customHeight="1">
      <c r="A108" s="93"/>
      <c r="B108" s="9" t="s">
        <v>248</v>
      </c>
      <c r="C108" s="5" t="s">
        <v>189</v>
      </c>
      <c r="D108" s="6" t="s">
        <v>325</v>
      </c>
      <c r="E108" s="3">
        <v>2740000000</v>
      </c>
      <c r="F108" s="3">
        <v>0</v>
      </c>
      <c r="G108" s="3">
        <v>2740000000</v>
      </c>
      <c r="H108" s="13">
        <v>0</v>
      </c>
      <c r="I108" s="7">
        <v>7.7</v>
      </c>
      <c r="J108" s="96" t="s">
        <v>246</v>
      </c>
    </row>
    <row r="109" spans="1:10" ht="14.25" customHeight="1">
      <c r="A109" s="93"/>
      <c r="B109" s="9" t="s">
        <v>248</v>
      </c>
      <c r="C109" s="5" t="s">
        <v>185</v>
      </c>
      <c r="D109" s="6" t="s">
        <v>326</v>
      </c>
      <c r="E109" s="3">
        <v>7512771000</v>
      </c>
      <c r="F109" s="3">
        <v>0</v>
      </c>
      <c r="G109" s="3">
        <v>7512771000</v>
      </c>
      <c r="H109" s="13">
        <v>0</v>
      </c>
      <c r="I109" s="7">
        <v>7.5</v>
      </c>
      <c r="J109" s="96" t="s">
        <v>249</v>
      </c>
    </row>
    <row r="110" spans="1:10" ht="14.25" customHeight="1">
      <c r="A110" s="93"/>
      <c r="B110" s="9" t="s">
        <v>250</v>
      </c>
      <c r="C110" s="5" t="s">
        <v>189</v>
      </c>
      <c r="D110" s="6" t="s">
        <v>327</v>
      </c>
      <c r="E110" s="3">
        <v>2103702000</v>
      </c>
      <c r="F110" s="3">
        <v>0</v>
      </c>
      <c r="G110" s="3">
        <v>2103702000</v>
      </c>
      <c r="H110" s="13">
        <v>0</v>
      </c>
      <c r="I110" s="7">
        <v>7.7</v>
      </c>
      <c r="J110" s="96" t="s">
        <v>244</v>
      </c>
    </row>
    <row r="111" spans="1:10" ht="14.25" customHeight="1" thickBot="1">
      <c r="A111" s="94"/>
      <c r="B111" s="57" t="s">
        <v>250</v>
      </c>
      <c r="C111" s="58" t="s">
        <v>189</v>
      </c>
      <c r="D111" s="59" t="s">
        <v>328</v>
      </c>
      <c r="E111" s="21">
        <v>1485841000</v>
      </c>
      <c r="F111" s="21">
        <v>0</v>
      </c>
      <c r="G111" s="21">
        <v>1485841000</v>
      </c>
      <c r="H111" s="22">
        <v>0</v>
      </c>
      <c r="I111" s="60">
        <v>7.7</v>
      </c>
      <c r="J111" s="97" t="s">
        <v>244</v>
      </c>
    </row>
    <row r="112" spans="1:10" ht="9.75" customHeight="1" thickBot="1">
      <c r="A112" s="66"/>
      <c r="B112" s="67"/>
      <c r="C112" s="36"/>
      <c r="D112" s="68"/>
      <c r="E112" s="27"/>
      <c r="F112" s="27"/>
      <c r="G112" s="27"/>
      <c r="H112" s="28"/>
      <c r="I112" s="69"/>
      <c r="J112" s="70"/>
    </row>
    <row r="113" spans="1:10">
      <c r="A113" s="523" t="s">
        <v>403</v>
      </c>
      <c r="B113" s="515" t="s">
        <v>311</v>
      </c>
      <c r="C113" s="511" t="s">
        <v>404</v>
      </c>
      <c r="D113" s="515" t="s">
        <v>312</v>
      </c>
      <c r="E113" s="513" t="s">
        <v>352</v>
      </c>
      <c r="F113" s="519" t="s">
        <v>353</v>
      </c>
      <c r="G113" s="520"/>
      <c r="H113" s="494" t="s">
        <v>174</v>
      </c>
      <c r="I113" s="517" t="s">
        <v>354</v>
      </c>
      <c r="J113" s="521" t="s">
        <v>313</v>
      </c>
    </row>
    <row r="114" spans="1:10">
      <c r="A114" s="524"/>
      <c r="B114" s="516"/>
      <c r="C114" s="512"/>
      <c r="D114" s="516"/>
      <c r="E114" s="514"/>
      <c r="F114" s="40" t="s">
        <v>176</v>
      </c>
      <c r="G114" s="40" t="s">
        <v>305</v>
      </c>
      <c r="H114" s="495"/>
      <c r="I114" s="518"/>
      <c r="J114" s="522"/>
    </row>
    <row r="115" spans="1:10">
      <c r="A115" s="41"/>
      <c r="B115" s="42"/>
      <c r="C115" s="42"/>
      <c r="D115" s="43" t="s">
        <v>177</v>
      </c>
      <c r="E115" s="2" t="s">
        <v>178</v>
      </c>
      <c r="F115" s="2" t="s">
        <v>172</v>
      </c>
      <c r="G115" s="2" t="s">
        <v>178</v>
      </c>
      <c r="H115" s="44" t="s">
        <v>178</v>
      </c>
      <c r="I115" s="12" t="s">
        <v>355</v>
      </c>
      <c r="J115" s="45" t="s">
        <v>175</v>
      </c>
    </row>
    <row r="116" spans="1:10" ht="14.25" customHeight="1">
      <c r="A116" s="31" t="s">
        <v>240</v>
      </c>
      <c r="B116" s="9" t="s">
        <v>329</v>
      </c>
      <c r="C116" s="5" t="s">
        <v>189</v>
      </c>
      <c r="D116" s="6" t="s">
        <v>691</v>
      </c>
      <c r="E116" s="3">
        <v>4952879000</v>
      </c>
      <c r="F116" s="3">
        <v>0</v>
      </c>
      <c r="G116" s="3">
        <v>4952879000</v>
      </c>
      <c r="H116" s="13">
        <v>0</v>
      </c>
      <c r="I116" s="7">
        <v>7.7</v>
      </c>
      <c r="J116" s="56" t="s">
        <v>244</v>
      </c>
    </row>
    <row r="117" spans="1:10" ht="14.25" customHeight="1">
      <c r="A117" s="29" t="s">
        <v>182</v>
      </c>
      <c r="B117" s="9" t="s">
        <v>250</v>
      </c>
      <c r="C117" s="5" t="s">
        <v>189</v>
      </c>
      <c r="D117" s="6" t="s">
        <v>444</v>
      </c>
      <c r="E117" s="3">
        <v>700000000</v>
      </c>
      <c r="F117" s="3">
        <v>0</v>
      </c>
      <c r="G117" s="3">
        <v>700000000</v>
      </c>
      <c r="H117" s="13">
        <v>0</v>
      </c>
      <c r="I117" s="7">
        <v>6.95</v>
      </c>
      <c r="J117" s="56" t="s">
        <v>244</v>
      </c>
    </row>
    <row r="118" spans="1:10" ht="14.25" customHeight="1">
      <c r="A118" s="29"/>
      <c r="B118" s="9" t="s">
        <v>250</v>
      </c>
      <c r="C118" s="5" t="s">
        <v>189</v>
      </c>
      <c r="D118" s="6" t="s">
        <v>445</v>
      </c>
      <c r="E118" s="3">
        <v>700000000</v>
      </c>
      <c r="F118" s="3">
        <v>0</v>
      </c>
      <c r="G118" s="3">
        <v>700000000</v>
      </c>
      <c r="H118" s="13">
        <v>0</v>
      </c>
      <c r="I118" s="7">
        <v>6.95</v>
      </c>
      <c r="J118" s="56" t="s">
        <v>244</v>
      </c>
    </row>
    <row r="119" spans="1:10" ht="14.25" customHeight="1">
      <c r="A119" s="29"/>
      <c r="B119" s="9" t="s">
        <v>250</v>
      </c>
      <c r="C119" s="5" t="s">
        <v>189</v>
      </c>
      <c r="D119" s="6" t="s">
        <v>446</v>
      </c>
      <c r="E119" s="3">
        <v>2000000000</v>
      </c>
      <c r="F119" s="3">
        <v>0</v>
      </c>
      <c r="G119" s="3">
        <v>2000000000</v>
      </c>
      <c r="H119" s="13">
        <v>0</v>
      </c>
      <c r="I119" s="7">
        <v>6.95</v>
      </c>
      <c r="J119" s="56" t="s">
        <v>244</v>
      </c>
    </row>
    <row r="120" spans="1:10" ht="14.25" customHeight="1">
      <c r="A120" s="29"/>
      <c r="B120" s="9" t="s">
        <v>250</v>
      </c>
      <c r="C120" s="5" t="s">
        <v>189</v>
      </c>
      <c r="D120" s="6" t="s">
        <v>447</v>
      </c>
      <c r="E120" s="3">
        <v>410000000</v>
      </c>
      <c r="F120" s="3">
        <v>0</v>
      </c>
      <c r="G120" s="3">
        <v>410000000</v>
      </c>
      <c r="H120" s="13">
        <v>0</v>
      </c>
      <c r="I120" s="7">
        <v>6.95</v>
      </c>
      <c r="J120" s="56" t="s">
        <v>247</v>
      </c>
    </row>
    <row r="121" spans="1:10" ht="14.25" customHeight="1">
      <c r="A121" s="29"/>
      <c r="B121" s="9">
        <v>52</v>
      </c>
      <c r="C121" s="5" t="s">
        <v>189</v>
      </c>
      <c r="D121" s="6" t="s">
        <v>448</v>
      </c>
      <c r="E121" s="3">
        <v>906331000</v>
      </c>
      <c r="F121" s="3">
        <v>0</v>
      </c>
      <c r="G121" s="3">
        <v>906331000</v>
      </c>
      <c r="H121" s="13">
        <v>0</v>
      </c>
      <c r="I121" s="7">
        <v>6.7</v>
      </c>
      <c r="J121" s="32" t="s">
        <v>247</v>
      </c>
    </row>
    <row r="122" spans="1:10" ht="14.25" customHeight="1">
      <c r="A122" s="29"/>
      <c r="B122" s="9" t="s">
        <v>250</v>
      </c>
      <c r="C122" s="5" t="s">
        <v>185</v>
      </c>
      <c r="D122" s="6" t="s">
        <v>449</v>
      </c>
      <c r="E122" s="3">
        <v>3969362000</v>
      </c>
      <c r="F122" s="3">
        <v>0</v>
      </c>
      <c r="G122" s="3">
        <v>3969362000</v>
      </c>
      <c r="H122" s="13">
        <v>0</v>
      </c>
      <c r="I122" s="7">
        <v>6.5</v>
      </c>
      <c r="J122" s="56" t="s">
        <v>251</v>
      </c>
    </row>
    <row r="123" spans="1:10" ht="14.25" customHeight="1">
      <c r="A123" s="29"/>
      <c r="B123" s="9" t="s">
        <v>252</v>
      </c>
      <c r="C123" s="5" t="s">
        <v>189</v>
      </c>
      <c r="D123" s="6" t="s">
        <v>450</v>
      </c>
      <c r="E123" s="3">
        <v>1480274000</v>
      </c>
      <c r="F123" s="3">
        <v>0</v>
      </c>
      <c r="G123" s="3">
        <v>1480274000</v>
      </c>
      <c r="H123" s="13">
        <v>0</v>
      </c>
      <c r="I123" s="7">
        <v>6.7</v>
      </c>
      <c r="J123" s="56" t="s">
        <v>247</v>
      </c>
    </row>
    <row r="124" spans="1:10" ht="14.25" customHeight="1">
      <c r="A124" s="29"/>
      <c r="B124" s="9" t="s">
        <v>252</v>
      </c>
      <c r="C124" s="5" t="s">
        <v>189</v>
      </c>
      <c r="D124" s="6" t="s">
        <v>451</v>
      </c>
      <c r="E124" s="3">
        <v>700000000</v>
      </c>
      <c r="F124" s="3">
        <v>0</v>
      </c>
      <c r="G124" s="3">
        <v>700000000</v>
      </c>
      <c r="H124" s="13">
        <v>0</v>
      </c>
      <c r="I124" s="7">
        <v>6.25</v>
      </c>
      <c r="J124" s="56" t="s">
        <v>247</v>
      </c>
    </row>
    <row r="125" spans="1:10" ht="14.25" customHeight="1">
      <c r="A125" s="29"/>
      <c r="B125" s="9" t="s">
        <v>252</v>
      </c>
      <c r="C125" s="5" t="s">
        <v>189</v>
      </c>
      <c r="D125" s="6" t="s">
        <v>452</v>
      </c>
      <c r="E125" s="3">
        <v>2000000000</v>
      </c>
      <c r="F125" s="3">
        <v>0</v>
      </c>
      <c r="G125" s="3">
        <v>2000000000</v>
      </c>
      <c r="H125" s="13">
        <v>0</v>
      </c>
      <c r="I125" s="7">
        <v>6.25</v>
      </c>
      <c r="J125" s="56" t="s">
        <v>247</v>
      </c>
    </row>
    <row r="126" spans="1:10" ht="14.25" customHeight="1">
      <c r="A126" s="29"/>
      <c r="B126" s="9" t="s">
        <v>252</v>
      </c>
      <c r="C126" s="5" t="s">
        <v>189</v>
      </c>
      <c r="D126" s="6" t="s">
        <v>453</v>
      </c>
      <c r="E126" s="3">
        <v>800000000</v>
      </c>
      <c r="F126" s="3">
        <v>0</v>
      </c>
      <c r="G126" s="3">
        <v>800000000</v>
      </c>
      <c r="H126" s="13">
        <v>0</v>
      </c>
      <c r="I126" s="7">
        <v>6.25</v>
      </c>
      <c r="J126" s="56" t="s">
        <v>247</v>
      </c>
    </row>
    <row r="127" spans="1:10" ht="14.25" customHeight="1">
      <c r="A127" s="29"/>
      <c r="B127" s="9" t="s">
        <v>252</v>
      </c>
      <c r="C127" s="5" t="s">
        <v>189</v>
      </c>
      <c r="D127" s="6" t="s">
        <v>454</v>
      </c>
      <c r="E127" s="3">
        <v>2100000000</v>
      </c>
      <c r="F127" s="3">
        <v>0</v>
      </c>
      <c r="G127" s="3">
        <v>2100000000</v>
      </c>
      <c r="H127" s="13">
        <v>0</v>
      </c>
      <c r="I127" s="7">
        <v>6.25</v>
      </c>
      <c r="J127" s="56" t="s">
        <v>249</v>
      </c>
    </row>
    <row r="128" spans="1:10" ht="14.25" customHeight="1">
      <c r="A128" s="29"/>
      <c r="B128" s="9" t="s">
        <v>252</v>
      </c>
      <c r="C128" s="5" t="s">
        <v>189</v>
      </c>
      <c r="D128" s="6" t="s">
        <v>455</v>
      </c>
      <c r="E128" s="3">
        <v>800000000</v>
      </c>
      <c r="F128" s="3">
        <v>0</v>
      </c>
      <c r="G128" s="3">
        <v>800000000</v>
      </c>
      <c r="H128" s="13">
        <v>0</v>
      </c>
      <c r="I128" s="7">
        <v>6.25</v>
      </c>
      <c r="J128" s="56" t="s">
        <v>249</v>
      </c>
    </row>
    <row r="129" spans="1:10" ht="14.25" customHeight="1">
      <c r="A129" s="29"/>
      <c r="B129" s="9" t="s">
        <v>252</v>
      </c>
      <c r="C129" s="5" t="s">
        <v>185</v>
      </c>
      <c r="D129" s="6" t="s">
        <v>456</v>
      </c>
      <c r="E129" s="3">
        <v>1257999000</v>
      </c>
      <c r="F129" s="3">
        <v>0</v>
      </c>
      <c r="G129" s="3">
        <v>1257999000</v>
      </c>
      <c r="H129" s="13">
        <v>0</v>
      </c>
      <c r="I129" s="7">
        <v>6.05</v>
      </c>
      <c r="J129" s="56" t="s">
        <v>253</v>
      </c>
    </row>
    <row r="130" spans="1:10" ht="14.25" customHeight="1">
      <c r="A130" s="29"/>
      <c r="B130" s="9" t="s">
        <v>252</v>
      </c>
      <c r="C130" s="5" t="s">
        <v>189</v>
      </c>
      <c r="D130" s="6" t="s">
        <v>456</v>
      </c>
      <c r="E130" s="3">
        <v>1525000000</v>
      </c>
      <c r="F130" s="3">
        <v>0</v>
      </c>
      <c r="G130" s="3">
        <v>1525000000</v>
      </c>
      <c r="H130" s="13">
        <v>0</v>
      </c>
      <c r="I130" s="7">
        <v>6.25</v>
      </c>
      <c r="J130" s="56" t="s">
        <v>249</v>
      </c>
    </row>
    <row r="131" spans="1:10" ht="14.25" customHeight="1">
      <c r="A131" s="29"/>
      <c r="B131" s="9" t="s">
        <v>254</v>
      </c>
      <c r="C131" s="5" t="s">
        <v>189</v>
      </c>
      <c r="D131" s="6" t="s">
        <v>457</v>
      </c>
      <c r="E131" s="3">
        <v>1000000000</v>
      </c>
      <c r="F131" s="3">
        <v>0</v>
      </c>
      <c r="G131" s="3">
        <v>1000000000</v>
      </c>
      <c r="H131" s="13">
        <v>0</v>
      </c>
      <c r="I131" s="7">
        <v>6.25</v>
      </c>
      <c r="J131" s="56" t="s">
        <v>249</v>
      </c>
    </row>
    <row r="132" spans="1:10" ht="14.25" customHeight="1">
      <c r="A132" s="31"/>
      <c r="B132" s="6" t="s">
        <v>255</v>
      </c>
      <c r="C132" s="5" t="s">
        <v>189</v>
      </c>
      <c r="D132" s="6" t="s">
        <v>458</v>
      </c>
      <c r="E132" s="3">
        <v>1000000000</v>
      </c>
      <c r="F132" s="3">
        <v>0</v>
      </c>
      <c r="G132" s="3">
        <v>1000000000</v>
      </c>
      <c r="H132" s="13">
        <v>0</v>
      </c>
      <c r="I132" s="7">
        <v>6.25</v>
      </c>
      <c r="J132" s="56" t="s">
        <v>249</v>
      </c>
    </row>
    <row r="133" spans="1:10" ht="14.25" customHeight="1">
      <c r="A133" s="29"/>
      <c r="B133" s="9" t="s">
        <v>254</v>
      </c>
      <c r="C133" s="5" t="s">
        <v>189</v>
      </c>
      <c r="D133" s="6" t="s">
        <v>459</v>
      </c>
      <c r="E133" s="3">
        <v>1000000000</v>
      </c>
      <c r="F133" s="3">
        <v>0</v>
      </c>
      <c r="G133" s="3">
        <v>1000000000</v>
      </c>
      <c r="H133" s="13">
        <v>0</v>
      </c>
      <c r="I133" s="7">
        <v>6.15</v>
      </c>
      <c r="J133" s="56" t="s">
        <v>249</v>
      </c>
    </row>
    <row r="134" spans="1:10" ht="14.25" customHeight="1">
      <c r="A134" s="29"/>
      <c r="B134" s="9" t="s">
        <v>254</v>
      </c>
      <c r="C134" s="5" t="s">
        <v>189</v>
      </c>
      <c r="D134" s="6" t="s">
        <v>460</v>
      </c>
      <c r="E134" s="3">
        <v>1000000000</v>
      </c>
      <c r="F134" s="3">
        <v>0</v>
      </c>
      <c r="G134" s="3">
        <v>1000000000</v>
      </c>
      <c r="H134" s="13">
        <v>0</v>
      </c>
      <c r="I134" s="7">
        <v>6.75</v>
      </c>
      <c r="J134" s="56" t="s">
        <v>249</v>
      </c>
    </row>
    <row r="135" spans="1:10" ht="14.25" customHeight="1">
      <c r="A135" s="29"/>
      <c r="B135" s="9" t="s">
        <v>254</v>
      </c>
      <c r="C135" s="5" t="s">
        <v>189</v>
      </c>
      <c r="D135" s="6" t="s">
        <v>461</v>
      </c>
      <c r="E135" s="3">
        <v>3722000000</v>
      </c>
      <c r="F135" s="3">
        <v>0</v>
      </c>
      <c r="G135" s="3">
        <v>3722000000</v>
      </c>
      <c r="H135" s="13">
        <v>0</v>
      </c>
      <c r="I135" s="7">
        <v>7.25</v>
      </c>
      <c r="J135" s="56" t="s">
        <v>251</v>
      </c>
    </row>
    <row r="136" spans="1:10" ht="14.25" customHeight="1">
      <c r="A136" s="29"/>
      <c r="B136" s="9" t="s">
        <v>254</v>
      </c>
      <c r="C136" s="5" t="s">
        <v>185</v>
      </c>
      <c r="D136" s="6" t="s">
        <v>462</v>
      </c>
      <c r="E136" s="3">
        <v>2078000000</v>
      </c>
      <c r="F136" s="3">
        <v>0</v>
      </c>
      <c r="G136" s="3">
        <v>2078000000</v>
      </c>
      <c r="H136" s="13">
        <v>0</v>
      </c>
      <c r="I136" s="7">
        <v>7.15</v>
      </c>
      <c r="J136" s="56" t="s">
        <v>256</v>
      </c>
    </row>
    <row r="137" spans="1:10" ht="14.25" customHeight="1">
      <c r="A137" s="29"/>
      <c r="B137" s="9" t="s">
        <v>257</v>
      </c>
      <c r="C137" s="5" t="s">
        <v>189</v>
      </c>
      <c r="D137" s="6" t="s">
        <v>463</v>
      </c>
      <c r="E137" s="3">
        <v>3300000000</v>
      </c>
      <c r="F137" s="3">
        <v>0</v>
      </c>
      <c r="G137" s="3">
        <v>3300000000</v>
      </c>
      <c r="H137" s="13">
        <v>0</v>
      </c>
      <c r="I137" s="7">
        <v>7.25</v>
      </c>
      <c r="J137" s="56" t="s">
        <v>251</v>
      </c>
    </row>
    <row r="138" spans="1:10" ht="14.25" customHeight="1">
      <c r="A138" s="29"/>
      <c r="B138" s="9" t="s">
        <v>257</v>
      </c>
      <c r="C138" s="5" t="s">
        <v>189</v>
      </c>
      <c r="D138" s="6" t="s">
        <v>464</v>
      </c>
      <c r="E138" s="3">
        <v>1000000000</v>
      </c>
      <c r="F138" s="3">
        <v>0</v>
      </c>
      <c r="G138" s="3">
        <v>1000000000</v>
      </c>
      <c r="H138" s="13">
        <v>0</v>
      </c>
      <c r="I138" s="7">
        <v>8.6</v>
      </c>
      <c r="J138" s="56" t="s">
        <v>465</v>
      </c>
    </row>
    <row r="139" spans="1:10" ht="14.25" customHeight="1">
      <c r="A139" s="29"/>
      <c r="B139" s="9" t="s">
        <v>257</v>
      </c>
      <c r="C139" s="5" t="s">
        <v>189</v>
      </c>
      <c r="D139" s="6" t="s">
        <v>466</v>
      </c>
      <c r="E139" s="3">
        <v>2500000000</v>
      </c>
      <c r="F139" s="3">
        <v>0</v>
      </c>
      <c r="G139" s="3">
        <v>2500000000</v>
      </c>
      <c r="H139" s="13">
        <v>0</v>
      </c>
      <c r="I139" s="7">
        <v>8.6</v>
      </c>
      <c r="J139" s="56" t="s">
        <v>467</v>
      </c>
    </row>
    <row r="140" spans="1:10" ht="14.25" customHeight="1">
      <c r="A140" s="29"/>
      <c r="B140" s="9" t="s">
        <v>257</v>
      </c>
      <c r="C140" s="5" t="s">
        <v>185</v>
      </c>
      <c r="D140" s="6" t="s">
        <v>468</v>
      </c>
      <c r="E140" s="3">
        <v>1550704816</v>
      </c>
      <c r="F140" s="3">
        <v>0</v>
      </c>
      <c r="G140" s="3">
        <v>1550704816</v>
      </c>
      <c r="H140" s="13">
        <v>0</v>
      </c>
      <c r="I140" s="7">
        <v>8</v>
      </c>
      <c r="J140" s="56" t="s">
        <v>469</v>
      </c>
    </row>
    <row r="141" spans="1:10" ht="14.25" customHeight="1">
      <c r="A141" s="29"/>
      <c r="B141" s="9" t="s">
        <v>257</v>
      </c>
      <c r="C141" s="5" t="s">
        <v>189</v>
      </c>
      <c r="D141" s="6" t="s">
        <v>470</v>
      </c>
      <c r="E141" s="3">
        <v>2579000000</v>
      </c>
      <c r="F141" s="3">
        <v>0</v>
      </c>
      <c r="G141" s="3">
        <v>2579000000</v>
      </c>
      <c r="H141" s="13">
        <v>0</v>
      </c>
      <c r="I141" s="7">
        <v>8.1</v>
      </c>
      <c r="J141" s="56" t="s">
        <v>253</v>
      </c>
    </row>
    <row r="142" spans="1:10" ht="14.25" customHeight="1">
      <c r="A142" s="29"/>
      <c r="B142" s="9" t="s">
        <v>258</v>
      </c>
      <c r="C142" s="5" t="s">
        <v>189</v>
      </c>
      <c r="D142" s="6" t="s">
        <v>471</v>
      </c>
      <c r="E142" s="3">
        <v>3500000000</v>
      </c>
      <c r="F142" s="3">
        <v>0</v>
      </c>
      <c r="G142" s="3">
        <v>3500000000</v>
      </c>
      <c r="H142" s="13">
        <v>0</v>
      </c>
      <c r="I142" s="7">
        <v>8.1</v>
      </c>
      <c r="J142" s="56" t="s">
        <v>465</v>
      </c>
    </row>
    <row r="143" spans="1:10" ht="14.25" customHeight="1">
      <c r="A143" s="29"/>
      <c r="B143" s="9" t="s">
        <v>258</v>
      </c>
      <c r="C143" s="5" t="s">
        <v>189</v>
      </c>
      <c r="D143" s="6" t="s">
        <v>472</v>
      </c>
      <c r="E143" s="3">
        <v>1000000000</v>
      </c>
      <c r="F143" s="3">
        <v>0</v>
      </c>
      <c r="G143" s="3">
        <v>1000000000</v>
      </c>
      <c r="H143" s="13">
        <v>0</v>
      </c>
      <c r="I143" s="7">
        <v>7.6</v>
      </c>
      <c r="J143" s="56" t="s">
        <v>253</v>
      </c>
    </row>
    <row r="144" spans="1:10" ht="14.25" customHeight="1">
      <c r="A144" s="29"/>
      <c r="B144" s="9" t="s">
        <v>258</v>
      </c>
      <c r="C144" s="5" t="s">
        <v>189</v>
      </c>
      <c r="D144" s="6" t="s">
        <v>473</v>
      </c>
      <c r="E144" s="3">
        <v>882000000</v>
      </c>
      <c r="F144" s="3">
        <v>0</v>
      </c>
      <c r="G144" s="3">
        <v>882000000</v>
      </c>
      <c r="H144" s="13">
        <v>0</v>
      </c>
      <c r="I144" s="7">
        <v>7.6</v>
      </c>
      <c r="J144" s="56" t="s">
        <v>256</v>
      </c>
    </row>
    <row r="145" spans="1:10" ht="14.25" customHeight="1">
      <c r="A145" s="29"/>
      <c r="B145" s="9" t="s">
        <v>258</v>
      </c>
      <c r="C145" s="5" t="s">
        <v>185</v>
      </c>
      <c r="D145" s="6" t="s">
        <v>474</v>
      </c>
      <c r="E145" s="3">
        <v>2385295998</v>
      </c>
      <c r="F145" s="3">
        <v>0</v>
      </c>
      <c r="G145" s="3">
        <v>2385295998</v>
      </c>
      <c r="H145" s="13">
        <v>0</v>
      </c>
      <c r="I145" s="7">
        <v>7.5</v>
      </c>
      <c r="J145" s="56" t="s">
        <v>469</v>
      </c>
    </row>
    <row r="146" spans="1:10" ht="14.25" customHeight="1">
      <c r="A146" s="29"/>
      <c r="B146" s="9" t="s">
        <v>259</v>
      </c>
      <c r="C146" s="5" t="s">
        <v>189</v>
      </c>
      <c r="D146" s="6" t="s">
        <v>475</v>
      </c>
      <c r="E146" s="3">
        <v>3800000000</v>
      </c>
      <c r="F146" s="3">
        <v>0</v>
      </c>
      <c r="G146" s="3">
        <v>3800000000</v>
      </c>
      <c r="H146" s="13">
        <v>0</v>
      </c>
      <c r="I146" s="7">
        <v>7.4</v>
      </c>
      <c r="J146" s="56" t="s">
        <v>476</v>
      </c>
    </row>
    <row r="147" spans="1:10" ht="14.25" customHeight="1">
      <c r="A147" s="31"/>
      <c r="B147" s="6" t="s">
        <v>477</v>
      </c>
      <c r="C147" s="5" t="s">
        <v>189</v>
      </c>
      <c r="D147" s="6" t="s">
        <v>478</v>
      </c>
      <c r="E147" s="3">
        <v>527000000</v>
      </c>
      <c r="F147" s="3">
        <v>0</v>
      </c>
      <c r="G147" s="3">
        <v>527000000</v>
      </c>
      <c r="H147" s="13">
        <v>0</v>
      </c>
      <c r="I147" s="7">
        <v>7.4</v>
      </c>
      <c r="J147" s="56" t="s">
        <v>479</v>
      </c>
    </row>
    <row r="148" spans="1:10" ht="14.25" customHeight="1">
      <c r="A148" s="29"/>
      <c r="B148" s="9" t="s">
        <v>259</v>
      </c>
      <c r="C148" s="5" t="s">
        <v>185</v>
      </c>
      <c r="D148" s="6" t="s">
        <v>480</v>
      </c>
      <c r="E148" s="3">
        <v>2101596178</v>
      </c>
      <c r="F148" s="3">
        <v>0</v>
      </c>
      <c r="G148" s="3">
        <v>2101596178</v>
      </c>
      <c r="H148" s="13">
        <v>0</v>
      </c>
      <c r="I148" s="7">
        <v>7.3</v>
      </c>
      <c r="J148" s="56" t="s">
        <v>469</v>
      </c>
    </row>
    <row r="149" spans="1:10" ht="14.25" customHeight="1">
      <c r="A149" s="29"/>
      <c r="B149" s="9">
        <v>54</v>
      </c>
      <c r="C149" s="5" t="s">
        <v>163</v>
      </c>
      <c r="D149" s="6" t="s">
        <v>321</v>
      </c>
      <c r="E149" s="3">
        <v>1020295184</v>
      </c>
      <c r="F149" s="3">
        <v>0</v>
      </c>
      <c r="G149" s="3">
        <v>1020295184</v>
      </c>
      <c r="H149" s="13">
        <v>0</v>
      </c>
      <c r="I149" s="7">
        <v>8</v>
      </c>
      <c r="J149" s="56" t="s">
        <v>713</v>
      </c>
    </row>
    <row r="150" spans="1:10" ht="14.25" customHeight="1">
      <c r="A150" s="29"/>
      <c r="B150" s="9">
        <v>55</v>
      </c>
      <c r="C150" s="5" t="s">
        <v>163</v>
      </c>
      <c r="D150" s="6" t="s">
        <v>714</v>
      </c>
      <c r="E150" s="3">
        <v>1862704002</v>
      </c>
      <c r="F150" s="3">
        <v>0</v>
      </c>
      <c r="G150" s="3">
        <v>1862704002</v>
      </c>
      <c r="H150" s="13">
        <v>0</v>
      </c>
      <c r="I150" s="7">
        <v>7.5</v>
      </c>
      <c r="J150" s="56" t="s">
        <v>713</v>
      </c>
    </row>
    <row r="151" spans="1:10" ht="14.25" customHeight="1">
      <c r="A151" s="31"/>
      <c r="B151" s="9">
        <v>56</v>
      </c>
      <c r="C151" s="5" t="s">
        <v>163</v>
      </c>
      <c r="D151" s="9" t="s">
        <v>714</v>
      </c>
      <c r="E151" s="3">
        <v>1944403822</v>
      </c>
      <c r="F151" s="3">
        <v>0</v>
      </c>
      <c r="G151" s="3">
        <v>1944403822</v>
      </c>
      <c r="H151" s="13">
        <v>0</v>
      </c>
      <c r="I151" s="7">
        <v>7.3</v>
      </c>
      <c r="J151" s="56" t="s">
        <v>713</v>
      </c>
    </row>
    <row r="152" spans="1:10" ht="14.25" customHeight="1">
      <c r="A152" s="29"/>
      <c r="B152" s="6" t="s">
        <v>715</v>
      </c>
      <c r="C152" s="5" t="s">
        <v>189</v>
      </c>
      <c r="D152" s="9" t="s">
        <v>716</v>
      </c>
      <c r="E152" s="3">
        <v>215000000</v>
      </c>
      <c r="F152" s="3">
        <v>27843955</v>
      </c>
      <c r="G152" s="3">
        <v>215000000</v>
      </c>
      <c r="H152" s="13">
        <v>0</v>
      </c>
      <c r="I152" s="7">
        <v>2.0499999999999998</v>
      </c>
      <c r="J152" s="56" t="s">
        <v>717</v>
      </c>
    </row>
    <row r="153" spans="1:10" ht="14.25" customHeight="1">
      <c r="A153" s="29"/>
      <c r="B153" s="6">
        <v>17</v>
      </c>
      <c r="C153" s="5" t="s">
        <v>189</v>
      </c>
      <c r="D153" s="9" t="s">
        <v>716</v>
      </c>
      <c r="E153" s="3">
        <v>634000000</v>
      </c>
      <c r="F153" s="3">
        <v>82107292</v>
      </c>
      <c r="G153" s="3">
        <v>634000000</v>
      </c>
      <c r="H153" s="13">
        <v>0</v>
      </c>
      <c r="I153" s="7">
        <v>2.0499999999999998</v>
      </c>
      <c r="J153" s="56" t="s">
        <v>717</v>
      </c>
    </row>
    <row r="154" spans="1:10" ht="14.25" customHeight="1">
      <c r="A154" s="29"/>
      <c r="B154" s="6">
        <v>17</v>
      </c>
      <c r="C154" s="5" t="s">
        <v>189</v>
      </c>
      <c r="D154" s="9" t="s">
        <v>716</v>
      </c>
      <c r="E154" s="3">
        <v>596000000</v>
      </c>
      <c r="F154" s="3">
        <v>77186034</v>
      </c>
      <c r="G154" s="3">
        <v>596000000</v>
      </c>
      <c r="H154" s="13">
        <v>0</v>
      </c>
      <c r="I154" s="7">
        <v>2.0499999999999998</v>
      </c>
      <c r="J154" s="56" t="s">
        <v>717</v>
      </c>
    </row>
    <row r="155" spans="1:10" ht="14.25" customHeight="1">
      <c r="A155" s="29"/>
      <c r="B155" s="6">
        <v>17</v>
      </c>
      <c r="C155" s="5" t="s">
        <v>189</v>
      </c>
      <c r="D155" s="9" t="s">
        <v>716</v>
      </c>
      <c r="E155" s="3">
        <v>981000000</v>
      </c>
      <c r="F155" s="3">
        <v>202211075</v>
      </c>
      <c r="G155" s="3">
        <v>878337323</v>
      </c>
      <c r="H155" s="13">
        <v>102662677</v>
      </c>
      <c r="I155" s="7">
        <v>2.0499999999999998</v>
      </c>
      <c r="J155" s="56" t="s">
        <v>718</v>
      </c>
    </row>
    <row r="156" spans="1:10" ht="14.25" customHeight="1">
      <c r="A156" s="29"/>
      <c r="B156" s="6">
        <v>18</v>
      </c>
      <c r="C156" s="5" t="s">
        <v>189</v>
      </c>
      <c r="D156" s="9" t="s">
        <v>719</v>
      </c>
      <c r="E156" s="3">
        <v>26300000</v>
      </c>
      <c r="F156" s="3">
        <v>0</v>
      </c>
      <c r="G156" s="3">
        <v>26300000</v>
      </c>
      <c r="H156" s="13">
        <v>0</v>
      </c>
      <c r="I156" s="7">
        <v>2.5499999999999998</v>
      </c>
      <c r="J156" s="56" t="s">
        <v>720</v>
      </c>
    </row>
    <row r="157" spans="1:10" ht="14.25" customHeight="1">
      <c r="A157" s="29"/>
      <c r="B157" s="6">
        <v>18</v>
      </c>
      <c r="C157" s="5" t="s">
        <v>189</v>
      </c>
      <c r="D157" s="9" t="s">
        <v>719</v>
      </c>
      <c r="E157" s="3">
        <v>201100000</v>
      </c>
      <c r="F157" s="3">
        <v>0</v>
      </c>
      <c r="G157" s="3">
        <v>201100000</v>
      </c>
      <c r="H157" s="13">
        <v>0</v>
      </c>
      <c r="I157" s="7">
        <v>2.5499999999999998</v>
      </c>
      <c r="J157" s="56" t="s">
        <v>720</v>
      </c>
    </row>
    <row r="158" spans="1:10" ht="14.25" customHeight="1">
      <c r="A158" s="29"/>
      <c r="B158" s="6">
        <v>18</v>
      </c>
      <c r="C158" s="5" t="s">
        <v>189</v>
      </c>
      <c r="D158" s="9" t="s">
        <v>351</v>
      </c>
      <c r="E158" s="3">
        <v>209100000</v>
      </c>
      <c r="F158" s="3">
        <v>35963070</v>
      </c>
      <c r="G158" s="3">
        <v>209100000</v>
      </c>
      <c r="H158" s="13">
        <v>0</v>
      </c>
      <c r="I158" s="7">
        <v>2.5499999999999998</v>
      </c>
      <c r="J158" s="56" t="s">
        <v>256</v>
      </c>
    </row>
    <row r="159" spans="1:10" ht="14.25" customHeight="1">
      <c r="A159" s="29"/>
      <c r="B159" s="6">
        <v>19</v>
      </c>
      <c r="C159" s="5" t="s">
        <v>721</v>
      </c>
      <c r="D159" s="9" t="s">
        <v>722</v>
      </c>
      <c r="E159" s="3">
        <v>544100000</v>
      </c>
      <c r="F159" s="3">
        <v>275295014</v>
      </c>
      <c r="G159" s="3">
        <v>544100000</v>
      </c>
      <c r="H159" s="13">
        <v>0</v>
      </c>
      <c r="I159" s="7">
        <v>2.4</v>
      </c>
      <c r="J159" s="56" t="s">
        <v>723</v>
      </c>
    </row>
    <row r="160" spans="1:10" ht="14.25" customHeight="1">
      <c r="A160" s="29"/>
      <c r="B160" s="6">
        <v>19</v>
      </c>
      <c r="C160" s="5" t="s">
        <v>721</v>
      </c>
      <c r="D160" s="9" t="s">
        <v>722</v>
      </c>
      <c r="E160" s="3">
        <v>92100000</v>
      </c>
      <c r="F160" s="3">
        <v>37055767</v>
      </c>
      <c r="G160" s="3">
        <v>73237951</v>
      </c>
      <c r="H160" s="13">
        <v>18862049</v>
      </c>
      <c r="I160" s="7">
        <v>2.4</v>
      </c>
      <c r="J160" s="56" t="s">
        <v>724</v>
      </c>
    </row>
    <row r="161" spans="1:10" ht="17.25" customHeight="1">
      <c r="A161" s="51" t="s">
        <v>725</v>
      </c>
      <c r="B161" s="14"/>
      <c r="C161" s="15"/>
      <c r="D161" s="16"/>
      <c r="E161" s="17">
        <v>124568706889</v>
      </c>
      <c r="F161" s="17">
        <v>737662207</v>
      </c>
      <c r="G161" s="17">
        <v>124447182163</v>
      </c>
      <c r="H161" s="17">
        <v>121524726</v>
      </c>
      <c r="I161" s="19"/>
      <c r="J161" s="52"/>
    </row>
    <row r="162" spans="1:10" ht="14.25" customHeight="1">
      <c r="A162" s="31" t="s">
        <v>726</v>
      </c>
      <c r="B162" s="6" t="s">
        <v>727</v>
      </c>
      <c r="C162" s="8" t="s">
        <v>184</v>
      </c>
      <c r="D162" s="6" t="s">
        <v>728</v>
      </c>
      <c r="E162" s="3">
        <v>60000000</v>
      </c>
      <c r="F162" s="3">
        <v>0</v>
      </c>
      <c r="G162" s="3">
        <v>60000000</v>
      </c>
      <c r="H162" s="13">
        <v>0</v>
      </c>
      <c r="I162" s="7">
        <v>7.1</v>
      </c>
      <c r="J162" s="56" t="s">
        <v>209</v>
      </c>
    </row>
    <row r="163" spans="1:10" ht="14.25" customHeight="1">
      <c r="A163" s="29" t="s">
        <v>729</v>
      </c>
      <c r="B163" s="9">
        <v>45</v>
      </c>
      <c r="C163" s="5" t="s">
        <v>185</v>
      </c>
      <c r="D163" s="6" t="s">
        <v>730</v>
      </c>
      <c r="E163" s="3">
        <v>340000000</v>
      </c>
      <c r="F163" s="3">
        <v>0</v>
      </c>
      <c r="G163" s="3">
        <v>340000000</v>
      </c>
      <c r="H163" s="13">
        <v>0</v>
      </c>
      <c r="I163" s="7">
        <v>6.5</v>
      </c>
      <c r="J163" s="56" t="s">
        <v>235</v>
      </c>
    </row>
    <row r="164" spans="1:10" ht="14.25" customHeight="1">
      <c r="A164" s="29"/>
      <c r="B164" s="9">
        <v>46</v>
      </c>
      <c r="C164" s="5" t="s">
        <v>189</v>
      </c>
      <c r="D164" s="6" t="s">
        <v>731</v>
      </c>
      <c r="E164" s="3">
        <v>100000000</v>
      </c>
      <c r="F164" s="3">
        <v>0</v>
      </c>
      <c r="G164" s="3">
        <v>100000000</v>
      </c>
      <c r="H164" s="13">
        <v>0</v>
      </c>
      <c r="I164" s="7">
        <v>6.7</v>
      </c>
      <c r="J164" s="56" t="s">
        <v>237</v>
      </c>
    </row>
    <row r="165" spans="1:10" ht="14.25" customHeight="1">
      <c r="A165" s="29"/>
      <c r="B165" s="9">
        <v>46</v>
      </c>
      <c r="C165" s="5" t="s">
        <v>189</v>
      </c>
      <c r="D165" s="6" t="s">
        <v>732</v>
      </c>
      <c r="E165" s="3">
        <v>107000000</v>
      </c>
      <c r="F165" s="3">
        <v>0</v>
      </c>
      <c r="G165" s="3">
        <v>107000000</v>
      </c>
      <c r="H165" s="13">
        <v>0</v>
      </c>
      <c r="I165" s="7">
        <v>6.7</v>
      </c>
      <c r="J165" s="56" t="s">
        <v>237</v>
      </c>
    </row>
    <row r="166" spans="1:10" ht="14.25" customHeight="1">
      <c r="A166" s="29"/>
      <c r="B166" s="9">
        <v>46</v>
      </c>
      <c r="C166" s="5" t="s">
        <v>185</v>
      </c>
      <c r="D166" s="6" t="s">
        <v>331</v>
      </c>
      <c r="E166" s="3">
        <v>238000000</v>
      </c>
      <c r="F166" s="3">
        <v>0</v>
      </c>
      <c r="G166" s="3">
        <v>238000000</v>
      </c>
      <c r="H166" s="13">
        <v>0</v>
      </c>
      <c r="I166" s="7">
        <v>6.5</v>
      </c>
      <c r="J166" s="56" t="s">
        <v>239</v>
      </c>
    </row>
    <row r="167" spans="1:10" ht="14.25" customHeight="1">
      <c r="A167" s="29"/>
      <c r="B167" s="9">
        <v>46</v>
      </c>
      <c r="C167" s="5" t="s">
        <v>180</v>
      </c>
      <c r="D167" s="6" t="s">
        <v>331</v>
      </c>
      <c r="E167" s="3">
        <v>250000000</v>
      </c>
      <c r="F167" s="3">
        <v>0</v>
      </c>
      <c r="G167" s="3">
        <v>250000000</v>
      </c>
      <c r="H167" s="13">
        <v>0</v>
      </c>
      <c r="I167" s="7">
        <v>6.8</v>
      </c>
      <c r="J167" s="56" t="s">
        <v>212</v>
      </c>
    </row>
    <row r="168" spans="1:10" ht="14.25" customHeight="1">
      <c r="A168" s="29"/>
      <c r="B168" s="9">
        <v>47</v>
      </c>
      <c r="C168" s="5" t="s">
        <v>189</v>
      </c>
      <c r="D168" s="6" t="s">
        <v>332</v>
      </c>
      <c r="E168" s="3">
        <v>280000000</v>
      </c>
      <c r="F168" s="3">
        <v>0</v>
      </c>
      <c r="G168" s="3">
        <v>280000000</v>
      </c>
      <c r="H168" s="13">
        <v>0</v>
      </c>
      <c r="I168" s="7">
        <v>6.4</v>
      </c>
      <c r="J168" s="56" t="s">
        <v>219</v>
      </c>
    </row>
    <row r="169" spans="1:10" ht="14.25" customHeight="1" thickBot="1">
      <c r="A169" s="30"/>
      <c r="B169" s="57">
        <v>47</v>
      </c>
      <c r="C169" s="58" t="s">
        <v>180</v>
      </c>
      <c r="D169" s="59" t="s">
        <v>333</v>
      </c>
      <c r="E169" s="21">
        <v>340000000</v>
      </c>
      <c r="F169" s="21">
        <v>0</v>
      </c>
      <c r="G169" s="21">
        <v>340000000</v>
      </c>
      <c r="H169" s="22">
        <v>0</v>
      </c>
      <c r="I169" s="60">
        <v>7</v>
      </c>
      <c r="J169" s="61" t="s">
        <v>188</v>
      </c>
    </row>
    <row r="170" spans="1:10" ht="9.75" customHeight="1" thickBot="1">
      <c r="A170" s="36"/>
      <c r="B170" s="67"/>
      <c r="C170" s="36"/>
      <c r="D170" s="68"/>
      <c r="E170" s="27"/>
      <c r="F170" s="27"/>
      <c r="G170" s="27"/>
      <c r="H170" s="28"/>
      <c r="I170" s="69"/>
      <c r="J170" s="70"/>
    </row>
    <row r="171" spans="1:10">
      <c r="A171" s="523" t="s">
        <v>733</v>
      </c>
      <c r="B171" s="515" t="s">
        <v>311</v>
      </c>
      <c r="C171" s="511" t="s">
        <v>734</v>
      </c>
      <c r="D171" s="515" t="s">
        <v>312</v>
      </c>
      <c r="E171" s="513" t="s">
        <v>352</v>
      </c>
      <c r="F171" s="519" t="s">
        <v>353</v>
      </c>
      <c r="G171" s="520"/>
      <c r="H171" s="494" t="s">
        <v>174</v>
      </c>
      <c r="I171" s="517" t="s">
        <v>354</v>
      </c>
      <c r="J171" s="521" t="s">
        <v>313</v>
      </c>
    </row>
    <row r="172" spans="1:10">
      <c r="A172" s="524"/>
      <c r="B172" s="516"/>
      <c r="C172" s="512"/>
      <c r="D172" s="516"/>
      <c r="E172" s="514"/>
      <c r="F172" s="40" t="s">
        <v>176</v>
      </c>
      <c r="G172" s="40" t="s">
        <v>305</v>
      </c>
      <c r="H172" s="495"/>
      <c r="I172" s="518"/>
      <c r="J172" s="522"/>
    </row>
    <row r="173" spans="1:10">
      <c r="A173" s="41"/>
      <c r="B173" s="42"/>
      <c r="C173" s="42"/>
      <c r="D173" s="43" t="s">
        <v>177</v>
      </c>
      <c r="E173" s="2" t="s">
        <v>178</v>
      </c>
      <c r="F173" s="2" t="s">
        <v>172</v>
      </c>
      <c r="G173" s="2" t="s">
        <v>178</v>
      </c>
      <c r="H173" s="44" t="s">
        <v>178</v>
      </c>
      <c r="I173" s="12" t="s">
        <v>355</v>
      </c>
      <c r="J173" s="45" t="s">
        <v>175</v>
      </c>
    </row>
    <row r="174" spans="1:10" ht="14.25" customHeight="1">
      <c r="A174" s="31" t="s">
        <v>481</v>
      </c>
      <c r="B174" s="9" t="s">
        <v>340</v>
      </c>
      <c r="C174" s="5" t="s">
        <v>185</v>
      </c>
      <c r="D174" s="6" t="s">
        <v>692</v>
      </c>
      <c r="E174" s="3">
        <v>500000000</v>
      </c>
      <c r="F174" s="3">
        <v>0</v>
      </c>
      <c r="G174" s="3">
        <v>500000000</v>
      </c>
      <c r="H174" s="13">
        <v>0</v>
      </c>
      <c r="I174" s="7">
        <v>6.75</v>
      </c>
      <c r="J174" s="56" t="s">
        <v>242</v>
      </c>
    </row>
    <row r="175" spans="1:10" ht="14.25" customHeight="1">
      <c r="A175" s="29" t="s">
        <v>482</v>
      </c>
      <c r="B175" s="9">
        <v>48</v>
      </c>
      <c r="C175" s="5" t="s">
        <v>189</v>
      </c>
      <c r="D175" s="6" t="s">
        <v>483</v>
      </c>
      <c r="E175" s="3">
        <v>300000000</v>
      </c>
      <c r="F175" s="3">
        <v>0</v>
      </c>
      <c r="G175" s="3">
        <v>300000000</v>
      </c>
      <c r="H175" s="13">
        <v>0</v>
      </c>
      <c r="I175" s="7">
        <v>7.7</v>
      </c>
      <c r="J175" s="56" t="s">
        <v>228</v>
      </c>
    </row>
    <row r="176" spans="1:10" ht="14.25" customHeight="1">
      <c r="A176" s="29"/>
      <c r="B176" s="9">
        <v>48</v>
      </c>
      <c r="C176" s="5" t="s">
        <v>189</v>
      </c>
      <c r="D176" s="6" t="s">
        <v>430</v>
      </c>
      <c r="E176" s="3">
        <v>140000000</v>
      </c>
      <c r="F176" s="3">
        <v>0</v>
      </c>
      <c r="G176" s="3">
        <v>140000000</v>
      </c>
      <c r="H176" s="13">
        <v>0</v>
      </c>
      <c r="I176" s="7">
        <v>7.7</v>
      </c>
      <c r="J176" s="56" t="s">
        <v>228</v>
      </c>
    </row>
    <row r="177" spans="1:10" ht="14.25" customHeight="1">
      <c r="A177" s="29"/>
      <c r="B177" s="9">
        <v>48</v>
      </c>
      <c r="C177" s="8" t="s">
        <v>180</v>
      </c>
      <c r="D177" s="6" t="s">
        <v>484</v>
      </c>
      <c r="E177" s="3">
        <v>379000000</v>
      </c>
      <c r="F177" s="3">
        <v>0</v>
      </c>
      <c r="G177" s="3">
        <v>379000000</v>
      </c>
      <c r="H177" s="13">
        <v>0</v>
      </c>
      <c r="I177" s="7">
        <v>8.5</v>
      </c>
      <c r="J177" s="56" t="s">
        <v>194</v>
      </c>
    </row>
    <row r="178" spans="1:10" ht="14.25" customHeight="1">
      <c r="A178" s="29"/>
      <c r="B178" s="9">
        <v>48</v>
      </c>
      <c r="C178" s="5" t="s">
        <v>185</v>
      </c>
      <c r="D178" s="6" t="s">
        <v>433</v>
      </c>
      <c r="E178" s="3">
        <v>981000000</v>
      </c>
      <c r="F178" s="3">
        <v>0</v>
      </c>
      <c r="G178" s="3">
        <v>981000000</v>
      </c>
      <c r="H178" s="13">
        <v>0</v>
      </c>
      <c r="I178" s="7">
        <v>8</v>
      </c>
      <c r="J178" s="56" t="s">
        <v>244</v>
      </c>
    </row>
    <row r="179" spans="1:10" ht="14.25" customHeight="1">
      <c r="A179" s="29"/>
      <c r="B179" s="9">
        <v>49</v>
      </c>
      <c r="C179" s="5" t="s">
        <v>189</v>
      </c>
      <c r="D179" s="6" t="s">
        <v>436</v>
      </c>
      <c r="E179" s="3">
        <v>150000000</v>
      </c>
      <c r="F179" s="3">
        <v>0</v>
      </c>
      <c r="G179" s="3">
        <v>150000000</v>
      </c>
      <c r="H179" s="13">
        <v>0</v>
      </c>
      <c r="I179" s="7">
        <v>8.1999999999999993</v>
      </c>
      <c r="J179" s="56" t="s">
        <v>242</v>
      </c>
    </row>
    <row r="180" spans="1:10" ht="14.25" customHeight="1">
      <c r="A180" s="29"/>
      <c r="B180" s="9">
        <v>49</v>
      </c>
      <c r="C180" s="8" t="s">
        <v>180</v>
      </c>
      <c r="D180" s="6" t="s">
        <v>485</v>
      </c>
      <c r="E180" s="3">
        <v>150000000</v>
      </c>
      <c r="F180" s="3">
        <v>0</v>
      </c>
      <c r="G180" s="3">
        <v>150000000</v>
      </c>
      <c r="H180" s="13">
        <v>0</v>
      </c>
      <c r="I180" s="7">
        <v>9.1</v>
      </c>
      <c r="J180" s="56" t="s">
        <v>198</v>
      </c>
    </row>
    <row r="181" spans="1:10" ht="14.25" customHeight="1">
      <c r="A181" s="29"/>
      <c r="B181" s="9">
        <v>49</v>
      </c>
      <c r="C181" s="5" t="s">
        <v>185</v>
      </c>
      <c r="D181" s="6" t="s">
        <v>486</v>
      </c>
      <c r="E181" s="3">
        <v>700000000</v>
      </c>
      <c r="F181" s="3">
        <v>0</v>
      </c>
      <c r="G181" s="3">
        <v>700000000</v>
      </c>
      <c r="H181" s="13">
        <v>0</v>
      </c>
      <c r="I181" s="7">
        <v>8</v>
      </c>
      <c r="J181" s="56" t="s">
        <v>244</v>
      </c>
    </row>
    <row r="182" spans="1:10" ht="14.25" customHeight="1">
      <c r="A182" s="29"/>
      <c r="B182" s="9">
        <v>50</v>
      </c>
      <c r="C182" s="5" t="s">
        <v>189</v>
      </c>
      <c r="D182" s="6" t="s">
        <v>487</v>
      </c>
      <c r="E182" s="3">
        <v>300000000</v>
      </c>
      <c r="F182" s="3">
        <v>0</v>
      </c>
      <c r="G182" s="3">
        <v>300000000</v>
      </c>
      <c r="H182" s="13">
        <v>0</v>
      </c>
      <c r="I182" s="7">
        <v>7.7</v>
      </c>
      <c r="J182" s="56" t="s">
        <v>246</v>
      </c>
    </row>
    <row r="183" spans="1:10" ht="14.25" customHeight="1">
      <c r="A183" s="29"/>
      <c r="B183" s="9">
        <v>50</v>
      </c>
      <c r="C183" s="5" t="s">
        <v>185</v>
      </c>
      <c r="D183" s="6" t="s">
        <v>488</v>
      </c>
      <c r="E183" s="3">
        <v>700000000</v>
      </c>
      <c r="F183" s="3">
        <v>0</v>
      </c>
      <c r="G183" s="3">
        <v>700000000</v>
      </c>
      <c r="H183" s="13">
        <v>0</v>
      </c>
      <c r="I183" s="7">
        <v>7.5</v>
      </c>
      <c r="J183" s="56" t="s">
        <v>249</v>
      </c>
    </row>
    <row r="184" spans="1:10" ht="14.25" customHeight="1">
      <c r="A184" s="29"/>
      <c r="B184" s="9">
        <v>51</v>
      </c>
      <c r="C184" s="5" t="s">
        <v>189</v>
      </c>
      <c r="D184" s="6" t="s">
        <v>446</v>
      </c>
      <c r="E184" s="3">
        <v>400000000</v>
      </c>
      <c r="F184" s="3">
        <v>0</v>
      </c>
      <c r="G184" s="3">
        <v>400000000</v>
      </c>
      <c r="H184" s="13">
        <v>0</v>
      </c>
      <c r="I184" s="7">
        <v>6.95</v>
      </c>
      <c r="J184" s="56" t="s">
        <v>244</v>
      </c>
    </row>
    <row r="185" spans="1:10" ht="14.25" customHeight="1">
      <c r="A185" s="29"/>
      <c r="B185" s="9">
        <v>51</v>
      </c>
      <c r="C185" s="5" t="s">
        <v>189</v>
      </c>
      <c r="D185" s="6" t="s">
        <v>489</v>
      </c>
      <c r="E185" s="3">
        <v>440000000</v>
      </c>
      <c r="F185" s="3">
        <v>0</v>
      </c>
      <c r="G185" s="3">
        <v>440000000</v>
      </c>
      <c r="H185" s="13">
        <v>0</v>
      </c>
      <c r="I185" s="7">
        <v>6.7</v>
      </c>
      <c r="J185" s="56" t="s">
        <v>247</v>
      </c>
    </row>
    <row r="186" spans="1:10" ht="14.25" customHeight="1">
      <c r="A186" s="29"/>
      <c r="B186" s="9">
        <v>52</v>
      </c>
      <c r="C186" s="5" t="s">
        <v>189</v>
      </c>
      <c r="D186" s="6" t="s">
        <v>458</v>
      </c>
      <c r="E186" s="3">
        <v>400000000</v>
      </c>
      <c r="F186" s="3">
        <v>0</v>
      </c>
      <c r="G186" s="3">
        <v>400000000</v>
      </c>
      <c r="H186" s="13">
        <v>0</v>
      </c>
      <c r="I186" s="7">
        <v>6.25</v>
      </c>
      <c r="J186" s="56" t="s">
        <v>249</v>
      </c>
    </row>
    <row r="187" spans="1:10" ht="14.25" customHeight="1">
      <c r="A187" s="29"/>
      <c r="B187" s="9">
        <v>53</v>
      </c>
      <c r="C187" s="5" t="s">
        <v>189</v>
      </c>
      <c r="D187" s="6" t="s">
        <v>490</v>
      </c>
      <c r="E187" s="3">
        <v>209000000</v>
      </c>
      <c r="F187" s="3">
        <v>0</v>
      </c>
      <c r="G187" s="3">
        <v>209000000</v>
      </c>
      <c r="H187" s="13">
        <v>0</v>
      </c>
      <c r="I187" s="7">
        <v>7.25</v>
      </c>
      <c r="J187" s="56" t="s">
        <v>251</v>
      </c>
    </row>
    <row r="188" spans="1:10" ht="14.25" customHeight="1">
      <c r="A188" s="29"/>
      <c r="B188" s="9">
        <v>54</v>
      </c>
      <c r="C188" s="5" t="s">
        <v>189</v>
      </c>
      <c r="D188" s="6" t="s">
        <v>463</v>
      </c>
      <c r="E188" s="3">
        <v>44000000</v>
      </c>
      <c r="F188" s="3">
        <v>0</v>
      </c>
      <c r="G188" s="3">
        <v>44000000</v>
      </c>
      <c r="H188" s="13">
        <v>0</v>
      </c>
      <c r="I188" s="7">
        <v>7.25</v>
      </c>
      <c r="J188" s="56" t="s">
        <v>251</v>
      </c>
    </row>
    <row r="189" spans="1:10" ht="14.25" customHeight="1">
      <c r="A189" s="29"/>
      <c r="B189" s="9">
        <v>54</v>
      </c>
      <c r="C189" s="5" t="s">
        <v>189</v>
      </c>
      <c r="D189" s="6" t="s">
        <v>464</v>
      </c>
      <c r="E189" s="3">
        <v>40000000</v>
      </c>
      <c r="F189" s="3">
        <v>0</v>
      </c>
      <c r="G189" s="3">
        <v>40000000</v>
      </c>
      <c r="H189" s="13">
        <v>0</v>
      </c>
      <c r="I189" s="7">
        <v>8.6</v>
      </c>
      <c r="J189" s="56" t="s">
        <v>465</v>
      </c>
    </row>
    <row r="190" spans="1:10" ht="14.25" customHeight="1">
      <c r="A190" s="29"/>
      <c r="B190" s="9">
        <v>55</v>
      </c>
      <c r="C190" s="5" t="s">
        <v>189</v>
      </c>
      <c r="D190" s="6" t="s">
        <v>491</v>
      </c>
      <c r="E190" s="3">
        <v>30000000</v>
      </c>
      <c r="F190" s="3">
        <v>0</v>
      </c>
      <c r="G190" s="3">
        <v>30000000</v>
      </c>
      <c r="H190" s="13">
        <v>0</v>
      </c>
      <c r="I190" s="7">
        <v>8.1</v>
      </c>
      <c r="J190" s="56" t="s">
        <v>465</v>
      </c>
    </row>
    <row r="191" spans="1:10" ht="14.25" customHeight="1">
      <c r="A191" s="29"/>
      <c r="B191" s="9">
        <v>55</v>
      </c>
      <c r="C191" s="5" t="s">
        <v>189</v>
      </c>
      <c r="D191" s="6" t="s">
        <v>475</v>
      </c>
      <c r="E191" s="3">
        <v>20000000</v>
      </c>
      <c r="F191" s="3">
        <v>0</v>
      </c>
      <c r="G191" s="3">
        <v>20000000</v>
      </c>
      <c r="H191" s="13">
        <v>0</v>
      </c>
      <c r="I191" s="7">
        <v>7.4</v>
      </c>
      <c r="J191" s="56" t="s">
        <v>492</v>
      </c>
    </row>
    <row r="192" spans="1:10" ht="14.25" customHeight="1">
      <c r="A192" s="29"/>
      <c r="B192" s="6" t="s">
        <v>493</v>
      </c>
      <c r="C192" s="5" t="s">
        <v>189</v>
      </c>
      <c r="D192" s="6" t="s">
        <v>494</v>
      </c>
      <c r="E192" s="3">
        <v>8000000</v>
      </c>
      <c r="F192" s="3">
        <v>1036054</v>
      </c>
      <c r="G192" s="3">
        <v>8000000</v>
      </c>
      <c r="H192" s="13">
        <v>0</v>
      </c>
      <c r="I192" s="7">
        <v>2.0499999999999998</v>
      </c>
      <c r="J192" s="56" t="s">
        <v>492</v>
      </c>
    </row>
    <row r="193" spans="1:10" ht="14.25" customHeight="1">
      <c r="A193" s="29"/>
      <c r="B193" s="6">
        <v>17</v>
      </c>
      <c r="C193" s="5" t="s">
        <v>189</v>
      </c>
      <c r="D193" s="6" t="s">
        <v>349</v>
      </c>
      <c r="E193" s="3">
        <v>8000000</v>
      </c>
      <c r="F193" s="3">
        <v>1649020</v>
      </c>
      <c r="G193" s="3">
        <v>7162792</v>
      </c>
      <c r="H193" s="13">
        <v>837208</v>
      </c>
      <c r="I193" s="7">
        <v>2.0499999999999998</v>
      </c>
      <c r="J193" s="56" t="s">
        <v>260</v>
      </c>
    </row>
    <row r="194" spans="1:10" ht="14.25" customHeight="1">
      <c r="A194" s="29"/>
      <c r="B194" s="6">
        <v>19</v>
      </c>
      <c r="C194" s="5" t="s">
        <v>495</v>
      </c>
      <c r="D194" s="9" t="s">
        <v>496</v>
      </c>
      <c r="E194" s="3">
        <v>2900000</v>
      </c>
      <c r="F194" s="3">
        <v>1467295</v>
      </c>
      <c r="G194" s="3">
        <v>2900000</v>
      </c>
      <c r="H194" s="13">
        <v>0</v>
      </c>
      <c r="I194" s="7">
        <v>2.4</v>
      </c>
      <c r="J194" s="56" t="s">
        <v>476</v>
      </c>
    </row>
    <row r="195" spans="1:10" ht="17.25" customHeight="1">
      <c r="A195" s="51" t="s">
        <v>376</v>
      </c>
      <c r="B195" s="14" t="s">
        <v>173</v>
      </c>
      <c r="C195" s="15" t="s">
        <v>173</v>
      </c>
      <c r="D195" s="16" t="s">
        <v>173</v>
      </c>
      <c r="E195" s="17">
        <v>7616900000</v>
      </c>
      <c r="F195" s="17">
        <v>4152369</v>
      </c>
      <c r="G195" s="17">
        <v>7616062792</v>
      </c>
      <c r="H195" s="18">
        <v>837208</v>
      </c>
      <c r="I195" s="19"/>
      <c r="J195" s="52" t="s">
        <v>173</v>
      </c>
    </row>
    <row r="196" spans="1:10" ht="14.25" customHeight="1">
      <c r="A196" s="31" t="s">
        <v>497</v>
      </c>
      <c r="B196" s="6" t="s">
        <v>498</v>
      </c>
      <c r="C196" s="5" t="s">
        <v>189</v>
      </c>
      <c r="D196" s="6" t="s">
        <v>499</v>
      </c>
      <c r="E196" s="3">
        <v>1473000000</v>
      </c>
      <c r="F196" s="4">
        <v>0</v>
      </c>
      <c r="G196" s="3">
        <v>1473000000</v>
      </c>
      <c r="H196" s="13">
        <v>0</v>
      </c>
      <c r="I196" s="7">
        <v>7.4</v>
      </c>
      <c r="J196" s="32" t="s">
        <v>260</v>
      </c>
    </row>
    <row r="197" spans="1:10" ht="14.25" customHeight="1">
      <c r="A197" s="29" t="s">
        <v>182</v>
      </c>
      <c r="B197" s="9">
        <v>57</v>
      </c>
      <c r="C197" s="5" t="s">
        <v>189</v>
      </c>
      <c r="D197" s="6" t="s">
        <v>500</v>
      </c>
      <c r="E197" s="3">
        <v>1848000000</v>
      </c>
      <c r="F197" s="3">
        <v>0</v>
      </c>
      <c r="G197" s="3">
        <v>1848000000</v>
      </c>
      <c r="H197" s="13">
        <v>0</v>
      </c>
      <c r="I197" s="7">
        <v>7.4</v>
      </c>
      <c r="J197" s="32" t="s">
        <v>260</v>
      </c>
    </row>
    <row r="198" spans="1:10" ht="14.25" customHeight="1">
      <c r="A198" s="71"/>
      <c r="B198" s="9">
        <v>57</v>
      </c>
      <c r="C198" s="5" t="s">
        <v>185</v>
      </c>
      <c r="D198" s="6" t="s">
        <v>501</v>
      </c>
      <c r="E198" s="3">
        <v>2386413639</v>
      </c>
      <c r="F198" s="3">
        <v>0</v>
      </c>
      <c r="G198" s="3">
        <v>2386413639</v>
      </c>
      <c r="H198" s="13">
        <v>0</v>
      </c>
      <c r="I198" s="7">
        <v>7.3</v>
      </c>
      <c r="J198" s="56" t="s">
        <v>469</v>
      </c>
    </row>
    <row r="199" spans="1:10" ht="14.25" customHeight="1">
      <c r="A199" s="29"/>
      <c r="B199" s="9">
        <v>58</v>
      </c>
      <c r="C199" s="5" t="s">
        <v>189</v>
      </c>
      <c r="D199" s="6" t="s">
        <v>502</v>
      </c>
      <c r="E199" s="3">
        <v>1485000000</v>
      </c>
      <c r="F199" s="3">
        <v>0</v>
      </c>
      <c r="G199" s="3">
        <v>1485000000</v>
      </c>
      <c r="H199" s="13">
        <v>0</v>
      </c>
      <c r="I199" s="7">
        <v>7.2</v>
      </c>
      <c r="J199" s="56" t="s">
        <v>263</v>
      </c>
    </row>
    <row r="200" spans="1:10" ht="14.25" customHeight="1">
      <c r="A200" s="29"/>
      <c r="B200" s="9">
        <v>58</v>
      </c>
      <c r="C200" s="5" t="s">
        <v>189</v>
      </c>
      <c r="D200" s="6" t="s">
        <v>503</v>
      </c>
      <c r="E200" s="3">
        <v>1370000000</v>
      </c>
      <c r="F200" s="3">
        <v>0</v>
      </c>
      <c r="G200" s="3">
        <v>1370000000</v>
      </c>
      <c r="H200" s="13">
        <v>0</v>
      </c>
      <c r="I200" s="7">
        <v>7.2</v>
      </c>
      <c r="J200" s="56" t="s">
        <v>504</v>
      </c>
    </row>
    <row r="201" spans="1:10" ht="14.25" customHeight="1">
      <c r="A201" s="29"/>
      <c r="B201" s="9">
        <v>58</v>
      </c>
      <c r="C201" s="5" t="s">
        <v>189</v>
      </c>
      <c r="D201" s="6" t="s">
        <v>505</v>
      </c>
      <c r="E201" s="3">
        <v>763000000</v>
      </c>
      <c r="F201" s="3">
        <v>0</v>
      </c>
      <c r="G201" s="3">
        <v>763000000</v>
      </c>
      <c r="H201" s="13">
        <v>0</v>
      </c>
      <c r="I201" s="7">
        <v>7.2</v>
      </c>
      <c r="J201" s="56" t="s">
        <v>264</v>
      </c>
    </row>
    <row r="202" spans="1:10" ht="14.25" customHeight="1">
      <c r="A202" s="29"/>
      <c r="B202" s="9">
        <v>58</v>
      </c>
      <c r="C202" s="5" t="s">
        <v>185</v>
      </c>
      <c r="D202" s="6" t="s">
        <v>506</v>
      </c>
      <c r="E202" s="3">
        <v>301471</v>
      </c>
      <c r="F202" s="3">
        <v>0</v>
      </c>
      <c r="G202" s="3">
        <v>301471</v>
      </c>
      <c r="H202" s="13">
        <v>0</v>
      </c>
      <c r="I202" s="7">
        <v>7.1</v>
      </c>
      <c r="J202" s="56" t="s">
        <v>210</v>
      </c>
    </row>
    <row r="203" spans="1:10" ht="14.25" customHeight="1">
      <c r="A203" s="29"/>
      <c r="B203" s="9">
        <v>59</v>
      </c>
      <c r="C203" s="5" t="s">
        <v>189</v>
      </c>
      <c r="D203" s="6" t="s">
        <v>507</v>
      </c>
      <c r="E203" s="3">
        <v>200000000</v>
      </c>
      <c r="F203" s="3">
        <v>0</v>
      </c>
      <c r="G203" s="3">
        <v>200000000</v>
      </c>
      <c r="H203" s="13">
        <v>0</v>
      </c>
      <c r="I203" s="7">
        <v>7.2</v>
      </c>
      <c r="J203" s="56" t="s">
        <v>264</v>
      </c>
    </row>
    <row r="204" spans="1:10" ht="14.25" customHeight="1">
      <c r="A204" s="29"/>
      <c r="B204" s="9">
        <v>59</v>
      </c>
      <c r="C204" s="5" t="s">
        <v>266</v>
      </c>
      <c r="D204" s="6" t="s">
        <v>508</v>
      </c>
      <c r="E204" s="3">
        <v>1000000000</v>
      </c>
      <c r="F204" s="3">
        <v>0</v>
      </c>
      <c r="G204" s="3">
        <v>1000000000</v>
      </c>
      <c r="H204" s="13">
        <v>0</v>
      </c>
      <c r="I204" s="7">
        <v>6.9</v>
      </c>
      <c r="J204" s="56" t="s">
        <v>237</v>
      </c>
    </row>
    <row r="205" spans="1:10" ht="14.25" customHeight="1">
      <c r="A205" s="29"/>
      <c r="B205" s="9">
        <v>59</v>
      </c>
      <c r="C205" s="5" t="s">
        <v>189</v>
      </c>
      <c r="D205" s="6" t="s">
        <v>509</v>
      </c>
      <c r="E205" s="3">
        <v>923000000</v>
      </c>
      <c r="F205" s="3">
        <v>0</v>
      </c>
      <c r="G205" s="3">
        <v>923000000</v>
      </c>
      <c r="H205" s="13">
        <v>0</v>
      </c>
      <c r="I205" s="7">
        <v>7.2</v>
      </c>
      <c r="J205" s="56" t="s">
        <v>264</v>
      </c>
    </row>
    <row r="206" spans="1:10" ht="14.25" customHeight="1">
      <c r="A206" s="29"/>
      <c r="B206" s="9">
        <v>59</v>
      </c>
      <c r="C206" s="5" t="s">
        <v>189</v>
      </c>
      <c r="D206" s="6" t="s">
        <v>510</v>
      </c>
      <c r="E206" s="3">
        <v>389000000</v>
      </c>
      <c r="F206" s="3">
        <v>0</v>
      </c>
      <c r="G206" s="3">
        <v>389000000</v>
      </c>
      <c r="H206" s="13">
        <v>0</v>
      </c>
      <c r="I206" s="7">
        <v>6.9</v>
      </c>
      <c r="J206" s="56" t="s">
        <v>267</v>
      </c>
    </row>
    <row r="207" spans="1:10" ht="14.25" customHeight="1">
      <c r="A207" s="31"/>
      <c r="B207" s="9">
        <v>59</v>
      </c>
      <c r="C207" s="5" t="s">
        <v>185</v>
      </c>
      <c r="D207" s="6" t="s">
        <v>511</v>
      </c>
      <c r="E207" s="3">
        <v>1147273396</v>
      </c>
      <c r="F207" s="3">
        <v>0</v>
      </c>
      <c r="G207" s="3">
        <v>1147273396</v>
      </c>
      <c r="H207" s="13">
        <v>0</v>
      </c>
      <c r="I207" s="7">
        <v>6.3</v>
      </c>
      <c r="J207" s="56" t="s">
        <v>469</v>
      </c>
    </row>
    <row r="208" spans="1:10" ht="14.25" customHeight="1">
      <c r="A208" s="29"/>
      <c r="B208" s="9">
        <v>60</v>
      </c>
      <c r="C208" s="5" t="s">
        <v>266</v>
      </c>
      <c r="D208" s="6" t="s">
        <v>511</v>
      </c>
      <c r="E208" s="3">
        <v>1000000000</v>
      </c>
      <c r="F208" s="3">
        <v>0</v>
      </c>
      <c r="G208" s="3">
        <v>1000000000</v>
      </c>
      <c r="H208" s="13">
        <v>0</v>
      </c>
      <c r="I208" s="7">
        <v>5.8</v>
      </c>
      <c r="J208" s="56" t="s">
        <v>219</v>
      </c>
    </row>
    <row r="209" spans="1:10" ht="14.25" customHeight="1">
      <c r="A209" s="29"/>
      <c r="B209" s="9">
        <v>60</v>
      </c>
      <c r="C209" s="5" t="s">
        <v>189</v>
      </c>
      <c r="D209" s="6" t="s">
        <v>512</v>
      </c>
      <c r="E209" s="3">
        <v>805000000</v>
      </c>
      <c r="F209" s="3">
        <v>0</v>
      </c>
      <c r="G209" s="3">
        <v>805000000</v>
      </c>
      <c r="H209" s="13">
        <v>0</v>
      </c>
      <c r="I209" s="7">
        <v>6.4</v>
      </c>
      <c r="J209" s="56" t="s">
        <v>267</v>
      </c>
    </row>
    <row r="210" spans="1:10" ht="14.25" customHeight="1">
      <c r="A210" s="29"/>
      <c r="B210" s="9">
        <v>60</v>
      </c>
      <c r="C210" s="5" t="s">
        <v>185</v>
      </c>
      <c r="D210" s="6" t="s">
        <v>513</v>
      </c>
      <c r="E210" s="3">
        <v>527791158</v>
      </c>
      <c r="F210" s="3">
        <v>0</v>
      </c>
      <c r="G210" s="3">
        <v>527791158</v>
      </c>
      <c r="H210" s="13">
        <v>0</v>
      </c>
      <c r="I210" s="7">
        <v>5.2</v>
      </c>
      <c r="J210" s="56" t="s">
        <v>469</v>
      </c>
    </row>
    <row r="211" spans="1:10" ht="14.25" customHeight="1">
      <c r="A211" s="31"/>
      <c r="B211" s="6">
        <v>60</v>
      </c>
      <c r="C211" s="5" t="s">
        <v>189</v>
      </c>
      <c r="D211" s="6" t="s">
        <v>514</v>
      </c>
      <c r="E211" s="3">
        <v>355000000</v>
      </c>
      <c r="F211" s="3">
        <v>17126551</v>
      </c>
      <c r="G211" s="3">
        <v>254238448</v>
      </c>
      <c r="H211" s="13">
        <v>100761552</v>
      </c>
      <c r="I211" s="7">
        <v>5.4</v>
      </c>
      <c r="J211" s="56" t="s">
        <v>269</v>
      </c>
    </row>
    <row r="212" spans="1:10" ht="14.25" customHeight="1">
      <c r="A212" s="29"/>
      <c r="B212" s="9">
        <v>61</v>
      </c>
      <c r="C212" s="5" t="s">
        <v>189</v>
      </c>
      <c r="D212" s="6" t="s">
        <v>513</v>
      </c>
      <c r="E212" s="3">
        <v>390000000</v>
      </c>
      <c r="F212" s="3">
        <v>19793401</v>
      </c>
      <c r="G212" s="3">
        <v>273548424</v>
      </c>
      <c r="H212" s="13">
        <v>116451576</v>
      </c>
      <c r="I212" s="7">
        <v>5.4</v>
      </c>
      <c r="J212" s="56" t="s">
        <v>269</v>
      </c>
    </row>
    <row r="213" spans="1:10" ht="14.25" customHeight="1">
      <c r="A213" s="29"/>
      <c r="B213" s="9">
        <v>61</v>
      </c>
      <c r="C213" s="5" t="s">
        <v>266</v>
      </c>
      <c r="D213" s="6" t="s">
        <v>513</v>
      </c>
      <c r="E213" s="3">
        <v>2000000000</v>
      </c>
      <c r="F213" s="3">
        <v>0</v>
      </c>
      <c r="G213" s="3">
        <v>2000000000</v>
      </c>
      <c r="H213" s="13">
        <v>0</v>
      </c>
      <c r="I213" s="7">
        <v>5.0999999999999996</v>
      </c>
      <c r="J213" s="56" t="s">
        <v>221</v>
      </c>
    </row>
    <row r="214" spans="1:10" ht="14.25" customHeight="1">
      <c r="A214" s="29"/>
      <c r="B214" s="9">
        <v>61</v>
      </c>
      <c r="C214" s="5" t="s">
        <v>189</v>
      </c>
      <c r="D214" s="6" t="s">
        <v>515</v>
      </c>
      <c r="E214" s="3">
        <v>464000000</v>
      </c>
      <c r="F214" s="3">
        <v>22937702</v>
      </c>
      <c r="G214" s="3">
        <v>331875353</v>
      </c>
      <c r="H214" s="13">
        <v>132124647</v>
      </c>
      <c r="I214" s="7">
        <v>4.7</v>
      </c>
      <c r="J214" s="56" t="s">
        <v>269</v>
      </c>
    </row>
    <row r="215" spans="1:10" ht="14.25" customHeight="1">
      <c r="A215" s="31"/>
      <c r="B215" s="6">
        <v>58</v>
      </c>
      <c r="C215" s="5" t="s">
        <v>185</v>
      </c>
      <c r="D215" s="6" t="s">
        <v>516</v>
      </c>
      <c r="E215" s="3">
        <v>2435157074</v>
      </c>
      <c r="F215" s="3">
        <v>0</v>
      </c>
      <c r="G215" s="3">
        <v>2435157074</v>
      </c>
      <c r="H215" s="13">
        <v>0</v>
      </c>
      <c r="I215" s="7">
        <v>7.1</v>
      </c>
      <c r="J215" s="56" t="s">
        <v>469</v>
      </c>
    </row>
    <row r="216" spans="1:10" ht="14.25" customHeight="1">
      <c r="A216" s="29"/>
      <c r="B216" s="9">
        <v>61</v>
      </c>
      <c r="C216" s="5" t="s">
        <v>189</v>
      </c>
      <c r="D216" s="6" t="s">
        <v>517</v>
      </c>
      <c r="E216" s="3">
        <v>80000000</v>
      </c>
      <c r="F216" s="3">
        <v>3941016</v>
      </c>
      <c r="G216" s="3">
        <v>54221871</v>
      </c>
      <c r="H216" s="13">
        <v>25778129</v>
      </c>
      <c r="I216" s="7">
        <v>5.3</v>
      </c>
      <c r="J216" s="56" t="s">
        <v>271</v>
      </c>
    </row>
    <row r="217" spans="1:10" ht="14.25" customHeight="1">
      <c r="A217" s="29"/>
      <c r="B217" s="9">
        <v>62</v>
      </c>
      <c r="C217" s="5" t="s">
        <v>273</v>
      </c>
      <c r="D217" s="6" t="s">
        <v>518</v>
      </c>
      <c r="E217" s="3">
        <v>229513000</v>
      </c>
      <c r="F217" s="3">
        <v>0</v>
      </c>
      <c r="G217" s="3">
        <v>229513000</v>
      </c>
      <c r="H217" s="13">
        <v>0</v>
      </c>
      <c r="I217" s="7" t="s">
        <v>274</v>
      </c>
      <c r="J217" s="72" t="s">
        <v>225</v>
      </c>
    </row>
    <row r="218" spans="1:10" ht="14.25" customHeight="1">
      <c r="A218" s="29"/>
      <c r="B218" s="6">
        <v>61</v>
      </c>
      <c r="C218" s="5" t="s">
        <v>185</v>
      </c>
      <c r="D218" s="6" t="s">
        <v>519</v>
      </c>
      <c r="E218" s="3">
        <v>340191842</v>
      </c>
      <c r="F218" s="3">
        <v>0</v>
      </c>
      <c r="G218" s="3">
        <v>340191842</v>
      </c>
      <c r="H218" s="13">
        <v>0</v>
      </c>
      <c r="I218" s="7">
        <v>5</v>
      </c>
      <c r="J218" s="56" t="s">
        <v>469</v>
      </c>
    </row>
    <row r="219" spans="1:10" ht="14.25" customHeight="1">
      <c r="A219" s="29"/>
      <c r="B219" s="6">
        <v>62</v>
      </c>
      <c r="C219" s="5" t="s">
        <v>266</v>
      </c>
      <c r="D219" s="6" t="s">
        <v>519</v>
      </c>
      <c r="E219" s="3">
        <v>1000000000</v>
      </c>
      <c r="F219" s="3">
        <v>0</v>
      </c>
      <c r="G219" s="3">
        <v>1000000000</v>
      </c>
      <c r="H219" s="13">
        <v>0</v>
      </c>
      <c r="I219" s="7">
        <v>4.8</v>
      </c>
      <c r="J219" s="32" t="s">
        <v>225</v>
      </c>
    </row>
    <row r="220" spans="1:10" ht="14.25" customHeight="1">
      <c r="A220" s="29"/>
      <c r="B220" s="6">
        <v>63</v>
      </c>
      <c r="C220" s="5" t="s">
        <v>273</v>
      </c>
      <c r="D220" s="6" t="s">
        <v>735</v>
      </c>
      <c r="E220" s="3">
        <v>88343000</v>
      </c>
      <c r="F220" s="3">
        <v>0</v>
      </c>
      <c r="G220" s="3">
        <v>88343000</v>
      </c>
      <c r="H220" s="13">
        <v>0</v>
      </c>
      <c r="I220" s="7" t="s">
        <v>274</v>
      </c>
      <c r="J220" s="32" t="s">
        <v>228</v>
      </c>
    </row>
    <row r="221" spans="1:10" ht="14.25" customHeight="1">
      <c r="A221" s="29"/>
      <c r="B221" s="6">
        <v>63</v>
      </c>
      <c r="C221" s="5" t="s">
        <v>273</v>
      </c>
      <c r="D221" s="6" t="s">
        <v>334</v>
      </c>
      <c r="E221" s="3">
        <v>138400000</v>
      </c>
      <c r="F221" s="3">
        <v>0</v>
      </c>
      <c r="G221" s="3">
        <v>138400000</v>
      </c>
      <c r="H221" s="13">
        <v>0</v>
      </c>
      <c r="I221" s="7" t="s">
        <v>274</v>
      </c>
      <c r="J221" s="32" t="s">
        <v>228</v>
      </c>
    </row>
    <row r="222" spans="1:10" ht="14.25" customHeight="1">
      <c r="A222" s="29"/>
      <c r="B222" s="6">
        <v>62</v>
      </c>
      <c r="C222" s="5" t="s">
        <v>189</v>
      </c>
      <c r="D222" s="6" t="s">
        <v>335</v>
      </c>
      <c r="E222" s="3">
        <v>837000000</v>
      </c>
      <c r="F222" s="3">
        <v>37892141</v>
      </c>
      <c r="G222" s="3">
        <v>512910254</v>
      </c>
      <c r="H222" s="13">
        <v>324089746</v>
      </c>
      <c r="I222" s="7">
        <v>4.95</v>
      </c>
      <c r="J222" s="32" t="s">
        <v>276</v>
      </c>
    </row>
    <row r="223" spans="1:10" ht="14.25" customHeight="1">
      <c r="A223" s="29"/>
      <c r="B223" s="6">
        <v>62</v>
      </c>
      <c r="C223" s="5" t="s">
        <v>185</v>
      </c>
      <c r="D223" s="6" t="s">
        <v>336</v>
      </c>
      <c r="E223" s="3">
        <v>308504686</v>
      </c>
      <c r="F223" s="3">
        <v>0</v>
      </c>
      <c r="G223" s="3">
        <v>308504686</v>
      </c>
      <c r="H223" s="13">
        <v>0</v>
      </c>
      <c r="I223" s="7">
        <v>4.8499999999999996</v>
      </c>
      <c r="J223" s="32" t="s">
        <v>244</v>
      </c>
    </row>
    <row r="224" spans="1:10" ht="14.25" customHeight="1">
      <c r="A224" s="29"/>
      <c r="B224" s="6">
        <v>63</v>
      </c>
      <c r="C224" s="5" t="s">
        <v>273</v>
      </c>
      <c r="D224" s="6" t="s">
        <v>336</v>
      </c>
      <c r="E224" s="3">
        <v>617596000</v>
      </c>
      <c r="F224" s="3">
        <v>0</v>
      </c>
      <c r="G224" s="3">
        <v>617596000</v>
      </c>
      <c r="H224" s="13">
        <v>0</v>
      </c>
      <c r="I224" s="7" t="s">
        <v>274</v>
      </c>
      <c r="J224" s="32" t="s">
        <v>228</v>
      </c>
    </row>
    <row r="225" spans="1:10" ht="14.25" customHeight="1">
      <c r="A225" s="29"/>
      <c r="B225" s="6">
        <v>63</v>
      </c>
      <c r="C225" s="5" t="s">
        <v>180</v>
      </c>
      <c r="D225" s="6" t="s">
        <v>337</v>
      </c>
      <c r="E225" s="3">
        <v>2000000000</v>
      </c>
      <c r="F225" s="3">
        <v>0</v>
      </c>
      <c r="G225" s="3">
        <v>2000000000</v>
      </c>
      <c r="H225" s="13">
        <v>0</v>
      </c>
      <c r="I225" s="7">
        <v>4.8</v>
      </c>
      <c r="J225" s="32" t="s">
        <v>219</v>
      </c>
    </row>
    <row r="226" spans="1:10" ht="14.25" customHeight="1" thickBot="1">
      <c r="A226" s="30"/>
      <c r="B226" s="59" t="s">
        <v>338</v>
      </c>
      <c r="C226" s="58" t="s">
        <v>273</v>
      </c>
      <c r="D226" s="59" t="s">
        <v>339</v>
      </c>
      <c r="E226" s="21">
        <v>59345000</v>
      </c>
      <c r="F226" s="21">
        <v>0</v>
      </c>
      <c r="G226" s="21">
        <v>59345000</v>
      </c>
      <c r="H226" s="13">
        <v>0</v>
      </c>
      <c r="I226" s="60" t="s">
        <v>274</v>
      </c>
      <c r="J226" s="65" t="s">
        <v>232</v>
      </c>
    </row>
    <row r="227" spans="1:10" ht="9.75" customHeight="1" thickBot="1">
      <c r="A227" s="36"/>
      <c r="B227" s="68"/>
      <c r="C227" s="36"/>
      <c r="D227" s="68"/>
      <c r="E227" s="27"/>
      <c r="F227" s="27"/>
      <c r="G227" s="27"/>
      <c r="H227" s="28"/>
      <c r="I227" s="69"/>
      <c r="J227" s="73"/>
    </row>
    <row r="228" spans="1:10">
      <c r="A228" s="523" t="s">
        <v>403</v>
      </c>
      <c r="B228" s="515" t="s">
        <v>311</v>
      </c>
      <c r="C228" s="511" t="s">
        <v>404</v>
      </c>
      <c r="D228" s="515" t="s">
        <v>312</v>
      </c>
      <c r="E228" s="513" t="s">
        <v>352</v>
      </c>
      <c r="F228" s="519" t="s">
        <v>353</v>
      </c>
      <c r="G228" s="520"/>
      <c r="H228" s="494" t="s">
        <v>174</v>
      </c>
      <c r="I228" s="517" t="s">
        <v>354</v>
      </c>
      <c r="J228" s="521" t="s">
        <v>313</v>
      </c>
    </row>
    <row r="229" spans="1:10">
      <c r="A229" s="524"/>
      <c r="B229" s="516"/>
      <c r="C229" s="512"/>
      <c r="D229" s="516"/>
      <c r="E229" s="514"/>
      <c r="F229" s="40" t="s">
        <v>176</v>
      </c>
      <c r="G229" s="40" t="s">
        <v>305</v>
      </c>
      <c r="H229" s="495"/>
      <c r="I229" s="518"/>
      <c r="J229" s="522"/>
    </row>
    <row r="230" spans="1:10">
      <c r="A230" s="41"/>
      <c r="B230" s="42"/>
      <c r="C230" s="42"/>
      <c r="D230" s="43" t="s">
        <v>177</v>
      </c>
      <c r="E230" s="2" t="s">
        <v>178</v>
      </c>
      <c r="F230" s="2" t="s">
        <v>172</v>
      </c>
      <c r="G230" s="2" t="s">
        <v>178</v>
      </c>
      <c r="H230" s="44" t="s">
        <v>178</v>
      </c>
      <c r="I230" s="12" t="s">
        <v>355</v>
      </c>
      <c r="J230" s="45" t="s">
        <v>175</v>
      </c>
    </row>
    <row r="231" spans="1:10" ht="14.25" customHeight="1">
      <c r="A231" s="31" t="s">
        <v>497</v>
      </c>
      <c r="B231" s="6" t="s">
        <v>520</v>
      </c>
      <c r="C231" s="5" t="s">
        <v>189</v>
      </c>
      <c r="D231" s="9" t="s">
        <v>693</v>
      </c>
      <c r="E231" s="3">
        <v>496000000</v>
      </c>
      <c r="F231" s="3">
        <v>23267083</v>
      </c>
      <c r="G231" s="3">
        <v>277632887</v>
      </c>
      <c r="H231" s="13">
        <v>218367113</v>
      </c>
      <c r="I231" s="7">
        <v>5.2</v>
      </c>
      <c r="J231" s="56" t="s">
        <v>277</v>
      </c>
    </row>
    <row r="232" spans="1:10" ht="14.25" customHeight="1">
      <c r="A232" s="29" t="s">
        <v>182</v>
      </c>
      <c r="B232" s="6" t="s">
        <v>736</v>
      </c>
      <c r="C232" s="5" t="s">
        <v>273</v>
      </c>
      <c r="D232" s="6" t="s">
        <v>737</v>
      </c>
      <c r="E232" s="3">
        <v>107596000</v>
      </c>
      <c r="F232" s="3">
        <v>0</v>
      </c>
      <c r="G232" s="3">
        <v>107596000</v>
      </c>
      <c r="H232" s="13">
        <v>0</v>
      </c>
      <c r="I232" s="7" t="s">
        <v>274</v>
      </c>
      <c r="J232" s="56" t="s">
        <v>232</v>
      </c>
    </row>
    <row r="233" spans="1:10" ht="14.25" customHeight="1">
      <c r="A233" s="29"/>
      <c r="B233" s="6" t="s">
        <v>738</v>
      </c>
      <c r="C233" s="5" t="s">
        <v>185</v>
      </c>
      <c r="D233" s="6" t="s">
        <v>739</v>
      </c>
      <c r="E233" s="3">
        <v>198703790</v>
      </c>
      <c r="F233" s="3">
        <v>0</v>
      </c>
      <c r="G233" s="3">
        <v>198703790</v>
      </c>
      <c r="H233" s="13">
        <v>0</v>
      </c>
      <c r="I233" s="7">
        <v>5.4</v>
      </c>
      <c r="J233" s="56" t="s">
        <v>740</v>
      </c>
    </row>
    <row r="234" spans="1:10" ht="14.25" customHeight="1">
      <c r="A234" s="29"/>
      <c r="B234" s="9">
        <v>63</v>
      </c>
      <c r="C234" s="5" t="s">
        <v>273</v>
      </c>
      <c r="D234" s="6" t="s">
        <v>741</v>
      </c>
      <c r="E234" s="3">
        <v>19261000</v>
      </c>
      <c r="F234" s="3">
        <v>0</v>
      </c>
      <c r="G234" s="3">
        <v>19261000</v>
      </c>
      <c r="H234" s="13">
        <v>0</v>
      </c>
      <c r="I234" s="7" t="s">
        <v>274</v>
      </c>
      <c r="J234" s="56" t="s">
        <v>228</v>
      </c>
    </row>
    <row r="235" spans="1:10" ht="14.25" customHeight="1">
      <c r="A235" s="29"/>
      <c r="B235" s="6" t="s">
        <v>736</v>
      </c>
      <c r="C235" s="5" t="s">
        <v>266</v>
      </c>
      <c r="D235" s="6" t="s">
        <v>742</v>
      </c>
      <c r="E235" s="3">
        <v>1000000000</v>
      </c>
      <c r="F235" s="3">
        <v>0</v>
      </c>
      <c r="G235" s="3">
        <v>1000000000</v>
      </c>
      <c r="H235" s="13">
        <v>0</v>
      </c>
      <c r="I235" s="7">
        <v>6.6</v>
      </c>
      <c r="J235" s="56" t="s">
        <v>232</v>
      </c>
    </row>
    <row r="236" spans="1:10" ht="14.25" customHeight="1">
      <c r="A236" s="29"/>
      <c r="B236" s="9" t="s">
        <v>278</v>
      </c>
      <c r="C236" s="5" t="s">
        <v>273</v>
      </c>
      <c r="D236" s="6" t="s">
        <v>742</v>
      </c>
      <c r="E236" s="3">
        <v>282931000</v>
      </c>
      <c r="F236" s="3">
        <v>0</v>
      </c>
      <c r="G236" s="3">
        <v>282931000</v>
      </c>
      <c r="H236" s="13">
        <v>0</v>
      </c>
      <c r="I236" s="7" t="s">
        <v>274</v>
      </c>
      <c r="J236" s="56" t="s">
        <v>232</v>
      </c>
    </row>
    <row r="237" spans="1:10" ht="14.25" customHeight="1">
      <c r="A237" s="29"/>
      <c r="B237" s="9" t="s">
        <v>278</v>
      </c>
      <c r="C237" s="5" t="s">
        <v>189</v>
      </c>
      <c r="D237" s="6" t="s">
        <v>743</v>
      </c>
      <c r="E237" s="3">
        <v>350000000</v>
      </c>
      <c r="F237" s="3">
        <v>0</v>
      </c>
      <c r="G237" s="3">
        <v>350000000</v>
      </c>
      <c r="H237" s="13">
        <v>0</v>
      </c>
      <c r="I237" s="7">
        <v>6.3</v>
      </c>
      <c r="J237" s="56" t="s">
        <v>277</v>
      </c>
    </row>
    <row r="238" spans="1:10" ht="14.25" customHeight="1">
      <c r="A238" s="29"/>
      <c r="B238" s="9" t="s">
        <v>278</v>
      </c>
      <c r="C238" s="5" t="s">
        <v>273</v>
      </c>
      <c r="D238" s="6" t="s">
        <v>744</v>
      </c>
      <c r="E238" s="3">
        <v>276396000</v>
      </c>
      <c r="F238" s="3">
        <v>0</v>
      </c>
      <c r="G238" s="3">
        <v>276396000</v>
      </c>
      <c r="H238" s="13">
        <v>0</v>
      </c>
      <c r="I238" s="7" t="s">
        <v>274</v>
      </c>
      <c r="J238" s="56" t="s">
        <v>232</v>
      </c>
    </row>
    <row r="239" spans="1:10" ht="14.25" customHeight="1">
      <c r="A239" s="29"/>
      <c r="B239" s="6">
        <v>2</v>
      </c>
      <c r="C239" s="5" t="s">
        <v>273</v>
      </c>
      <c r="D239" s="6" t="s">
        <v>745</v>
      </c>
      <c r="E239" s="3">
        <v>10779000</v>
      </c>
      <c r="F239" s="3">
        <v>0</v>
      </c>
      <c r="G239" s="3">
        <v>10779000</v>
      </c>
      <c r="H239" s="13">
        <v>0</v>
      </c>
      <c r="I239" s="7" t="s">
        <v>274</v>
      </c>
      <c r="J239" s="56" t="s">
        <v>235</v>
      </c>
    </row>
    <row r="240" spans="1:10" ht="14.25" customHeight="1">
      <c r="A240" s="29"/>
      <c r="B240" s="9" t="s">
        <v>278</v>
      </c>
      <c r="C240" s="5" t="s">
        <v>185</v>
      </c>
      <c r="D240" s="6" t="s">
        <v>746</v>
      </c>
      <c r="E240" s="3">
        <v>341106218</v>
      </c>
      <c r="F240" s="3">
        <v>0</v>
      </c>
      <c r="G240" s="3">
        <v>341106218</v>
      </c>
      <c r="H240" s="13">
        <v>0</v>
      </c>
      <c r="I240" s="7">
        <v>6.6</v>
      </c>
      <c r="J240" s="32" t="s">
        <v>740</v>
      </c>
    </row>
    <row r="241" spans="1:10" ht="14.25" customHeight="1">
      <c r="A241" s="29"/>
      <c r="B241" s="6">
        <v>2</v>
      </c>
      <c r="C241" s="5" t="s">
        <v>266</v>
      </c>
      <c r="D241" s="6" t="s">
        <v>746</v>
      </c>
      <c r="E241" s="3">
        <v>400000000</v>
      </c>
      <c r="F241" s="3">
        <v>0</v>
      </c>
      <c r="G241" s="3">
        <v>400000000</v>
      </c>
      <c r="H241" s="13">
        <v>0</v>
      </c>
      <c r="I241" s="7">
        <v>6.4</v>
      </c>
      <c r="J241" s="56" t="s">
        <v>235</v>
      </c>
    </row>
    <row r="242" spans="1:10" ht="14.25" customHeight="1">
      <c r="A242" s="29"/>
      <c r="B242" s="9" t="s">
        <v>278</v>
      </c>
      <c r="C242" s="5" t="s">
        <v>273</v>
      </c>
      <c r="D242" s="6" t="s">
        <v>747</v>
      </c>
      <c r="E242" s="3">
        <v>46394000</v>
      </c>
      <c r="F242" s="3">
        <v>0</v>
      </c>
      <c r="G242" s="3">
        <v>46394000</v>
      </c>
      <c r="H242" s="13">
        <v>0</v>
      </c>
      <c r="I242" s="7" t="s">
        <v>274</v>
      </c>
      <c r="J242" s="56" t="s">
        <v>232</v>
      </c>
    </row>
    <row r="243" spans="1:10" ht="14.25" customHeight="1">
      <c r="A243" s="29"/>
      <c r="B243" s="9" t="s">
        <v>278</v>
      </c>
      <c r="C243" s="5" t="s">
        <v>189</v>
      </c>
      <c r="D243" s="6" t="s">
        <v>748</v>
      </c>
      <c r="E243" s="3">
        <v>574000000</v>
      </c>
      <c r="F243" s="3">
        <v>0</v>
      </c>
      <c r="G243" s="3">
        <v>574000000</v>
      </c>
      <c r="H243" s="13">
        <v>0</v>
      </c>
      <c r="I243" s="7">
        <v>6.7</v>
      </c>
      <c r="J243" s="56" t="s">
        <v>280</v>
      </c>
    </row>
    <row r="244" spans="1:10" ht="14.25" customHeight="1">
      <c r="A244" s="29"/>
      <c r="B244" s="6">
        <v>2</v>
      </c>
      <c r="C244" s="5" t="s">
        <v>189</v>
      </c>
      <c r="D244" s="6" t="s">
        <v>748</v>
      </c>
      <c r="E244" s="3">
        <v>1200000000</v>
      </c>
      <c r="F244" s="3">
        <v>0</v>
      </c>
      <c r="G244" s="3">
        <v>1200000000</v>
      </c>
      <c r="H244" s="13">
        <v>0</v>
      </c>
      <c r="I244" s="7">
        <v>6.65</v>
      </c>
      <c r="J244" s="56" t="s">
        <v>280</v>
      </c>
    </row>
    <row r="245" spans="1:10" ht="14.25" customHeight="1">
      <c r="A245" s="29"/>
      <c r="B245" s="6">
        <v>2</v>
      </c>
      <c r="C245" s="5" t="s">
        <v>273</v>
      </c>
      <c r="D245" s="6" t="s">
        <v>749</v>
      </c>
      <c r="E245" s="3">
        <v>58974000</v>
      </c>
      <c r="F245" s="3">
        <v>0</v>
      </c>
      <c r="G245" s="3">
        <v>58974000</v>
      </c>
      <c r="H245" s="13">
        <v>0</v>
      </c>
      <c r="I245" s="7" t="s">
        <v>274</v>
      </c>
      <c r="J245" s="56" t="s">
        <v>235</v>
      </c>
    </row>
    <row r="246" spans="1:10" ht="14.25" customHeight="1">
      <c r="A246" s="29"/>
      <c r="B246" s="6">
        <v>3</v>
      </c>
      <c r="C246" s="5" t="s">
        <v>273</v>
      </c>
      <c r="D246" s="6" t="s">
        <v>750</v>
      </c>
      <c r="E246" s="3">
        <v>84612000</v>
      </c>
      <c r="F246" s="3">
        <v>0</v>
      </c>
      <c r="G246" s="3">
        <v>84612000</v>
      </c>
      <c r="H246" s="13">
        <v>0</v>
      </c>
      <c r="I246" s="7" t="s">
        <v>274</v>
      </c>
      <c r="J246" s="56" t="s">
        <v>239</v>
      </c>
    </row>
    <row r="247" spans="1:10" ht="14.25" customHeight="1">
      <c r="A247" s="29"/>
      <c r="B247" s="6">
        <v>2</v>
      </c>
      <c r="C247" s="5" t="s">
        <v>185</v>
      </c>
      <c r="D247" s="6" t="s">
        <v>751</v>
      </c>
      <c r="E247" s="3">
        <v>923000000</v>
      </c>
      <c r="F247" s="3">
        <v>34238658</v>
      </c>
      <c r="G247" s="3">
        <v>328088185</v>
      </c>
      <c r="H247" s="13">
        <v>594911815</v>
      </c>
      <c r="I247" s="7">
        <v>5.5</v>
      </c>
      <c r="J247" s="56" t="s">
        <v>282</v>
      </c>
    </row>
    <row r="248" spans="1:10" ht="14.25" customHeight="1">
      <c r="A248" s="29"/>
      <c r="B248" s="6">
        <v>3</v>
      </c>
      <c r="C248" s="5" t="s">
        <v>266</v>
      </c>
      <c r="D248" s="6" t="s">
        <v>751</v>
      </c>
      <c r="E248" s="3">
        <v>400000000</v>
      </c>
      <c r="F248" s="3">
        <v>0</v>
      </c>
      <c r="G248" s="3">
        <v>400000000</v>
      </c>
      <c r="H248" s="13">
        <v>0</v>
      </c>
      <c r="I248" s="7">
        <v>5.7</v>
      </c>
      <c r="J248" s="56" t="s">
        <v>239</v>
      </c>
    </row>
    <row r="249" spans="1:10" ht="14.25" customHeight="1">
      <c r="A249" s="29"/>
      <c r="B249" s="6">
        <v>2</v>
      </c>
      <c r="C249" s="5" t="s">
        <v>189</v>
      </c>
      <c r="D249" s="6" t="s">
        <v>752</v>
      </c>
      <c r="E249" s="3">
        <v>1451000000</v>
      </c>
      <c r="F249" s="3">
        <v>62397015</v>
      </c>
      <c r="G249" s="3">
        <v>594871845</v>
      </c>
      <c r="H249" s="13">
        <v>856128155</v>
      </c>
      <c r="I249" s="7">
        <v>5.6</v>
      </c>
      <c r="J249" s="56" t="s">
        <v>283</v>
      </c>
    </row>
    <row r="250" spans="1:10" ht="14.25" customHeight="1">
      <c r="A250" s="29"/>
      <c r="B250" s="6">
        <v>3</v>
      </c>
      <c r="C250" s="5" t="s">
        <v>189</v>
      </c>
      <c r="D250" s="6" t="s">
        <v>752</v>
      </c>
      <c r="E250" s="3">
        <v>2000000000</v>
      </c>
      <c r="F250" s="3">
        <v>86005535</v>
      </c>
      <c r="G250" s="3">
        <v>819947410</v>
      </c>
      <c r="H250" s="13">
        <v>1180052590</v>
      </c>
      <c r="I250" s="7">
        <v>5.6</v>
      </c>
      <c r="J250" s="56" t="s">
        <v>283</v>
      </c>
    </row>
    <row r="251" spans="1:10" ht="14.25" customHeight="1">
      <c r="A251" s="29"/>
      <c r="B251" s="6">
        <v>2</v>
      </c>
      <c r="C251" s="5" t="s">
        <v>273</v>
      </c>
      <c r="D251" s="6" t="s">
        <v>753</v>
      </c>
      <c r="E251" s="3">
        <v>11224000</v>
      </c>
      <c r="F251" s="3">
        <v>0</v>
      </c>
      <c r="G251" s="3">
        <v>11224000</v>
      </c>
      <c r="H251" s="13">
        <v>0</v>
      </c>
      <c r="I251" s="7" t="s">
        <v>274</v>
      </c>
      <c r="J251" s="56" t="s">
        <v>235</v>
      </c>
    </row>
    <row r="252" spans="1:10" ht="14.25" customHeight="1">
      <c r="A252" s="29"/>
      <c r="B252" s="6">
        <v>3</v>
      </c>
      <c r="C252" s="5" t="s">
        <v>273</v>
      </c>
      <c r="D252" s="6" t="s">
        <v>753</v>
      </c>
      <c r="E252" s="3">
        <v>224672000</v>
      </c>
      <c r="F252" s="3">
        <v>0</v>
      </c>
      <c r="G252" s="3">
        <v>224672000</v>
      </c>
      <c r="H252" s="13">
        <v>0</v>
      </c>
      <c r="I252" s="7" t="s">
        <v>274</v>
      </c>
      <c r="J252" s="56" t="s">
        <v>239</v>
      </c>
    </row>
    <row r="253" spans="1:10" ht="14.25" customHeight="1">
      <c r="A253" s="29"/>
      <c r="B253" s="6">
        <v>4</v>
      </c>
      <c r="C253" s="5" t="s">
        <v>266</v>
      </c>
      <c r="D253" s="6" t="s">
        <v>754</v>
      </c>
      <c r="E253" s="3">
        <v>567000000</v>
      </c>
      <c r="F253" s="3">
        <v>0</v>
      </c>
      <c r="G253" s="3">
        <v>567000000</v>
      </c>
      <c r="H253" s="13">
        <v>0</v>
      </c>
      <c r="I253" s="7">
        <v>4.3</v>
      </c>
      <c r="J253" s="56" t="s">
        <v>242</v>
      </c>
    </row>
    <row r="254" spans="1:10" ht="14.25" customHeight="1">
      <c r="A254" s="29"/>
      <c r="B254" s="6">
        <v>3</v>
      </c>
      <c r="C254" s="5" t="s">
        <v>185</v>
      </c>
      <c r="D254" s="6" t="s">
        <v>755</v>
      </c>
      <c r="E254" s="3">
        <v>1920000000</v>
      </c>
      <c r="F254" s="3">
        <v>70028961</v>
      </c>
      <c r="G254" s="3">
        <v>668943750</v>
      </c>
      <c r="H254" s="13">
        <v>1251056250</v>
      </c>
      <c r="I254" s="7">
        <v>4.4000000000000004</v>
      </c>
      <c r="J254" s="56" t="s">
        <v>284</v>
      </c>
    </row>
    <row r="255" spans="1:10" ht="14.25" customHeight="1">
      <c r="A255" s="29"/>
      <c r="B255" s="6">
        <v>3</v>
      </c>
      <c r="C255" s="5" t="s">
        <v>189</v>
      </c>
      <c r="D255" s="6" t="s">
        <v>756</v>
      </c>
      <c r="E255" s="3">
        <v>560000000</v>
      </c>
      <c r="F255" s="3">
        <v>23340401</v>
      </c>
      <c r="G255" s="3">
        <v>222413971</v>
      </c>
      <c r="H255" s="13">
        <v>337586029</v>
      </c>
      <c r="I255" s="7">
        <v>4.45</v>
      </c>
      <c r="J255" s="56" t="s">
        <v>285</v>
      </c>
    </row>
    <row r="256" spans="1:10" ht="14.25" customHeight="1">
      <c r="A256" s="29"/>
      <c r="B256" s="6">
        <v>4</v>
      </c>
      <c r="C256" s="5" t="s">
        <v>189</v>
      </c>
      <c r="D256" s="6" t="s">
        <v>756</v>
      </c>
      <c r="E256" s="3">
        <v>1000000</v>
      </c>
      <c r="F256" s="3">
        <v>41641</v>
      </c>
      <c r="G256" s="3">
        <v>395831</v>
      </c>
      <c r="H256" s="13">
        <v>604169</v>
      </c>
      <c r="I256" s="7">
        <v>4.5</v>
      </c>
      <c r="J256" s="56" t="s">
        <v>285</v>
      </c>
    </row>
    <row r="257" spans="1:10" ht="14.25" customHeight="1">
      <c r="A257" s="31"/>
      <c r="B257" s="6">
        <v>4</v>
      </c>
      <c r="C257" s="5" t="s">
        <v>189</v>
      </c>
      <c r="D257" s="6" t="s">
        <v>756</v>
      </c>
      <c r="E257" s="3">
        <v>4498000000</v>
      </c>
      <c r="F257" s="3">
        <v>187473433</v>
      </c>
      <c r="G257" s="3">
        <v>1786460786</v>
      </c>
      <c r="H257" s="13">
        <v>2711539214</v>
      </c>
      <c r="I257" s="7">
        <v>4.45</v>
      </c>
      <c r="J257" s="56" t="s">
        <v>285</v>
      </c>
    </row>
    <row r="258" spans="1:10" ht="14.25" customHeight="1">
      <c r="A258" s="29"/>
      <c r="B258" s="6">
        <v>4</v>
      </c>
      <c r="C258" s="5" t="s">
        <v>185</v>
      </c>
      <c r="D258" s="6" t="s">
        <v>757</v>
      </c>
      <c r="E258" s="3">
        <v>8780000000</v>
      </c>
      <c r="F258" s="3">
        <v>315837059</v>
      </c>
      <c r="G258" s="3">
        <v>2918426978</v>
      </c>
      <c r="H258" s="13">
        <v>5861573022</v>
      </c>
      <c r="I258" s="7">
        <v>3.65</v>
      </c>
      <c r="J258" s="56" t="s">
        <v>286</v>
      </c>
    </row>
    <row r="259" spans="1:10" ht="14.25" customHeight="1">
      <c r="A259" s="29"/>
      <c r="B259" s="6">
        <v>4</v>
      </c>
      <c r="C259" s="5" t="s">
        <v>189</v>
      </c>
      <c r="D259" s="6" t="s">
        <v>757</v>
      </c>
      <c r="E259" s="3">
        <v>1354000000</v>
      </c>
      <c r="F259" s="3">
        <v>55106397</v>
      </c>
      <c r="G259" s="3">
        <v>508041342</v>
      </c>
      <c r="H259" s="13">
        <v>845958658</v>
      </c>
      <c r="I259" s="7">
        <v>3.7</v>
      </c>
      <c r="J259" s="56" t="s">
        <v>282</v>
      </c>
    </row>
    <row r="260" spans="1:10" ht="14.25" customHeight="1">
      <c r="A260" s="31"/>
      <c r="B260" s="6">
        <v>5</v>
      </c>
      <c r="C260" s="5" t="s">
        <v>189</v>
      </c>
      <c r="D260" s="6" t="s">
        <v>757</v>
      </c>
      <c r="E260" s="3">
        <v>3928000000</v>
      </c>
      <c r="F260" s="3">
        <v>159865529</v>
      </c>
      <c r="G260" s="3">
        <v>1473845193</v>
      </c>
      <c r="H260" s="13">
        <v>2454154807</v>
      </c>
      <c r="I260" s="7">
        <v>3.7</v>
      </c>
      <c r="J260" s="56" t="s">
        <v>282</v>
      </c>
    </row>
    <row r="261" spans="1:10" ht="14.25" customHeight="1">
      <c r="A261" s="29"/>
      <c r="B261" s="6">
        <v>5</v>
      </c>
      <c r="C261" s="5" t="s">
        <v>266</v>
      </c>
      <c r="D261" s="6" t="s">
        <v>758</v>
      </c>
      <c r="E261" s="3">
        <v>744000000</v>
      </c>
      <c r="F261" s="3">
        <v>0</v>
      </c>
      <c r="G261" s="3">
        <v>744000000</v>
      </c>
      <c r="H261" s="13">
        <v>0</v>
      </c>
      <c r="I261" s="7">
        <v>4.4000000000000004</v>
      </c>
      <c r="J261" s="56" t="s">
        <v>246</v>
      </c>
    </row>
    <row r="262" spans="1:10" ht="14.25" customHeight="1">
      <c r="A262" s="29"/>
      <c r="B262" s="6" t="s">
        <v>759</v>
      </c>
      <c r="C262" s="5" t="s">
        <v>266</v>
      </c>
      <c r="D262" s="6" t="s">
        <v>760</v>
      </c>
      <c r="E262" s="3">
        <v>580000000</v>
      </c>
      <c r="F262" s="3">
        <v>0</v>
      </c>
      <c r="G262" s="3">
        <v>580000000</v>
      </c>
      <c r="H262" s="13">
        <v>0</v>
      </c>
      <c r="I262" s="7">
        <v>4.5</v>
      </c>
      <c r="J262" s="56" t="s">
        <v>244</v>
      </c>
    </row>
    <row r="263" spans="1:10" ht="14.25" customHeight="1">
      <c r="A263" s="74"/>
      <c r="B263" s="6" t="s">
        <v>761</v>
      </c>
      <c r="C263" s="5" t="s">
        <v>185</v>
      </c>
      <c r="D263" s="6" t="s">
        <v>762</v>
      </c>
      <c r="E263" s="3">
        <v>6664000000</v>
      </c>
      <c r="F263" s="3">
        <v>219939133</v>
      </c>
      <c r="G263" s="3">
        <v>1804036965</v>
      </c>
      <c r="H263" s="13">
        <v>4859963035</v>
      </c>
      <c r="I263" s="7">
        <v>4.6500000000000004</v>
      </c>
      <c r="J263" s="56" t="s">
        <v>287</v>
      </c>
    </row>
    <row r="264" spans="1:10" ht="14.25" customHeight="1">
      <c r="A264" s="29"/>
      <c r="B264" s="6">
        <v>5</v>
      </c>
      <c r="C264" s="5" t="s">
        <v>189</v>
      </c>
      <c r="D264" s="6" t="s">
        <v>763</v>
      </c>
      <c r="E264" s="3">
        <v>2736000000</v>
      </c>
      <c r="F264" s="3">
        <v>103421211</v>
      </c>
      <c r="G264" s="3">
        <v>846600078</v>
      </c>
      <c r="H264" s="13">
        <v>1889399922</v>
      </c>
      <c r="I264" s="7">
        <v>4.7</v>
      </c>
      <c r="J264" s="56" t="s">
        <v>284</v>
      </c>
    </row>
    <row r="265" spans="1:10" ht="14.25" customHeight="1">
      <c r="A265" s="31"/>
      <c r="B265" s="6" t="s">
        <v>764</v>
      </c>
      <c r="C265" s="5" t="s">
        <v>266</v>
      </c>
      <c r="D265" s="6" t="s">
        <v>765</v>
      </c>
      <c r="E265" s="3">
        <v>580000000</v>
      </c>
      <c r="F265" s="3">
        <v>0</v>
      </c>
      <c r="G265" s="3">
        <v>580000000</v>
      </c>
      <c r="H265" s="13">
        <v>0</v>
      </c>
      <c r="I265" s="7">
        <v>3</v>
      </c>
      <c r="J265" s="56" t="s">
        <v>247</v>
      </c>
    </row>
    <row r="266" spans="1:10" ht="14.25" customHeight="1">
      <c r="A266" s="29"/>
      <c r="B266" s="9">
        <v>63</v>
      </c>
      <c r="C266" s="8" t="s">
        <v>180</v>
      </c>
      <c r="D266" s="6" t="s">
        <v>766</v>
      </c>
      <c r="E266" s="3">
        <v>1400000000</v>
      </c>
      <c r="F266" s="3">
        <v>0</v>
      </c>
      <c r="G266" s="3">
        <v>1400000000</v>
      </c>
      <c r="H266" s="13">
        <v>0</v>
      </c>
      <c r="I266" s="7">
        <v>3.3</v>
      </c>
      <c r="J266" s="56" t="s">
        <v>247</v>
      </c>
    </row>
    <row r="267" spans="1:10" ht="14.25" customHeight="1">
      <c r="A267" s="29"/>
      <c r="B267" s="9">
        <v>61</v>
      </c>
      <c r="C267" s="75" t="s">
        <v>266</v>
      </c>
      <c r="D267" s="6" t="s">
        <v>767</v>
      </c>
      <c r="E267" s="3">
        <v>1151000000</v>
      </c>
      <c r="F267" s="3">
        <v>0</v>
      </c>
      <c r="G267" s="3">
        <v>1151000000</v>
      </c>
      <c r="H267" s="13">
        <v>0</v>
      </c>
      <c r="I267" s="7">
        <v>3.4</v>
      </c>
      <c r="J267" s="32" t="s">
        <v>249</v>
      </c>
    </row>
    <row r="268" spans="1:10" ht="14.25" customHeight="1">
      <c r="A268" s="29"/>
      <c r="B268" s="9">
        <v>62</v>
      </c>
      <c r="C268" s="75" t="s">
        <v>266</v>
      </c>
      <c r="D268" s="6" t="s">
        <v>768</v>
      </c>
      <c r="E268" s="3">
        <v>580000000</v>
      </c>
      <c r="F268" s="3">
        <v>0</v>
      </c>
      <c r="G268" s="3">
        <v>580000000</v>
      </c>
      <c r="H268" s="13">
        <v>0</v>
      </c>
      <c r="I268" s="7">
        <v>2.5</v>
      </c>
      <c r="J268" s="32" t="s">
        <v>251</v>
      </c>
    </row>
    <row r="269" spans="1:10" ht="14.25" customHeight="1">
      <c r="A269" s="29"/>
      <c r="B269" s="6" t="s">
        <v>314</v>
      </c>
      <c r="C269" s="75" t="s">
        <v>266</v>
      </c>
      <c r="D269" s="6" t="s">
        <v>769</v>
      </c>
      <c r="E269" s="3">
        <v>579000000</v>
      </c>
      <c r="F269" s="3">
        <v>579000000</v>
      </c>
      <c r="G269" s="3">
        <v>579000000</v>
      </c>
      <c r="H269" s="13">
        <v>0</v>
      </c>
      <c r="I269" s="7">
        <v>1.8</v>
      </c>
      <c r="J269" s="32" t="s">
        <v>717</v>
      </c>
    </row>
    <row r="270" spans="1:10" ht="14.25" customHeight="1">
      <c r="A270" s="29"/>
      <c r="B270" s="6">
        <v>4</v>
      </c>
      <c r="C270" s="75" t="s">
        <v>266</v>
      </c>
      <c r="D270" s="6" t="s">
        <v>770</v>
      </c>
      <c r="E270" s="3">
        <v>328000000</v>
      </c>
      <c r="F270" s="3">
        <v>0</v>
      </c>
      <c r="G270" s="3">
        <v>0</v>
      </c>
      <c r="H270" s="13">
        <v>328000000</v>
      </c>
      <c r="I270" s="7">
        <v>1.3</v>
      </c>
      <c r="J270" s="32" t="s">
        <v>771</v>
      </c>
    </row>
    <row r="271" spans="1:10" ht="14.25" customHeight="1">
      <c r="A271" s="29"/>
      <c r="B271" s="6">
        <v>5</v>
      </c>
      <c r="C271" s="75" t="s">
        <v>266</v>
      </c>
      <c r="D271" s="6" t="s">
        <v>288</v>
      </c>
      <c r="E271" s="3">
        <v>431000000</v>
      </c>
      <c r="F271" s="3">
        <v>0</v>
      </c>
      <c r="G271" s="3">
        <v>0</v>
      </c>
      <c r="H271" s="13">
        <v>431000000</v>
      </c>
      <c r="I271" s="7">
        <v>0.5</v>
      </c>
      <c r="J271" s="32" t="s">
        <v>267</v>
      </c>
    </row>
    <row r="272" spans="1:10" ht="14.25" customHeight="1">
      <c r="A272" s="29"/>
      <c r="B272" s="9" t="s">
        <v>315</v>
      </c>
      <c r="C272" s="75" t="s">
        <v>163</v>
      </c>
      <c r="D272" s="6" t="s">
        <v>772</v>
      </c>
      <c r="E272" s="3">
        <v>2392586361</v>
      </c>
      <c r="F272" s="3">
        <v>0</v>
      </c>
      <c r="G272" s="3">
        <v>2392586361</v>
      </c>
      <c r="H272" s="13">
        <v>0</v>
      </c>
      <c r="I272" s="7">
        <v>7.3</v>
      </c>
      <c r="J272" s="32" t="s">
        <v>713</v>
      </c>
    </row>
    <row r="273" spans="1:10" ht="14.25" customHeight="1">
      <c r="A273" s="29"/>
      <c r="B273" s="6">
        <v>58</v>
      </c>
      <c r="C273" s="75" t="s">
        <v>163</v>
      </c>
      <c r="D273" s="6" t="s">
        <v>772</v>
      </c>
      <c r="E273" s="3">
        <v>3064541455</v>
      </c>
      <c r="F273" s="3">
        <v>0</v>
      </c>
      <c r="G273" s="3">
        <v>3064541455</v>
      </c>
      <c r="H273" s="13">
        <v>0</v>
      </c>
      <c r="I273" s="7">
        <v>7.1</v>
      </c>
      <c r="J273" s="56" t="s">
        <v>773</v>
      </c>
    </row>
    <row r="274" spans="1:10" ht="14.25" customHeight="1">
      <c r="A274" s="29"/>
      <c r="B274" s="9">
        <v>59</v>
      </c>
      <c r="C274" s="75" t="s">
        <v>163</v>
      </c>
      <c r="D274" s="6" t="s">
        <v>772</v>
      </c>
      <c r="E274" s="3">
        <v>1613726604</v>
      </c>
      <c r="F274" s="3">
        <v>0</v>
      </c>
      <c r="G274" s="3">
        <v>1613726604</v>
      </c>
      <c r="H274" s="13">
        <v>0</v>
      </c>
      <c r="I274" s="7">
        <v>6.3</v>
      </c>
      <c r="J274" s="56" t="s">
        <v>720</v>
      </c>
    </row>
    <row r="275" spans="1:10" ht="14.25" customHeight="1">
      <c r="A275" s="29"/>
      <c r="B275" s="6">
        <v>60</v>
      </c>
      <c r="C275" s="75" t="s">
        <v>163</v>
      </c>
      <c r="D275" s="6" t="s">
        <v>772</v>
      </c>
      <c r="E275" s="3">
        <v>633208842</v>
      </c>
      <c r="F275" s="3">
        <v>48097871</v>
      </c>
      <c r="G275" s="3">
        <v>217595682</v>
      </c>
      <c r="H275" s="13">
        <v>415613160</v>
      </c>
      <c r="I275" s="7">
        <v>5.2</v>
      </c>
      <c r="J275" s="56" t="s">
        <v>276</v>
      </c>
    </row>
    <row r="276" spans="1:10" ht="14.25" customHeight="1">
      <c r="A276" s="29"/>
      <c r="B276" s="6">
        <v>61</v>
      </c>
      <c r="C276" s="75" t="s">
        <v>163</v>
      </c>
      <c r="D276" s="6" t="s">
        <v>772</v>
      </c>
      <c r="E276" s="3">
        <v>515808158</v>
      </c>
      <c r="F276" s="3">
        <v>35339503</v>
      </c>
      <c r="G276" s="3">
        <v>160469914</v>
      </c>
      <c r="H276" s="13">
        <v>355338244</v>
      </c>
      <c r="I276" s="7">
        <v>5</v>
      </c>
      <c r="J276" s="56" t="s">
        <v>277</v>
      </c>
    </row>
    <row r="277" spans="1:10" ht="14.25" customHeight="1">
      <c r="A277" s="29"/>
      <c r="B277" s="9">
        <v>62</v>
      </c>
      <c r="C277" s="75" t="s">
        <v>163</v>
      </c>
      <c r="D277" s="6" t="s">
        <v>772</v>
      </c>
      <c r="E277" s="3">
        <v>528495314</v>
      </c>
      <c r="F277" s="3">
        <v>32870796</v>
      </c>
      <c r="G277" s="3">
        <v>149676350</v>
      </c>
      <c r="H277" s="13">
        <v>378818964</v>
      </c>
      <c r="I277" s="7">
        <v>4.8499999999999996</v>
      </c>
      <c r="J277" s="56" t="s">
        <v>774</v>
      </c>
    </row>
    <row r="278" spans="1:10" ht="14.25" customHeight="1">
      <c r="A278" s="29"/>
      <c r="B278" s="6">
        <v>63</v>
      </c>
      <c r="C278" s="75" t="s">
        <v>163</v>
      </c>
      <c r="D278" s="6" t="s">
        <v>289</v>
      </c>
      <c r="E278" s="3">
        <v>459296210</v>
      </c>
      <c r="F278" s="3">
        <v>26692553</v>
      </c>
      <c r="G278" s="3">
        <v>120312466</v>
      </c>
      <c r="H278" s="13">
        <v>338983744</v>
      </c>
      <c r="I278" s="7">
        <v>5.4</v>
      </c>
      <c r="J278" s="56" t="s">
        <v>283</v>
      </c>
    </row>
    <row r="279" spans="1:10" ht="14.25" customHeight="1">
      <c r="A279" s="29"/>
      <c r="B279" s="9" t="s">
        <v>316</v>
      </c>
      <c r="C279" s="75" t="s">
        <v>163</v>
      </c>
      <c r="D279" s="9" t="s">
        <v>289</v>
      </c>
      <c r="E279" s="3">
        <v>1007893782</v>
      </c>
      <c r="F279" s="3">
        <v>0</v>
      </c>
      <c r="G279" s="3">
        <v>1007893782</v>
      </c>
      <c r="H279" s="13">
        <v>0</v>
      </c>
      <c r="I279" s="7">
        <v>6.6</v>
      </c>
      <c r="J279" s="56" t="s">
        <v>720</v>
      </c>
    </row>
    <row r="280" spans="1:10" ht="14.25" customHeight="1">
      <c r="A280" s="29"/>
      <c r="B280" s="9">
        <v>18</v>
      </c>
      <c r="C280" s="75" t="s">
        <v>189</v>
      </c>
      <c r="D280" s="9" t="s">
        <v>351</v>
      </c>
      <c r="E280" s="3">
        <v>447400000</v>
      </c>
      <c r="F280" s="3">
        <v>101277557</v>
      </c>
      <c r="G280" s="3">
        <v>343523402</v>
      </c>
      <c r="H280" s="13">
        <v>103876598</v>
      </c>
      <c r="I280" s="7">
        <v>2.5499999999999998</v>
      </c>
      <c r="J280" s="56" t="s">
        <v>775</v>
      </c>
    </row>
    <row r="281" spans="1:10" ht="14.25" customHeight="1">
      <c r="A281" s="29"/>
      <c r="B281" s="9">
        <v>19</v>
      </c>
      <c r="C281" s="75" t="s">
        <v>721</v>
      </c>
      <c r="D281" s="9" t="s">
        <v>722</v>
      </c>
      <c r="E281" s="3">
        <v>99300000</v>
      </c>
      <c r="F281" s="3">
        <v>33093721</v>
      </c>
      <c r="G281" s="3">
        <v>65407264</v>
      </c>
      <c r="H281" s="13">
        <v>33892736</v>
      </c>
      <c r="I281" s="7">
        <v>2.4</v>
      </c>
      <c r="J281" s="56" t="s">
        <v>724</v>
      </c>
    </row>
    <row r="282" spans="1:10" ht="14.25" customHeight="1">
      <c r="A282" s="29"/>
      <c r="B282" s="9">
        <v>19</v>
      </c>
      <c r="C282" s="75" t="s">
        <v>189</v>
      </c>
      <c r="D282" s="9" t="s">
        <v>350</v>
      </c>
      <c r="E282" s="3">
        <v>385700000</v>
      </c>
      <c r="F282" s="3">
        <v>95247735</v>
      </c>
      <c r="G282" s="3">
        <v>188250023</v>
      </c>
      <c r="H282" s="13">
        <v>197449977</v>
      </c>
      <c r="I282" s="7">
        <v>2.4</v>
      </c>
      <c r="J282" s="56" t="s">
        <v>263</v>
      </c>
    </row>
    <row r="283" spans="1:10" ht="14.25" customHeight="1">
      <c r="A283" s="29"/>
      <c r="B283" s="9">
        <v>19</v>
      </c>
      <c r="C283" s="75" t="s">
        <v>721</v>
      </c>
      <c r="D283" s="9" t="s">
        <v>722</v>
      </c>
      <c r="E283" s="3">
        <v>355900000</v>
      </c>
      <c r="F283" s="3">
        <v>87888693</v>
      </c>
      <c r="G283" s="3">
        <v>173705427</v>
      </c>
      <c r="H283" s="13">
        <v>182194573</v>
      </c>
      <c r="I283" s="7">
        <v>2.4</v>
      </c>
      <c r="J283" s="56" t="s">
        <v>775</v>
      </c>
    </row>
    <row r="284" spans="1:10" ht="14.25" customHeight="1">
      <c r="A284" s="29"/>
      <c r="B284" s="9">
        <v>19</v>
      </c>
      <c r="C284" s="75" t="s">
        <v>721</v>
      </c>
      <c r="D284" s="9" t="s">
        <v>722</v>
      </c>
      <c r="E284" s="3">
        <v>218100000</v>
      </c>
      <c r="F284" s="3">
        <v>47585446</v>
      </c>
      <c r="G284" s="3">
        <v>94049074</v>
      </c>
      <c r="H284" s="13">
        <v>124050926</v>
      </c>
      <c r="I284" s="7">
        <v>2.4</v>
      </c>
      <c r="J284" s="56" t="s">
        <v>776</v>
      </c>
    </row>
    <row r="285" spans="1:10" ht="14.25" customHeight="1">
      <c r="A285" s="29"/>
      <c r="B285" s="9">
        <v>19</v>
      </c>
      <c r="C285" s="75" t="s">
        <v>721</v>
      </c>
      <c r="D285" s="9" t="s">
        <v>722</v>
      </c>
      <c r="E285" s="3">
        <v>61300000</v>
      </c>
      <c r="F285" s="3">
        <v>11964163</v>
      </c>
      <c r="G285" s="3">
        <v>23646272</v>
      </c>
      <c r="H285" s="13">
        <v>37653728</v>
      </c>
      <c r="I285" s="7">
        <v>2.4</v>
      </c>
      <c r="J285" s="56" t="s">
        <v>776</v>
      </c>
    </row>
    <row r="286" spans="1:10" ht="14.25" customHeight="1">
      <c r="A286" s="29"/>
      <c r="B286" s="9">
        <v>19</v>
      </c>
      <c r="C286" s="75" t="s">
        <v>721</v>
      </c>
      <c r="D286" s="9" t="s">
        <v>722</v>
      </c>
      <c r="E286" s="3">
        <v>285700000</v>
      </c>
      <c r="F286" s="3">
        <v>55761193</v>
      </c>
      <c r="G286" s="3">
        <v>110207827</v>
      </c>
      <c r="H286" s="13">
        <v>175492173</v>
      </c>
      <c r="I286" s="7">
        <v>2.4</v>
      </c>
      <c r="J286" s="56" t="s">
        <v>776</v>
      </c>
    </row>
    <row r="287" spans="1:10" ht="14.25" customHeight="1" thickBot="1">
      <c r="A287" s="84" t="s">
        <v>725</v>
      </c>
      <c r="B287" s="85" t="s">
        <v>173</v>
      </c>
      <c r="C287" s="86" t="s">
        <v>173</v>
      </c>
      <c r="D287" s="87" t="s">
        <v>173</v>
      </c>
      <c r="E287" s="88">
        <v>86567436000</v>
      </c>
      <c r="F287" s="88">
        <v>2597472098</v>
      </c>
      <c r="G287" s="88">
        <v>59704570748</v>
      </c>
      <c r="H287" s="88">
        <v>26862865252</v>
      </c>
      <c r="I287" s="89"/>
      <c r="J287" s="90" t="s">
        <v>173</v>
      </c>
    </row>
    <row r="288" spans="1:10" ht="9.75" customHeight="1" thickBot="1">
      <c r="A288" s="38"/>
      <c r="B288" s="53"/>
      <c r="C288" s="98"/>
      <c r="D288" s="53"/>
      <c r="E288" s="1"/>
      <c r="F288" s="1"/>
      <c r="G288" s="1"/>
      <c r="H288" s="23"/>
      <c r="I288" s="39"/>
      <c r="J288" s="37"/>
    </row>
    <row r="289" spans="1:10">
      <c r="A289" s="523" t="s">
        <v>733</v>
      </c>
      <c r="B289" s="515" t="s">
        <v>311</v>
      </c>
      <c r="C289" s="511" t="s">
        <v>734</v>
      </c>
      <c r="D289" s="515" t="s">
        <v>312</v>
      </c>
      <c r="E289" s="513" t="s">
        <v>352</v>
      </c>
      <c r="F289" s="519" t="s">
        <v>353</v>
      </c>
      <c r="G289" s="520"/>
      <c r="H289" s="494" t="s">
        <v>174</v>
      </c>
      <c r="I289" s="517" t="s">
        <v>354</v>
      </c>
      <c r="J289" s="521" t="s">
        <v>313</v>
      </c>
    </row>
    <row r="290" spans="1:10">
      <c r="A290" s="524"/>
      <c r="B290" s="516"/>
      <c r="C290" s="512"/>
      <c r="D290" s="516"/>
      <c r="E290" s="514"/>
      <c r="F290" s="40" t="s">
        <v>176</v>
      </c>
      <c r="G290" s="40" t="s">
        <v>305</v>
      </c>
      <c r="H290" s="495"/>
      <c r="I290" s="518"/>
      <c r="J290" s="522"/>
    </row>
    <row r="291" spans="1:10">
      <c r="A291" s="41"/>
      <c r="B291" s="42"/>
      <c r="C291" s="42"/>
      <c r="D291" s="43" t="s">
        <v>177</v>
      </c>
      <c r="E291" s="2" t="s">
        <v>178</v>
      </c>
      <c r="F291" s="2" t="s">
        <v>172</v>
      </c>
      <c r="G291" s="2" t="s">
        <v>178</v>
      </c>
      <c r="H291" s="44" t="s">
        <v>178</v>
      </c>
      <c r="I291" s="12" t="s">
        <v>355</v>
      </c>
      <c r="J291" s="45" t="s">
        <v>175</v>
      </c>
    </row>
    <row r="292" spans="1:10">
      <c r="A292" s="31" t="s">
        <v>290</v>
      </c>
      <c r="B292" s="6" t="s">
        <v>551</v>
      </c>
      <c r="C292" s="8" t="s">
        <v>180</v>
      </c>
      <c r="D292" s="6" t="s">
        <v>552</v>
      </c>
      <c r="E292" s="3">
        <v>500000000</v>
      </c>
      <c r="F292" s="3">
        <v>0</v>
      </c>
      <c r="G292" s="3">
        <v>500000000</v>
      </c>
      <c r="H292" s="13">
        <v>0</v>
      </c>
      <c r="I292" s="7">
        <v>8.5</v>
      </c>
      <c r="J292" s="56" t="s">
        <v>194</v>
      </c>
    </row>
    <row r="293" spans="1:10">
      <c r="A293" s="29" t="s">
        <v>182</v>
      </c>
      <c r="B293" s="9" t="s">
        <v>245</v>
      </c>
      <c r="C293" s="8" t="s">
        <v>180</v>
      </c>
      <c r="D293" s="6" t="s">
        <v>553</v>
      </c>
      <c r="E293" s="3">
        <v>400000000</v>
      </c>
      <c r="F293" s="3">
        <v>0</v>
      </c>
      <c r="G293" s="3">
        <v>400000000</v>
      </c>
      <c r="H293" s="13">
        <v>0</v>
      </c>
      <c r="I293" s="7">
        <v>9.1</v>
      </c>
      <c r="J293" s="56" t="s">
        <v>198</v>
      </c>
    </row>
    <row r="294" spans="1:10" ht="14.25" customHeight="1">
      <c r="A294" s="31"/>
      <c r="B294" s="9">
        <v>49</v>
      </c>
      <c r="C294" s="8" t="s">
        <v>180</v>
      </c>
      <c r="D294" s="6" t="s">
        <v>440</v>
      </c>
      <c r="E294" s="3">
        <v>800000000</v>
      </c>
      <c r="F294" s="3">
        <v>0</v>
      </c>
      <c r="G294" s="3">
        <v>800000000</v>
      </c>
      <c r="H294" s="13">
        <v>0</v>
      </c>
      <c r="I294" s="7">
        <v>9.1</v>
      </c>
      <c r="J294" s="56" t="s">
        <v>201</v>
      </c>
    </row>
    <row r="295" spans="1:10" ht="14.25" customHeight="1">
      <c r="A295" s="29"/>
      <c r="B295" s="9" t="s">
        <v>245</v>
      </c>
      <c r="C295" s="8" t="s">
        <v>180</v>
      </c>
      <c r="D295" s="6" t="s">
        <v>442</v>
      </c>
      <c r="E295" s="3">
        <v>200000000</v>
      </c>
      <c r="F295" s="3">
        <v>0</v>
      </c>
      <c r="G295" s="3">
        <v>200000000</v>
      </c>
      <c r="H295" s="13">
        <v>0</v>
      </c>
      <c r="I295" s="7">
        <v>8.6</v>
      </c>
      <c r="J295" s="56" t="s">
        <v>201</v>
      </c>
    </row>
    <row r="296" spans="1:10" ht="14.25" customHeight="1">
      <c r="A296" s="29"/>
      <c r="B296" s="9" t="s">
        <v>248</v>
      </c>
      <c r="C296" s="5" t="s">
        <v>189</v>
      </c>
      <c r="D296" s="6" t="s">
        <v>554</v>
      </c>
      <c r="E296" s="3">
        <v>300000000</v>
      </c>
      <c r="F296" s="3">
        <v>0</v>
      </c>
      <c r="G296" s="3">
        <v>300000000</v>
      </c>
      <c r="H296" s="13">
        <v>0</v>
      </c>
      <c r="I296" s="7">
        <v>7.7</v>
      </c>
      <c r="J296" s="56" t="s">
        <v>246</v>
      </c>
    </row>
    <row r="297" spans="1:10" ht="14.25" customHeight="1">
      <c r="A297" s="29"/>
      <c r="B297" s="9" t="s">
        <v>248</v>
      </c>
      <c r="C297" s="8" t="s">
        <v>180</v>
      </c>
      <c r="D297" s="6" t="s">
        <v>555</v>
      </c>
      <c r="E297" s="3">
        <v>500000000</v>
      </c>
      <c r="F297" s="3">
        <v>0</v>
      </c>
      <c r="G297" s="3">
        <v>500000000</v>
      </c>
      <c r="H297" s="13">
        <v>0</v>
      </c>
      <c r="I297" s="7">
        <v>8.6</v>
      </c>
      <c r="J297" s="56" t="s">
        <v>201</v>
      </c>
    </row>
    <row r="298" spans="1:10" ht="14.25" customHeight="1">
      <c r="A298" s="29"/>
      <c r="B298" s="9" t="s">
        <v>248</v>
      </c>
      <c r="C298" s="8" t="s">
        <v>180</v>
      </c>
      <c r="D298" s="6" t="s">
        <v>556</v>
      </c>
      <c r="E298" s="3">
        <v>1000000000</v>
      </c>
      <c r="F298" s="3">
        <v>0</v>
      </c>
      <c r="G298" s="3">
        <v>1000000000</v>
      </c>
      <c r="H298" s="13">
        <v>0</v>
      </c>
      <c r="I298" s="7">
        <v>8.6</v>
      </c>
      <c r="J298" s="56" t="s">
        <v>204</v>
      </c>
    </row>
    <row r="299" spans="1:10" ht="14.25" customHeight="1">
      <c r="A299" s="31"/>
      <c r="B299" s="9" t="s">
        <v>250</v>
      </c>
      <c r="C299" s="5" t="s">
        <v>189</v>
      </c>
      <c r="D299" s="6" t="s">
        <v>557</v>
      </c>
      <c r="E299" s="3">
        <v>1000000000</v>
      </c>
      <c r="F299" s="3">
        <v>0</v>
      </c>
      <c r="G299" s="3">
        <v>1000000000</v>
      </c>
      <c r="H299" s="13">
        <v>0</v>
      </c>
      <c r="I299" s="7">
        <v>7.7</v>
      </c>
      <c r="J299" s="56" t="s">
        <v>244</v>
      </c>
    </row>
    <row r="300" spans="1:10" ht="14.25" customHeight="1">
      <c r="A300" s="31"/>
      <c r="B300" s="6" t="s">
        <v>291</v>
      </c>
      <c r="C300" s="5" t="s">
        <v>189</v>
      </c>
      <c r="D300" s="6" t="s">
        <v>558</v>
      </c>
      <c r="E300" s="3">
        <v>1100000000</v>
      </c>
      <c r="F300" s="3">
        <v>0</v>
      </c>
      <c r="G300" s="3">
        <v>1100000000</v>
      </c>
      <c r="H300" s="13">
        <v>0</v>
      </c>
      <c r="I300" s="7">
        <v>6.7</v>
      </c>
      <c r="J300" s="56" t="s">
        <v>247</v>
      </c>
    </row>
    <row r="301" spans="1:10" ht="14.25" customHeight="1">
      <c r="A301" s="31"/>
      <c r="B301" s="9">
        <v>52</v>
      </c>
      <c r="C301" s="5" t="s">
        <v>189</v>
      </c>
      <c r="D301" s="9" t="s">
        <v>559</v>
      </c>
      <c r="E301" s="3">
        <v>1000000000</v>
      </c>
      <c r="F301" s="3">
        <v>0</v>
      </c>
      <c r="G301" s="3">
        <v>1000000000</v>
      </c>
      <c r="H301" s="13">
        <v>0</v>
      </c>
      <c r="I301" s="7">
        <v>6.25</v>
      </c>
      <c r="J301" s="56" t="s">
        <v>247</v>
      </c>
    </row>
    <row r="302" spans="1:10" ht="14.25" customHeight="1">
      <c r="A302" s="29"/>
      <c r="B302" s="9" t="s">
        <v>252</v>
      </c>
      <c r="C302" s="5" t="s">
        <v>189</v>
      </c>
      <c r="D302" s="6" t="s">
        <v>560</v>
      </c>
      <c r="E302" s="3">
        <v>1207000000</v>
      </c>
      <c r="F302" s="3">
        <v>0</v>
      </c>
      <c r="G302" s="3">
        <v>1207000000</v>
      </c>
      <c r="H302" s="13">
        <v>0</v>
      </c>
      <c r="I302" s="7">
        <v>6.25</v>
      </c>
      <c r="J302" s="56" t="s">
        <v>249</v>
      </c>
    </row>
    <row r="303" spans="1:10" ht="14.25" customHeight="1">
      <c r="A303" s="29"/>
      <c r="B303" s="9" t="s">
        <v>254</v>
      </c>
      <c r="C303" s="5" t="s">
        <v>189</v>
      </c>
      <c r="D303" s="6" t="s">
        <v>1706</v>
      </c>
      <c r="E303" s="3">
        <v>1000000000</v>
      </c>
      <c r="F303" s="3">
        <v>0</v>
      </c>
      <c r="G303" s="3">
        <v>1000000000</v>
      </c>
      <c r="H303" s="3">
        <v>0</v>
      </c>
      <c r="I303" s="7">
        <v>6.25</v>
      </c>
      <c r="J303" s="56" t="s">
        <v>249</v>
      </c>
    </row>
    <row r="304" spans="1:10" ht="14.25" customHeight="1">
      <c r="A304" s="29"/>
      <c r="B304" s="9" t="s">
        <v>252</v>
      </c>
      <c r="C304" s="5" t="s">
        <v>180</v>
      </c>
      <c r="D304" s="6" t="s">
        <v>1707</v>
      </c>
      <c r="E304" s="3">
        <v>553000000</v>
      </c>
      <c r="F304" s="3">
        <v>0</v>
      </c>
      <c r="G304" s="3">
        <v>553000000</v>
      </c>
      <c r="H304" s="3">
        <v>0</v>
      </c>
      <c r="I304" s="7">
        <v>6.6</v>
      </c>
      <c r="J304" s="56" t="s">
        <v>214</v>
      </c>
    </row>
    <row r="305" spans="1:10" ht="14.25" customHeight="1">
      <c r="A305" s="29"/>
      <c r="B305" s="9" t="s">
        <v>254</v>
      </c>
      <c r="C305" s="5" t="s">
        <v>189</v>
      </c>
      <c r="D305" s="6" t="s">
        <v>1708</v>
      </c>
      <c r="E305" s="3">
        <v>1000000000</v>
      </c>
      <c r="F305" s="3">
        <v>0</v>
      </c>
      <c r="G305" s="3">
        <v>1000000000</v>
      </c>
      <c r="H305" s="3">
        <v>0</v>
      </c>
      <c r="I305" s="7">
        <v>7.25</v>
      </c>
      <c r="J305" s="56" t="s">
        <v>251</v>
      </c>
    </row>
    <row r="306" spans="1:10" ht="14.25" customHeight="1">
      <c r="A306" s="29"/>
      <c r="B306" s="9" t="s">
        <v>254</v>
      </c>
      <c r="C306" s="5" t="s">
        <v>189</v>
      </c>
      <c r="D306" s="6" t="s">
        <v>490</v>
      </c>
      <c r="E306" s="3">
        <v>977000000</v>
      </c>
      <c r="F306" s="3">
        <v>0</v>
      </c>
      <c r="G306" s="3">
        <v>977000000</v>
      </c>
      <c r="H306" s="13">
        <v>0</v>
      </c>
      <c r="I306" s="7">
        <v>7.25</v>
      </c>
      <c r="J306" s="56" t="s">
        <v>251</v>
      </c>
    </row>
    <row r="307" spans="1:10" ht="14.25" customHeight="1">
      <c r="A307" s="29"/>
      <c r="B307" s="9" t="s">
        <v>257</v>
      </c>
      <c r="C307" s="5" t="s">
        <v>189</v>
      </c>
      <c r="D307" s="6" t="s">
        <v>463</v>
      </c>
      <c r="E307" s="3">
        <v>2600000000</v>
      </c>
      <c r="F307" s="3">
        <v>0</v>
      </c>
      <c r="G307" s="3">
        <v>2600000000</v>
      </c>
      <c r="H307" s="13">
        <v>0</v>
      </c>
      <c r="I307" s="7">
        <v>7.25</v>
      </c>
      <c r="J307" s="56" t="s">
        <v>251</v>
      </c>
    </row>
    <row r="308" spans="1:10" ht="14.25" customHeight="1">
      <c r="A308" s="29"/>
      <c r="B308" s="9" t="s">
        <v>257</v>
      </c>
      <c r="C308" s="5" t="s">
        <v>189</v>
      </c>
      <c r="D308" s="6" t="s">
        <v>470</v>
      </c>
      <c r="E308" s="3">
        <v>1435000000</v>
      </c>
      <c r="F308" s="3">
        <v>0</v>
      </c>
      <c r="G308" s="3">
        <v>1435000000</v>
      </c>
      <c r="H308" s="13">
        <v>0</v>
      </c>
      <c r="I308" s="7">
        <v>8.1</v>
      </c>
      <c r="J308" s="56" t="s">
        <v>465</v>
      </c>
    </row>
    <row r="309" spans="1:10" ht="14.25" customHeight="1">
      <c r="A309" s="29"/>
      <c r="B309" s="9" t="s">
        <v>258</v>
      </c>
      <c r="C309" s="5" t="s">
        <v>189</v>
      </c>
      <c r="D309" s="6" t="s">
        <v>491</v>
      </c>
      <c r="E309" s="3">
        <v>3380000000</v>
      </c>
      <c r="F309" s="3">
        <v>0</v>
      </c>
      <c r="G309" s="3">
        <v>3380000000</v>
      </c>
      <c r="H309" s="13">
        <v>0</v>
      </c>
      <c r="I309" s="7">
        <v>8.1</v>
      </c>
      <c r="J309" s="56" t="s">
        <v>465</v>
      </c>
    </row>
    <row r="310" spans="1:10" ht="14.25" customHeight="1">
      <c r="A310" s="29"/>
      <c r="B310" s="9" t="s">
        <v>258</v>
      </c>
      <c r="C310" s="5" t="s">
        <v>189</v>
      </c>
      <c r="D310" s="6" t="s">
        <v>473</v>
      </c>
      <c r="E310" s="3">
        <v>1605000000</v>
      </c>
      <c r="F310" s="3">
        <v>0</v>
      </c>
      <c r="G310" s="3">
        <v>1605000000</v>
      </c>
      <c r="H310" s="13">
        <v>0</v>
      </c>
      <c r="I310" s="7">
        <v>7.6</v>
      </c>
      <c r="J310" s="56" t="s">
        <v>563</v>
      </c>
    </row>
    <row r="311" spans="1:10" ht="14.25" customHeight="1">
      <c r="A311" s="29"/>
      <c r="B311" s="9" t="s">
        <v>259</v>
      </c>
      <c r="C311" s="5" t="s">
        <v>189</v>
      </c>
      <c r="D311" s="6" t="s">
        <v>475</v>
      </c>
      <c r="E311" s="3">
        <v>2800000000</v>
      </c>
      <c r="F311" s="3">
        <v>0</v>
      </c>
      <c r="G311" s="3">
        <v>2800000000</v>
      </c>
      <c r="H311" s="13">
        <v>0</v>
      </c>
      <c r="I311" s="7">
        <v>7.4</v>
      </c>
      <c r="J311" s="56" t="s">
        <v>476</v>
      </c>
    </row>
    <row r="312" spans="1:10" ht="14.25" customHeight="1">
      <c r="A312" s="29"/>
      <c r="B312" s="9" t="s">
        <v>259</v>
      </c>
      <c r="C312" s="5" t="s">
        <v>189</v>
      </c>
      <c r="D312" s="6" t="s">
        <v>564</v>
      </c>
      <c r="E312" s="3">
        <v>1450000000</v>
      </c>
      <c r="F312" s="3">
        <v>0</v>
      </c>
      <c r="G312" s="3">
        <v>1450000000</v>
      </c>
      <c r="H312" s="13">
        <v>0</v>
      </c>
      <c r="I312" s="7">
        <v>7.4</v>
      </c>
      <c r="J312" s="56" t="s">
        <v>476</v>
      </c>
    </row>
    <row r="313" spans="1:10" ht="14.25" customHeight="1">
      <c r="A313" s="29"/>
      <c r="B313" s="9" t="s">
        <v>261</v>
      </c>
      <c r="C313" s="5" t="s">
        <v>189</v>
      </c>
      <c r="D313" s="6" t="s">
        <v>565</v>
      </c>
      <c r="E313" s="3">
        <v>3480000000</v>
      </c>
      <c r="F313" s="3">
        <v>0</v>
      </c>
      <c r="G313" s="3">
        <v>3480000000</v>
      </c>
      <c r="H313" s="13">
        <v>0</v>
      </c>
      <c r="I313" s="7">
        <v>7.4</v>
      </c>
      <c r="J313" s="56" t="s">
        <v>260</v>
      </c>
    </row>
    <row r="314" spans="1:10" ht="14.25" customHeight="1">
      <c r="A314" s="31"/>
      <c r="B314" s="9">
        <v>57</v>
      </c>
      <c r="C314" s="5" t="s">
        <v>189</v>
      </c>
      <c r="D314" s="6" t="s">
        <v>566</v>
      </c>
      <c r="E314" s="3">
        <v>996000000</v>
      </c>
      <c r="F314" s="3">
        <v>0</v>
      </c>
      <c r="G314" s="3">
        <v>996000000</v>
      </c>
      <c r="H314" s="13">
        <v>0</v>
      </c>
      <c r="I314" s="7">
        <v>7.4</v>
      </c>
      <c r="J314" s="56" t="s">
        <v>567</v>
      </c>
    </row>
    <row r="315" spans="1:10" ht="14.25" customHeight="1">
      <c r="A315" s="29"/>
      <c r="B315" s="9" t="s">
        <v>262</v>
      </c>
      <c r="C315" s="5" t="s">
        <v>189</v>
      </c>
      <c r="D315" s="6" t="s">
        <v>503</v>
      </c>
      <c r="E315" s="3">
        <v>1800000000</v>
      </c>
      <c r="F315" s="3">
        <v>0</v>
      </c>
      <c r="G315" s="3">
        <v>1800000000</v>
      </c>
      <c r="H315" s="13">
        <v>0</v>
      </c>
      <c r="I315" s="7">
        <v>7.2</v>
      </c>
      <c r="J315" s="56" t="s">
        <v>504</v>
      </c>
    </row>
    <row r="316" spans="1:10" ht="14.25" customHeight="1">
      <c r="A316" s="29"/>
      <c r="B316" s="9" t="s">
        <v>262</v>
      </c>
      <c r="C316" s="5" t="s">
        <v>189</v>
      </c>
      <c r="D316" s="6" t="s">
        <v>505</v>
      </c>
      <c r="E316" s="3">
        <v>1683000000</v>
      </c>
      <c r="F316" s="3">
        <v>0</v>
      </c>
      <c r="G316" s="3">
        <v>1683000000</v>
      </c>
      <c r="H316" s="13">
        <v>0</v>
      </c>
      <c r="I316" s="7">
        <v>7.2</v>
      </c>
      <c r="J316" s="56" t="s">
        <v>264</v>
      </c>
    </row>
    <row r="317" spans="1:10" ht="14.25" customHeight="1">
      <c r="A317" s="29"/>
      <c r="B317" s="9" t="s">
        <v>265</v>
      </c>
      <c r="C317" s="5" t="s">
        <v>189</v>
      </c>
      <c r="D317" s="6" t="s">
        <v>507</v>
      </c>
      <c r="E317" s="3">
        <v>100000000</v>
      </c>
      <c r="F317" s="3">
        <v>0</v>
      </c>
      <c r="G317" s="3">
        <v>100000000</v>
      </c>
      <c r="H317" s="13">
        <v>0</v>
      </c>
      <c r="I317" s="7">
        <v>7.2</v>
      </c>
      <c r="J317" s="56" t="s">
        <v>264</v>
      </c>
    </row>
    <row r="318" spans="1:10" ht="14.25" customHeight="1">
      <c r="A318" s="29"/>
      <c r="B318" s="9" t="s">
        <v>265</v>
      </c>
      <c r="C318" s="5" t="s">
        <v>266</v>
      </c>
      <c r="D318" s="6" t="s">
        <v>508</v>
      </c>
      <c r="E318" s="3">
        <v>1000000000</v>
      </c>
      <c r="F318" s="3">
        <v>0</v>
      </c>
      <c r="G318" s="3">
        <v>1000000000</v>
      </c>
      <c r="H318" s="13">
        <v>0</v>
      </c>
      <c r="I318" s="7">
        <v>6.9</v>
      </c>
      <c r="J318" s="56" t="s">
        <v>237</v>
      </c>
    </row>
    <row r="319" spans="1:10" ht="14.25" customHeight="1">
      <c r="A319" s="29"/>
      <c r="B319" s="9" t="s">
        <v>265</v>
      </c>
      <c r="C319" s="5" t="s">
        <v>189</v>
      </c>
      <c r="D319" s="6" t="s">
        <v>509</v>
      </c>
      <c r="E319" s="3">
        <v>2077000000</v>
      </c>
      <c r="F319" s="3">
        <v>0</v>
      </c>
      <c r="G319" s="3">
        <v>2077000000</v>
      </c>
      <c r="H319" s="13">
        <v>0</v>
      </c>
      <c r="I319" s="7">
        <v>7.2</v>
      </c>
      <c r="J319" s="56" t="s">
        <v>264</v>
      </c>
    </row>
    <row r="320" spans="1:10" ht="14.25" customHeight="1">
      <c r="A320" s="29"/>
      <c r="B320" s="303" t="s">
        <v>262</v>
      </c>
      <c r="C320" s="310" t="s">
        <v>180</v>
      </c>
      <c r="D320" s="308" t="s">
        <v>1705</v>
      </c>
      <c r="E320" s="305">
        <v>940000000</v>
      </c>
      <c r="F320" s="305">
        <v>0</v>
      </c>
      <c r="G320" s="305">
        <v>940000000</v>
      </c>
      <c r="H320" s="305">
        <v>0</v>
      </c>
      <c r="I320" s="306">
        <v>6.9</v>
      </c>
      <c r="J320" s="307" t="s">
        <v>237</v>
      </c>
    </row>
    <row r="321" spans="1:10" ht="14.25" customHeight="1">
      <c r="A321" s="29"/>
      <c r="B321" s="9" t="s">
        <v>265</v>
      </c>
      <c r="C321" s="5" t="s">
        <v>189</v>
      </c>
      <c r="D321" s="6" t="s">
        <v>510</v>
      </c>
      <c r="E321" s="3">
        <v>445000000</v>
      </c>
      <c r="F321" s="3">
        <v>0</v>
      </c>
      <c r="G321" s="3">
        <v>445000000</v>
      </c>
      <c r="H321" s="13">
        <v>0</v>
      </c>
      <c r="I321" s="7">
        <v>6.9</v>
      </c>
      <c r="J321" s="56" t="s">
        <v>267</v>
      </c>
    </row>
    <row r="322" spans="1:10" ht="14.25" customHeight="1">
      <c r="A322" s="29"/>
      <c r="B322" s="9" t="s">
        <v>265</v>
      </c>
      <c r="C322" s="5" t="s">
        <v>185</v>
      </c>
      <c r="D322" s="6" t="s">
        <v>569</v>
      </c>
      <c r="E322" s="3">
        <v>488000000</v>
      </c>
      <c r="F322" s="3">
        <v>0</v>
      </c>
      <c r="G322" s="3">
        <v>488000000</v>
      </c>
      <c r="H322" s="13">
        <v>0</v>
      </c>
      <c r="I322" s="7">
        <v>6.8</v>
      </c>
      <c r="J322" s="56" t="s">
        <v>271</v>
      </c>
    </row>
    <row r="323" spans="1:10" ht="14.25" customHeight="1">
      <c r="A323" s="29"/>
      <c r="B323" s="9" t="s">
        <v>268</v>
      </c>
      <c r="C323" s="5" t="s">
        <v>266</v>
      </c>
      <c r="D323" s="6" t="s">
        <v>511</v>
      </c>
      <c r="E323" s="3">
        <v>1000000000</v>
      </c>
      <c r="F323" s="3">
        <v>0</v>
      </c>
      <c r="G323" s="3">
        <v>1000000000</v>
      </c>
      <c r="H323" s="13">
        <v>0</v>
      </c>
      <c r="I323" s="7">
        <v>5.8</v>
      </c>
      <c r="J323" s="56" t="s">
        <v>219</v>
      </c>
    </row>
    <row r="324" spans="1:10" ht="14.25" customHeight="1">
      <c r="A324" s="29"/>
      <c r="B324" s="9" t="s">
        <v>268</v>
      </c>
      <c r="C324" s="5" t="s">
        <v>189</v>
      </c>
      <c r="D324" s="6" t="s">
        <v>512</v>
      </c>
      <c r="E324" s="3">
        <v>655000000</v>
      </c>
      <c r="F324" s="3">
        <v>0</v>
      </c>
      <c r="G324" s="3">
        <v>655000000</v>
      </c>
      <c r="H324" s="13">
        <v>0</v>
      </c>
      <c r="I324" s="7">
        <v>6.4</v>
      </c>
      <c r="J324" s="56" t="s">
        <v>267</v>
      </c>
    </row>
    <row r="325" spans="1:10" ht="14.25" customHeight="1">
      <c r="A325" s="29"/>
      <c r="B325" s="9" t="s">
        <v>268</v>
      </c>
      <c r="C325" s="5" t="s">
        <v>185</v>
      </c>
      <c r="D325" s="6" t="s">
        <v>570</v>
      </c>
      <c r="E325" s="3">
        <v>1302000000</v>
      </c>
      <c r="F325" s="3">
        <v>0</v>
      </c>
      <c r="G325" s="3">
        <v>1302000000</v>
      </c>
      <c r="H325" s="13">
        <v>0</v>
      </c>
      <c r="I325" s="7">
        <v>6.05</v>
      </c>
      <c r="J325" s="56" t="s">
        <v>276</v>
      </c>
    </row>
    <row r="326" spans="1:10" ht="14.25" customHeight="1">
      <c r="A326" s="29"/>
      <c r="B326" s="9" t="s">
        <v>268</v>
      </c>
      <c r="C326" s="5" t="s">
        <v>189</v>
      </c>
      <c r="D326" s="6" t="s">
        <v>571</v>
      </c>
      <c r="E326" s="3">
        <v>647000000</v>
      </c>
      <c r="F326" s="3">
        <v>0</v>
      </c>
      <c r="G326" s="3">
        <v>647000000</v>
      </c>
      <c r="H326" s="13">
        <v>0</v>
      </c>
      <c r="I326" s="7">
        <v>6.15</v>
      </c>
      <c r="J326" s="56" t="s">
        <v>269</v>
      </c>
    </row>
    <row r="327" spans="1:10" ht="14.25" customHeight="1">
      <c r="A327" s="31"/>
      <c r="B327" s="6" t="s">
        <v>572</v>
      </c>
      <c r="C327" s="5" t="s">
        <v>189</v>
      </c>
      <c r="D327" s="6" t="s">
        <v>514</v>
      </c>
      <c r="E327" s="3">
        <v>688000000</v>
      </c>
      <c r="F327" s="3">
        <v>38717865</v>
      </c>
      <c r="G327" s="3">
        <v>460209109</v>
      </c>
      <c r="H327" s="13">
        <v>227790891</v>
      </c>
      <c r="I327" s="7">
        <v>5.4</v>
      </c>
      <c r="J327" s="56" t="s">
        <v>269</v>
      </c>
    </row>
    <row r="328" spans="1:10" ht="14.25" customHeight="1">
      <c r="A328" s="29"/>
      <c r="B328" s="9" t="s">
        <v>270</v>
      </c>
      <c r="C328" s="5" t="s">
        <v>189</v>
      </c>
      <c r="D328" s="6" t="s">
        <v>515</v>
      </c>
      <c r="E328" s="3">
        <v>320000000</v>
      </c>
      <c r="F328" s="3">
        <v>17540786</v>
      </c>
      <c r="G328" s="3">
        <v>218962407</v>
      </c>
      <c r="H328" s="13">
        <v>101037593</v>
      </c>
      <c r="I328" s="7">
        <v>4.7</v>
      </c>
      <c r="J328" s="56" t="s">
        <v>269</v>
      </c>
    </row>
    <row r="329" spans="1:10" ht="14.25" customHeight="1">
      <c r="A329" s="29"/>
      <c r="B329" s="9" t="s">
        <v>270</v>
      </c>
      <c r="C329" s="5" t="s">
        <v>189</v>
      </c>
      <c r="D329" s="6" t="s">
        <v>573</v>
      </c>
      <c r="E329" s="3">
        <v>79000000</v>
      </c>
      <c r="F329" s="3">
        <v>4330381</v>
      </c>
      <c r="G329" s="3">
        <v>54056345</v>
      </c>
      <c r="H329" s="13">
        <v>24943655</v>
      </c>
      <c r="I329" s="7">
        <v>4.7</v>
      </c>
      <c r="J329" s="56" t="s">
        <v>269</v>
      </c>
    </row>
    <row r="330" spans="1:10" ht="14.25" customHeight="1">
      <c r="A330" s="29"/>
      <c r="B330" s="9" t="s">
        <v>270</v>
      </c>
      <c r="C330" s="5" t="s">
        <v>185</v>
      </c>
      <c r="D330" s="6" t="s">
        <v>574</v>
      </c>
      <c r="E330" s="3">
        <v>1086000000</v>
      </c>
      <c r="F330" s="3">
        <v>51151398</v>
      </c>
      <c r="G330" s="3">
        <v>605931964</v>
      </c>
      <c r="H330" s="13">
        <v>480068036</v>
      </c>
      <c r="I330" s="7">
        <v>5.2</v>
      </c>
      <c r="J330" s="56" t="s">
        <v>277</v>
      </c>
    </row>
    <row r="331" spans="1:10" ht="14.25" customHeight="1">
      <c r="A331" s="29"/>
      <c r="B331" s="9" t="s">
        <v>272</v>
      </c>
      <c r="C331" s="5" t="s">
        <v>189</v>
      </c>
      <c r="D331" s="6" t="s">
        <v>575</v>
      </c>
      <c r="E331" s="3">
        <v>545000000</v>
      </c>
      <c r="F331" s="3">
        <v>28844242</v>
      </c>
      <c r="G331" s="3">
        <v>337811774</v>
      </c>
      <c r="H331" s="13">
        <v>207188226</v>
      </c>
      <c r="I331" s="7">
        <v>5.0999999999999996</v>
      </c>
      <c r="J331" s="56" t="s">
        <v>271</v>
      </c>
    </row>
    <row r="332" spans="1:10" ht="14.25" customHeight="1">
      <c r="A332" s="31"/>
      <c r="B332" s="6" t="s">
        <v>576</v>
      </c>
      <c r="C332" s="5" t="s">
        <v>185</v>
      </c>
      <c r="D332" s="6" t="s">
        <v>577</v>
      </c>
      <c r="E332" s="3">
        <v>545000000</v>
      </c>
      <c r="F332" s="3">
        <v>24363405</v>
      </c>
      <c r="G332" s="3">
        <v>279960487</v>
      </c>
      <c r="H332" s="13">
        <v>265039513</v>
      </c>
      <c r="I332" s="7">
        <v>5.0999999999999996</v>
      </c>
      <c r="J332" s="56" t="s">
        <v>280</v>
      </c>
    </row>
    <row r="333" spans="1:10" ht="14.25" customHeight="1">
      <c r="A333" s="29"/>
      <c r="B333" s="9" t="s">
        <v>275</v>
      </c>
      <c r="C333" s="5" t="s">
        <v>189</v>
      </c>
      <c r="D333" s="6" t="s">
        <v>578</v>
      </c>
      <c r="E333" s="3">
        <v>600000000</v>
      </c>
      <c r="F333" s="3">
        <v>30113348</v>
      </c>
      <c r="G333" s="3">
        <v>342441919</v>
      </c>
      <c r="H333" s="13">
        <v>257558081</v>
      </c>
      <c r="I333" s="7">
        <v>4.95</v>
      </c>
      <c r="J333" s="56" t="s">
        <v>276</v>
      </c>
    </row>
    <row r="334" spans="1:10" ht="14.25" customHeight="1">
      <c r="A334" s="29"/>
      <c r="B334" s="9" t="s">
        <v>275</v>
      </c>
      <c r="C334" s="5" t="s">
        <v>185</v>
      </c>
      <c r="D334" s="6" t="s">
        <v>523</v>
      </c>
      <c r="E334" s="3">
        <v>796000000</v>
      </c>
      <c r="F334" s="3">
        <v>33824253</v>
      </c>
      <c r="G334" s="3">
        <v>366446778</v>
      </c>
      <c r="H334" s="13">
        <v>429553222</v>
      </c>
      <c r="I334" s="7">
        <v>5.4</v>
      </c>
      <c r="J334" s="56" t="s">
        <v>283</v>
      </c>
    </row>
    <row r="335" spans="1:10" ht="14.25" customHeight="1">
      <c r="A335" s="29"/>
      <c r="B335" s="6" t="s">
        <v>521</v>
      </c>
      <c r="C335" s="5" t="s">
        <v>189</v>
      </c>
      <c r="D335" s="6" t="s">
        <v>579</v>
      </c>
      <c r="E335" s="3">
        <v>300000000</v>
      </c>
      <c r="F335" s="3">
        <v>0</v>
      </c>
      <c r="G335" s="3">
        <v>300000000</v>
      </c>
      <c r="H335" s="13">
        <v>0</v>
      </c>
      <c r="I335" s="7">
        <v>6.3</v>
      </c>
      <c r="J335" s="56" t="s">
        <v>277</v>
      </c>
    </row>
    <row r="336" spans="1:10" ht="14.25" customHeight="1">
      <c r="A336" s="29"/>
      <c r="B336" s="9" t="s">
        <v>580</v>
      </c>
      <c r="C336" s="5" t="s">
        <v>185</v>
      </c>
      <c r="D336" s="6" t="s">
        <v>777</v>
      </c>
      <c r="E336" s="3">
        <v>815000000</v>
      </c>
      <c r="F336" s="3">
        <v>0</v>
      </c>
      <c r="G336" s="3">
        <v>815000000</v>
      </c>
      <c r="H336" s="13">
        <v>0</v>
      </c>
      <c r="I336" s="7">
        <v>6.6</v>
      </c>
      <c r="J336" s="56" t="s">
        <v>285</v>
      </c>
    </row>
    <row r="337" spans="1:10" ht="14.25" customHeight="1">
      <c r="A337" s="29"/>
      <c r="B337" s="9" t="s">
        <v>581</v>
      </c>
      <c r="C337" s="5" t="s">
        <v>189</v>
      </c>
      <c r="D337" s="6" t="s">
        <v>531</v>
      </c>
      <c r="E337" s="3">
        <v>258000000</v>
      </c>
      <c r="F337" s="3">
        <v>0</v>
      </c>
      <c r="G337" s="3">
        <v>258000000</v>
      </c>
      <c r="H337" s="13">
        <v>0</v>
      </c>
      <c r="I337" s="7">
        <v>6.7</v>
      </c>
      <c r="J337" s="56" t="s">
        <v>280</v>
      </c>
    </row>
    <row r="338" spans="1:10" ht="14.25" customHeight="1">
      <c r="A338" s="29"/>
      <c r="B338" s="6" t="s">
        <v>279</v>
      </c>
      <c r="C338" s="5" t="s">
        <v>189</v>
      </c>
      <c r="D338" s="6" t="s">
        <v>582</v>
      </c>
      <c r="E338" s="3">
        <v>400000000</v>
      </c>
      <c r="F338" s="3">
        <v>0</v>
      </c>
      <c r="G338" s="3">
        <v>400000000</v>
      </c>
      <c r="H338" s="13">
        <v>0</v>
      </c>
      <c r="I338" s="7">
        <v>6.65</v>
      </c>
      <c r="J338" s="56" t="s">
        <v>280</v>
      </c>
    </row>
    <row r="339" spans="1:10" ht="14.25" customHeight="1">
      <c r="A339" s="29"/>
      <c r="B339" s="6" t="s">
        <v>279</v>
      </c>
      <c r="C339" s="5" t="s">
        <v>185</v>
      </c>
      <c r="D339" s="6" t="s">
        <v>534</v>
      </c>
      <c r="E339" s="3">
        <v>212000000</v>
      </c>
      <c r="F339" s="3">
        <v>7864133</v>
      </c>
      <c r="G339" s="3">
        <v>75357200</v>
      </c>
      <c r="H339" s="13">
        <v>136642800</v>
      </c>
      <c r="I339" s="7">
        <v>5.5</v>
      </c>
      <c r="J339" s="56" t="s">
        <v>282</v>
      </c>
    </row>
    <row r="340" spans="1:10" ht="14.25" customHeight="1">
      <c r="A340" s="29"/>
      <c r="B340" s="6" t="s">
        <v>292</v>
      </c>
      <c r="C340" s="5" t="s">
        <v>189</v>
      </c>
      <c r="D340" s="6" t="s">
        <v>535</v>
      </c>
      <c r="E340" s="3">
        <v>52000000</v>
      </c>
      <c r="F340" s="3">
        <v>2234647</v>
      </c>
      <c r="G340" s="3">
        <v>21250245</v>
      </c>
      <c r="H340" s="13">
        <v>30749755</v>
      </c>
      <c r="I340" s="7">
        <v>5.65</v>
      </c>
      <c r="J340" s="56" t="s">
        <v>283</v>
      </c>
    </row>
    <row r="341" spans="1:10" ht="14.25" customHeight="1">
      <c r="A341" s="29"/>
      <c r="B341" s="6" t="s">
        <v>279</v>
      </c>
      <c r="C341" s="5" t="s">
        <v>189</v>
      </c>
      <c r="D341" s="6" t="s">
        <v>535</v>
      </c>
      <c r="E341" s="3">
        <v>336000000</v>
      </c>
      <c r="F341" s="3">
        <v>14448930</v>
      </c>
      <c r="G341" s="3">
        <v>137751164</v>
      </c>
      <c r="H341" s="13">
        <v>198248836</v>
      </c>
      <c r="I341" s="7">
        <v>5.6</v>
      </c>
      <c r="J341" s="56" t="s">
        <v>283</v>
      </c>
    </row>
    <row r="342" spans="1:10" ht="14.25" customHeight="1">
      <c r="A342" s="29"/>
      <c r="B342" s="6" t="s">
        <v>281</v>
      </c>
      <c r="C342" s="5" t="s">
        <v>189</v>
      </c>
      <c r="D342" s="6" t="s">
        <v>535</v>
      </c>
      <c r="E342" s="3">
        <v>300000000</v>
      </c>
      <c r="F342" s="3">
        <v>12892194</v>
      </c>
      <c r="G342" s="3">
        <v>122597557</v>
      </c>
      <c r="H342" s="13">
        <v>177402443</v>
      </c>
      <c r="I342" s="7">
        <v>5.65</v>
      </c>
      <c r="J342" s="56" t="s">
        <v>283</v>
      </c>
    </row>
    <row r="343" spans="1:10" ht="14.25" customHeight="1">
      <c r="A343" s="29"/>
      <c r="B343" s="6" t="s">
        <v>281</v>
      </c>
      <c r="C343" s="5" t="s">
        <v>185</v>
      </c>
      <c r="D343" s="6" t="s">
        <v>583</v>
      </c>
      <c r="E343" s="3">
        <v>440000000</v>
      </c>
      <c r="F343" s="3">
        <v>16048303</v>
      </c>
      <c r="G343" s="3">
        <v>153299610</v>
      </c>
      <c r="H343" s="13">
        <v>286700390</v>
      </c>
      <c r="I343" s="7">
        <v>4.4000000000000004</v>
      </c>
      <c r="J343" s="56" t="s">
        <v>284</v>
      </c>
    </row>
    <row r="344" spans="1:10" ht="14.25" customHeight="1" thickBot="1">
      <c r="A344" s="30"/>
      <c r="B344" s="6" t="s">
        <v>281</v>
      </c>
      <c r="C344" s="5" t="s">
        <v>189</v>
      </c>
      <c r="D344" s="6" t="s">
        <v>584</v>
      </c>
      <c r="E344" s="3">
        <v>260000000</v>
      </c>
      <c r="F344" s="3">
        <v>10826473</v>
      </c>
      <c r="G344" s="3">
        <v>102916282</v>
      </c>
      <c r="H344" s="13">
        <v>157083718</v>
      </c>
      <c r="I344" s="7">
        <v>4.5</v>
      </c>
      <c r="J344" s="56" t="s">
        <v>285</v>
      </c>
    </row>
    <row r="345" spans="1:10" ht="9.75" customHeight="1" thickBot="1">
      <c r="A345" s="36"/>
      <c r="B345" s="68"/>
      <c r="C345" s="36"/>
      <c r="D345" s="68"/>
      <c r="E345" s="27"/>
      <c r="F345" s="27"/>
      <c r="G345" s="27"/>
      <c r="H345" s="28"/>
      <c r="I345" s="69"/>
      <c r="J345" s="70"/>
    </row>
    <row r="346" spans="1:10">
      <c r="A346" s="523" t="s">
        <v>403</v>
      </c>
      <c r="B346" s="515" t="s">
        <v>311</v>
      </c>
      <c r="C346" s="511" t="s">
        <v>404</v>
      </c>
      <c r="D346" s="515" t="s">
        <v>312</v>
      </c>
      <c r="E346" s="513" t="s">
        <v>352</v>
      </c>
      <c r="F346" s="519" t="s">
        <v>353</v>
      </c>
      <c r="G346" s="520"/>
      <c r="H346" s="494" t="s">
        <v>174</v>
      </c>
      <c r="I346" s="517" t="s">
        <v>354</v>
      </c>
      <c r="J346" s="521" t="s">
        <v>313</v>
      </c>
    </row>
    <row r="347" spans="1:10">
      <c r="A347" s="524"/>
      <c r="B347" s="516"/>
      <c r="C347" s="512"/>
      <c r="D347" s="516"/>
      <c r="E347" s="514"/>
      <c r="F347" s="40" t="s">
        <v>176</v>
      </c>
      <c r="G347" s="40" t="s">
        <v>305</v>
      </c>
      <c r="H347" s="495"/>
      <c r="I347" s="518"/>
      <c r="J347" s="522"/>
    </row>
    <row r="348" spans="1:10">
      <c r="A348" s="41"/>
      <c r="B348" s="42"/>
      <c r="C348" s="42"/>
      <c r="D348" s="43" t="s">
        <v>177</v>
      </c>
      <c r="E348" s="2" t="s">
        <v>178</v>
      </c>
      <c r="F348" s="2" t="s">
        <v>172</v>
      </c>
      <c r="G348" s="2" t="s">
        <v>178</v>
      </c>
      <c r="H348" s="44" t="s">
        <v>178</v>
      </c>
      <c r="I348" s="12" t="s">
        <v>355</v>
      </c>
      <c r="J348" s="45" t="s">
        <v>175</v>
      </c>
    </row>
    <row r="349" spans="1:10">
      <c r="A349" s="31" t="s">
        <v>290</v>
      </c>
      <c r="B349" s="9" t="s">
        <v>341</v>
      </c>
      <c r="C349" s="5" t="s">
        <v>189</v>
      </c>
      <c r="D349" s="6" t="s">
        <v>694</v>
      </c>
      <c r="E349" s="3">
        <v>80000000</v>
      </c>
      <c r="F349" s="3">
        <v>3334343</v>
      </c>
      <c r="G349" s="3">
        <v>31773425</v>
      </c>
      <c r="H349" s="13">
        <v>48226575</v>
      </c>
      <c r="I349" s="7">
        <v>4.45</v>
      </c>
      <c r="J349" s="56" t="s">
        <v>285</v>
      </c>
    </row>
    <row r="350" spans="1:10">
      <c r="A350" s="29" t="s">
        <v>182</v>
      </c>
      <c r="B350" s="6">
        <v>4</v>
      </c>
      <c r="C350" s="5" t="s">
        <v>185</v>
      </c>
      <c r="D350" s="6" t="s">
        <v>757</v>
      </c>
      <c r="E350" s="3">
        <v>120000000</v>
      </c>
      <c r="F350" s="3">
        <v>4316680</v>
      </c>
      <c r="G350" s="3">
        <v>39887385</v>
      </c>
      <c r="H350" s="13">
        <v>80112615</v>
      </c>
      <c r="I350" s="7">
        <v>3.65</v>
      </c>
      <c r="J350" s="56" t="s">
        <v>286</v>
      </c>
    </row>
    <row r="351" spans="1:10" ht="14.25" customHeight="1">
      <c r="A351" s="31"/>
      <c r="B351" s="6">
        <v>5</v>
      </c>
      <c r="C351" s="5" t="s">
        <v>189</v>
      </c>
      <c r="D351" s="6" t="s">
        <v>757</v>
      </c>
      <c r="E351" s="3">
        <v>50000000</v>
      </c>
      <c r="F351" s="3">
        <v>2034949</v>
      </c>
      <c r="G351" s="3">
        <v>18760758</v>
      </c>
      <c r="H351" s="13">
        <v>31239242</v>
      </c>
      <c r="I351" s="7">
        <v>3.7</v>
      </c>
      <c r="J351" s="56" t="s">
        <v>282</v>
      </c>
    </row>
    <row r="352" spans="1:10" ht="14.25" customHeight="1">
      <c r="A352" s="29"/>
      <c r="B352" s="6">
        <v>5</v>
      </c>
      <c r="C352" s="5" t="s">
        <v>185</v>
      </c>
      <c r="D352" s="6" t="s">
        <v>778</v>
      </c>
      <c r="E352" s="3">
        <v>50000000</v>
      </c>
      <c r="F352" s="3">
        <v>1680567</v>
      </c>
      <c r="G352" s="3">
        <v>14261029</v>
      </c>
      <c r="H352" s="13">
        <v>35738971</v>
      </c>
      <c r="I352" s="7">
        <v>4.75</v>
      </c>
      <c r="J352" s="56" t="s">
        <v>287</v>
      </c>
    </row>
    <row r="353" spans="1:10" ht="14.25" customHeight="1">
      <c r="A353" s="31"/>
      <c r="B353" s="6" t="s">
        <v>759</v>
      </c>
      <c r="C353" s="5" t="s">
        <v>266</v>
      </c>
      <c r="D353" s="6" t="s">
        <v>760</v>
      </c>
      <c r="E353" s="3">
        <v>580000000</v>
      </c>
      <c r="F353" s="3">
        <v>0</v>
      </c>
      <c r="G353" s="3">
        <v>580000000</v>
      </c>
      <c r="H353" s="13">
        <v>0</v>
      </c>
      <c r="I353" s="7">
        <v>4.5</v>
      </c>
      <c r="J353" s="56" t="s">
        <v>244</v>
      </c>
    </row>
    <row r="354" spans="1:10" ht="14.25" customHeight="1">
      <c r="A354" s="31"/>
      <c r="B354" s="6" t="s">
        <v>779</v>
      </c>
      <c r="C354" s="5" t="s">
        <v>266</v>
      </c>
      <c r="D354" s="9" t="s">
        <v>780</v>
      </c>
      <c r="E354" s="3">
        <v>35000000</v>
      </c>
      <c r="F354" s="3">
        <v>0</v>
      </c>
      <c r="G354" s="3">
        <v>35000000</v>
      </c>
      <c r="H354" s="13">
        <v>0</v>
      </c>
      <c r="I354" s="7">
        <v>4.5</v>
      </c>
      <c r="J354" s="56" t="s">
        <v>244</v>
      </c>
    </row>
    <row r="355" spans="1:10" ht="14.25" customHeight="1">
      <c r="A355" s="29"/>
      <c r="B355" s="6">
        <v>6</v>
      </c>
      <c r="C355" s="5" t="s">
        <v>189</v>
      </c>
      <c r="D355" s="6" t="s">
        <v>763</v>
      </c>
      <c r="E355" s="3">
        <v>30000000</v>
      </c>
      <c r="F355" s="3">
        <v>1134004</v>
      </c>
      <c r="G355" s="3">
        <v>9282895</v>
      </c>
      <c r="H355" s="13">
        <v>20717105</v>
      </c>
      <c r="I355" s="7">
        <v>4.7</v>
      </c>
      <c r="J355" s="56" t="s">
        <v>284</v>
      </c>
    </row>
    <row r="356" spans="1:10" ht="14.25" customHeight="1">
      <c r="A356" s="29"/>
      <c r="B356" s="6" t="s">
        <v>764</v>
      </c>
      <c r="C356" s="5" t="s">
        <v>266</v>
      </c>
      <c r="D356" s="6" t="s">
        <v>765</v>
      </c>
      <c r="E356" s="3">
        <v>580000000</v>
      </c>
      <c r="F356" s="3">
        <v>0</v>
      </c>
      <c r="G356" s="3">
        <v>580000000</v>
      </c>
      <c r="H356" s="13">
        <v>0</v>
      </c>
      <c r="I356" s="7">
        <v>3</v>
      </c>
      <c r="J356" s="56" t="s">
        <v>247</v>
      </c>
    </row>
    <row r="357" spans="1:10" ht="14.25" customHeight="1">
      <c r="A357" s="29"/>
      <c r="B357" s="6" t="s">
        <v>779</v>
      </c>
      <c r="C357" s="5" t="s">
        <v>185</v>
      </c>
      <c r="D357" s="6" t="s">
        <v>781</v>
      </c>
      <c r="E357" s="3">
        <v>35000000</v>
      </c>
      <c r="F357" s="3">
        <v>1223617</v>
      </c>
      <c r="G357" s="3">
        <v>10215455</v>
      </c>
      <c r="H357" s="13">
        <v>24784545</v>
      </c>
      <c r="I357" s="7">
        <v>3.15</v>
      </c>
      <c r="J357" s="56" t="s">
        <v>293</v>
      </c>
    </row>
    <row r="358" spans="1:10" ht="14.25" customHeight="1">
      <c r="A358" s="29"/>
      <c r="B358" s="6">
        <v>7</v>
      </c>
      <c r="C358" s="5" t="s">
        <v>189</v>
      </c>
      <c r="D358" s="6" t="s">
        <v>782</v>
      </c>
      <c r="E358" s="3">
        <v>194000000</v>
      </c>
      <c r="F358" s="3">
        <v>7501095</v>
      </c>
      <c r="G358" s="3">
        <v>59658937</v>
      </c>
      <c r="H358" s="13">
        <v>134341063</v>
      </c>
      <c r="I358" s="7">
        <v>3.2</v>
      </c>
      <c r="J358" s="56" t="s">
        <v>286</v>
      </c>
    </row>
    <row r="359" spans="1:10" ht="14.25" customHeight="1">
      <c r="A359" s="29"/>
      <c r="B359" s="6">
        <v>7</v>
      </c>
      <c r="C359" s="5" t="s">
        <v>185</v>
      </c>
      <c r="D359" s="6" t="s">
        <v>783</v>
      </c>
      <c r="E359" s="3">
        <v>129000000</v>
      </c>
      <c r="F359" s="3">
        <v>4436709</v>
      </c>
      <c r="G359" s="3">
        <v>33935776</v>
      </c>
      <c r="H359" s="13">
        <v>95064224</v>
      </c>
      <c r="I359" s="7">
        <v>2.9</v>
      </c>
      <c r="J359" s="32" t="s">
        <v>294</v>
      </c>
    </row>
    <row r="360" spans="1:10" ht="14.25" customHeight="1">
      <c r="A360" s="29"/>
      <c r="B360" s="6">
        <v>8</v>
      </c>
      <c r="C360" s="5" t="s">
        <v>189</v>
      </c>
      <c r="D360" s="6" t="s">
        <v>784</v>
      </c>
      <c r="E360" s="3">
        <v>227000000</v>
      </c>
      <c r="F360" s="3">
        <v>8659909</v>
      </c>
      <c r="G360" s="3">
        <v>62878293</v>
      </c>
      <c r="H360" s="13">
        <v>164121707</v>
      </c>
      <c r="I360" s="7">
        <v>2.85</v>
      </c>
      <c r="J360" s="32" t="s">
        <v>287</v>
      </c>
    </row>
    <row r="361" spans="1:10" ht="14.25" customHeight="1">
      <c r="A361" s="29"/>
      <c r="B361" s="6">
        <v>8</v>
      </c>
      <c r="C361" s="5" t="s">
        <v>185</v>
      </c>
      <c r="D361" s="6" t="s">
        <v>785</v>
      </c>
      <c r="E361" s="3">
        <v>278000000</v>
      </c>
      <c r="F361" s="3">
        <v>9545785</v>
      </c>
      <c r="G361" s="3">
        <v>66133604</v>
      </c>
      <c r="H361" s="13">
        <v>211866396</v>
      </c>
      <c r="I361" s="7">
        <v>2.5</v>
      </c>
      <c r="J361" s="32" t="s">
        <v>295</v>
      </c>
    </row>
    <row r="362" spans="1:10" ht="14.25" customHeight="1">
      <c r="A362" s="29"/>
      <c r="B362" s="6">
        <v>9</v>
      </c>
      <c r="C362" s="5" t="s">
        <v>189</v>
      </c>
      <c r="D362" s="6" t="s">
        <v>786</v>
      </c>
      <c r="E362" s="3">
        <v>375000000</v>
      </c>
      <c r="F362" s="3">
        <v>14504581</v>
      </c>
      <c r="G362" s="3">
        <v>95309871</v>
      </c>
      <c r="H362" s="13">
        <v>279690129</v>
      </c>
      <c r="I362" s="7">
        <v>2.15</v>
      </c>
      <c r="J362" s="32" t="s">
        <v>787</v>
      </c>
    </row>
    <row r="363" spans="1:10" ht="14.25" customHeight="1">
      <c r="A363" s="29"/>
      <c r="B363" s="6">
        <v>9</v>
      </c>
      <c r="C363" s="5" t="s">
        <v>185</v>
      </c>
      <c r="D363" s="6" t="s">
        <v>788</v>
      </c>
      <c r="E363" s="3">
        <v>563000000</v>
      </c>
      <c r="F363" s="3">
        <v>19293506</v>
      </c>
      <c r="G363" s="3">
        <v>118181757</v>
      </c>
      <c r="H363" s="13">
        <v>444818243</v>
      </c>
      <c r="I363" s="7">
        <v>2.2000000000000002</v>
      </c>
      <c r="J363" s="32" t="s">
        <v>296</v>
      </c>
    </row>
    <row r="364" spans="1:10" ht="14.25" customHeight="1">
      <c r="A364" s="29"/>
      <c r="B364" s="6">
        <v>10</v>
      </c>
      <c r="C364" s="5" t="s">
        <v>189</v>
      </c>
      <c r="D364" s="6" t="s">
        <v>789</v>
      </c>
      <c r="E364" s="3">
        <v>212000000</v>
      </c>
      <c r="F364" s="3">
        <v>8053979</v>
      </c>
      <c r="G364" s="3">
        <v>45894066</v>
      </c>
      <c r="H364" s="13">
        <v>166105934</v>
      </c>
      <c r="I364" s="7">
        <v>2.1</v>
      </c>
      <c r="J364" s="32" t="s">
        <v>294</v>
      </c>
    </row>
    <row r="365" spans="1:10" ht="14.25" customHeight="1">
      <c r="A365" s="29"/>
      <c r="B365" s="6">
        <v>10</v>
      </c>
      <c r="C365" s="5" t="s">
        <v>185</v>
      </c>
      <c r="D365" s="6" t="s">
        <v>790</v>
      </c>
      <c r="E365" s="3">
        <v>496000000</v>
      </c>
      <c r="F365" s="3">
        <v>16947926</v>
      </c>
      <c r="G365" s="3">
        <v>96574525</v>
      </c>
      <c r="H365" s="13">
        <v>399425475</v>
      </c>
      <c r="I365" s="7">
        <v>2.1</v>
      </c>
      <c r="J365" s="32" t="s">
        <v>296</v>
      </c>
    </row>
    <row r="366" spans="1:10" ht="14.25" customHeight="1">
      <c r="A366" s="31"/>
      <c r="B366" s="6">
        <v>11</v>
      </c>
      <c r="C366" s="5" t="s">
        <v>189</v>
      </c>
      <c r="D366" s="6" t="s">
        <v>791</v>
      </c>
      <c r="E366" s="3">
        <v>448000000</v>
      </c>
      <c r="F366" s="3">
        <v>16798621</v>
      </c>
      <c r="G366" s="3">
        <v>80747690</v>
      </c>
      <c r="H366" s="13">
        <v>367252310</v>
      </c>
      <c r="I366" s="7">
        <v>2</v>
      </c>
      <c r="J366" s="32" t="s">
        <v>792</v>
      </c>
    </row>
    <row r="367" spans="1:10" ht="14.25" customHeight="1">
      <c r="A367" s="31"/>
      <c r="B367" s="6">
        <v>11</v>
      </c>
      <c r="C367" s="5" t="s">
        <v>185</v>
      </c>
      <c r="D367" s="6" t="s">
        <v>793</v>
      </c>
      <c r="E367" s="3">
        <v>593000000</v>
      </c>
      <c r="F367" s="3">
        <v>20022117</v>
      </c>
      <c r="G367" s="3">
        <v>96242410</v>
      </c>
      <c r="H367" s="13">
        <v>496757590</v>
      </c>
      <c r="I367" s="7">
        <v>2</v>
      </c>
      <c r="J367" s="32" t="s">
        <v>794</v>
      </c>
    </row>
    <row r="368" spans="1:10" ht="14.25" customHeight="1">
      <c r="A368" s="31"/>
      <c r="B368" s="6">
        <v>12</v>
      </c>
      <c r="C368" s="5" t="s">
        <v>189</v>
      </c>
      <c r="D368" s="6" t="s">
        <v>297</v>
      </c>
      <c r="E368" s="3">
        <v>1584000000</v>
      </c>
      <c r="F368" s="3">
        <v>60028683</v>
      </c>
      <c r="G368" s="3">
        <v>234308154</v>
      </c>
      <c r="H368" s="13">
        <v>1349691846</v>
      </c>
      <c r="I368" s="7">
        <v>1.65</v>
      </c>
      <c r="J368" s="32" t="s">
        <v>296</v>
      </c>
    </row>
    <row r="369" spans="1:10" ht="14.25" customHeight="1">
      <c r="A369" s="31"/>
      <c r="B369" s="6">
        <v>13</v>
      </c>
      <c r="C369" s="5" t="s">
        <v>189</v>
      </c>
      <c r="D369" s="6" t="s">
        <v>795</v>
      </c>
      <c r="E369" s="3">
        <v>579000000</v>
      </c>
      <c r="F369" s="3">
        <v>20458112</v>
      </c>
      <c r="G369" s="3">
        <v>60055639</v>
      </c>
      <c r="H369" s="13">
        <v>518944361</v>
      </c>
      <c r="I369" s="7">
        <v>2.2000000000000002</v>
      </c>
      <c r="J369" s="32" t="s">
        <v>794</v>
      </c>
    </row>
    <row r="370" spans="1:10" ht="14.25" customHeight="1">
      <c r="A370" s="31"/>
      <c r="B370" s="6">
        <v>14</v>
      </c>
      <c r="C370" s="5" t="s">
        <v>189</v>
      </c>
      <c r="D370" s="6" t="s">
        <v>796</v>
      </c>
      <c r="E370" s="3">
        <v>1009000000</v>
      </c>
      <c r="F370" s="3">
        <v>38395883</v>
      </c>
      <c r="G370" s="3">
        <v>76297444</v>
      </c>
      <c r="H370" s="13">
        <v>932702556</v>
      </c>
      <c r="I370" s="7">
        <v>1.3</v>
      </c>
      <c r="J370" s="32" t="s">
        <v>797</v>
      </c>
    </row>
    <row r="371" spans="1:10" ht="14.25" customHeight="1">
      <c r="A371" s="31"/>
      <c r="B371" s="6">
        <v>15</v>
      </c>
      <c r="C371" s="5" t="s">
        <v>189</v>
      </c>
      <c r="D371" s="6" t="s">
        <v>798</v>
      </c>
      <c r="E371" s="3">
        <v>870000000</v>
      </c>
      <c r="F371" s="3">
        <v>30481828</v>
      </c>
      <c r="G371" s="3">
        <v>30481828</v>
      </c>
      <c r="H371" s="13">
        <v>839518172</v>
      </c>
      <c r="I371" s="7">
        <v>1.9</v>
      </c>
      <c r="J371" s="32" t="s">
        <v>799</v>
      </c>
    </row>
    <row r="372" spans="1:10" ht="14.25" customHeight="1">
      <c r="A372" s="31"/>
      <c r="B372" s="6">
        <v>16</v>
      </c>
      <c r="C372" s="5" t="s">
        <v>189</v>
      </c>
      <c r="D372" s="6" t="s">
        <v>800</v>
      </c>
      <c r="E372" s="3">
        <v>693000000</v>
      </c>
      <c r="F372" s="3">
        <v>0</v>
      </c>
      <c r="G372" s="3">
        <v>0</v>
      </c>
      <c r="H372" s="13">
        <v>693000000</v>
      </c>
      <c r="I372" s="7">
        <v>2.1</v>
      </c>
      <c r="J372" s="32" t="s">
        <v>801</v>
      </c>
    </row>
    <row r="373" spans="1:10" ht="14.25" customHeight="1">
      <c r="A373" s="29"/>
      <c r="B373" s="9">
        <v>17</v>
      </c>
      <c r="C373" s="5" t="s">
        <v>189</v>
      </c>
      <c r="D373" s="6" t="s">
        <v>802</v>
      </c>
      <c r="E373" s="3">
        <v>362000000</v>
      </c>
      <c r="F373" s="3">
        <v>46881450</v>
      </c>
      <c r="G373" s="3">
        <v>362000000</v>
      </c>
      <c r="H373" s="13">
        <v>0</v>
      </c>
      <c r="I373" s="7">
        <v>2.0499999999999998</v>
      </c>
      <c r="J373" s="56" t="s">
        <v>717</v>
      </c>
    </row>
    <row r="374" spans="1:10" ht="14.25" customHeight="1">
      <c r="A374" s="29"/>
      <c r="B374" s="9">
        <v>17</v>
      </c>
      <c r="C374" s="5" t="s">
        <v>189</v>
      </c>
      <c r="D374" s="6" t="s">
        <v>802</v>
      </c>
      <c r="E374" s="3">
        <v>977000000</v>
      </c>
      <c r="F374" s="3">
        <v>201386565</v>
      </c>
      <c r="G374" s="3">
        <v>874755927</v>
      </c>
      <c r="H374" s="13">
        <v>102244073</v>
      </c>
      <c r="I374" s="7">
        <v>2.0499999999999998</v>
      </c>
      <c r="J374" s="56" t="s">
        <v>718</v>
      </c>
    </row>
    <row r="375" spans="1:10" ht="14.25" customHeight="1">
      <c r="A375" s="29"/>
      <c r="B375" s="9">
        <v>17</v>
      </c>
      <c r="C375" s="5" t="s">
        <v>189</v>
      </c>
      <c r="D375" s="6" t="s">
        <v>803</v>
      </c>
      <c r="E375" s="3">
        <v>1135000000</v>
      </c>
      <c r="F375" s="3">
        <v>0</v>
      </c>
      <c r="G375" s="3">
        <v>0</v>
      </c>
      <c r="H375" s="13">
        <v>1135000000</v>
      </c>
      <c r="I375" s="7">
        <v>2</v>
      </c>
      <c r="J375" s="56" t="s">
        <v>804</v>
      </c>
    </row>
    <row r="376" spans="1:10" ht="14.25" customHeight="1">
      <c r="A376" s="29"/>
      <c r="B376" s="9">
        <v>18</v>
      </c>
      <c r="C376" s="5" t="s">
        <v>189</v>
      </c>
      <c r="D376" s="9" t="s">
        <v>719</v>
      </c>
      <c r="E376" s="3">
        <v>392300000</v>
      </c>
      <c r="F376" s="3">
        <v>67471604</v>
      </c>
      <c r="G376" s="3">
        <v>392300000</v>
      </c>
      <c r="H376" s="13">
        <v>0</v>
      </c>
      <c r="I376" s="7">
        <v>2.5499999999999998</v>
      </c>
      <c r="J376" s="56" t="s">
        <v>723</v>
      </c>
    </row>
    <row r="377" spans="1:10" ht="14.25" customHeight="1">
      <c r="A377" s="29"/>
      <c r="B377" s="9">
        <v>18</v>
      </c>
      <c r="C377" s="5" t="s">
        <v>189</v>
      </c>
      <c r="D377" s="9" t="s">
        <v>719</v>
      </c>
      <c r="E377" s="3">
        <v>1195300000</v>
      </c>
      <c r="F377" s="3">
        <v>270579042</v>
      </c>
      <c r="G377" s="3">
        <v>917777206</v>
      </c>
      <c r="H377" s="13">
        <v>277522794</v>
      </c>
      <c r="I377" s="7">
        <v>2.5499999999999998</v>
      </c>
      <c r="J377" s="56" t="s">
        <v>775</v>
      </c>
    </row>
    <row r="378" spans="1:10" ht="14.25" customHeight="1">
      <c r="A378" s="29"/>
      <c r="B378" s="9">
        <v>18</v>
      </c>
      <c r="C378" s="5" t="s">
        <v>189</v>
      </c>
      <c r="D378" s="9" t="s">
        <v>347</v>
      </c>
      <c r="E378" s="3">
        <v>1109000000</v>
      </c>
      <c r="F378" s="3">
        <v>0</v>
      </c>
      <c r="G378" s="3">
        <v>0</v>
      </c>
      <c r="H378" s="13">
        <v>1109000000</v>
      </c>
      <c r="I378" s="7">
        <v>2.1</v>
      </c>
      <c r="J378" s="56" t="s">
        <v>344</v>
      </c>
    </row>
    <row r="379" spans="1:10" ht="14.25" customHeight="1">
      <c r="A379" s="29"/>
      <c r="B379" s="9">
        <v>19</v>
      </c>
      <c r="C379" s="5" t="s">
        <v>721</v>
      </c>
      <c r="D379" s="9" t="s">
        <v>722</v>
      </c>
      <c r="E379" s="3">
        <v>417100000</v>
      </c>
      <c r="F379" s="3">
        <v>211037585</v>
      </c>
      <c r="G379" s="3">
        <v>417100000</v>
      </c>
      <c r="H379" s="13">
        <v>0</v>
      </c>
      <c r="I379" s="7">
        <v>2.4</v>
      </c>
      <c r="J379" s="56" t="s">
        <v>723</v>
      </c>
    </row>
    <row r="380" spans="1:10" ht="14.25" customHeight="1">
      <c r="A380" s="29"/>
      <c r="B380" s="9">
        <v>19</v>
      </c>
      <c r="C380" s="5" t="s">
        <v>721</v>
      </c>
      <c r="D380" s="9" t="s">
        <v>722</v>
      </c>
      <c r="E380" s="3">
        <v>213300000</v>
      </c>
      <c r="F380" s="3">
        <v>71086513</v>
      </c>
      <c r="G380" s="3">
        <v>140497175</v>
      </c>
      <c r="H380" s="13">
        <v>72802825</v>
      </c>
      <c r="I380" s="7">
        <v>2.4</v>
      </c>
      <c r="J380" s="56" t="s">
        <v>724</v>
      </c>
    </row>
    <row r="381" spans="1:10" ht="14.25" customHeight="1">
      <c r="A381" s="29"/>
      <c r="B381" s="108">
        <v>19</v>
      </c>
      <c r="C381" s="304" t="s">
        <v>1700</v>
      </c>
      <c r="D381" s="303" t="s">
        <v>1701</v>
      </c>
      <c r="E381" s="305">
        <v>1129000000</v>
      </c>
      <c r="F381" s="305">
        <v>0</v>
      </c>
      <c r="G381" s="305">
        <v>0</v>
      </c>
      <c r="H381" s="305">
        <v>1129000000</v>
      </c>
      <c r="I381" s="306">
        <v>2.0499999999999998</v>
      </c>
      <c r="J381" s="307" t="s">
        <v>1702</v>
      </c>
    </row>
    <row r="382" spans="1:10" ht="14.25" customHeight="1">
      <c r="A382" s="29"/>
      <c r="B382" s="9">
        <v>20</v>
      </c>
      <c r="C382" s="309" t="s">
        <v>695</v>
      </c>
      <c r="D382" s="303" t="s">
        <v>1703</v>
      </c>
      <c r="E382" s="305">
        <v>1276000000</v>
      </c>
      <c r="F382" s="305">
        <v>0</v>
      </c>
      <c r="G382" s="305">
        <v>0</v>
      </c>
      <c r="H382" s="305">
        <v>1276000000</v>
      </c>
      <c r="I382" s="306">
        <v>1.9</v>
      </c>
      <c r="J382" s="307" t="s">
        <v>1704</v>
      </c>
    </row>
    <row r="383" spans="1:10" ht="14.25" customHeight="1">
      <c r="A383" s="29"/>
      <c r="B383" s="9">
        <v>21</v>
      </c>
      <c r="C383" s="5" t="s">
        <v>345</v>
      </c>
      <c r="D383" s="9" t="s">
        <v>808</v>
      </c>
      <c r="E383" s="3">
        <v>1020000000</v>
      </c>
      <c r="F383" s="3">
        <v>0</v>
      </c>
      <c r="G383" s="3">
        <v>0</v>
      </c>
      <c r="H383" s="13">
        <v>1020000000</v>
      </c>
      <c r="I383" s="7">
        <v>2.1</v>
      </c>
      <c r="J383" s="56" t="s">
        <v>696</v>
      </c>
    </row>
    <row r="384" spans="1:10" ht="17.25" customHeight="1">
      <c r="A384" s="51" t="s">
        <v>635</v>
      </c>
      <c r="B384" s="14" t="s">
        <v>173</v>
      </c>
      <c r="C384" s="15" t="s">
        <v>173</v>
      </c>
      <c r="D384" s="16"/>
      <c r="E384" s="17">
        <v>68488000000</v>
      </c>
      <c r="F384" s="17">
        <v>1450496011</v>
      </c>
      <c r="G384" s="17">
        <v>52052304090</v>
      </c>
      <c r="H384" s="17">
        <v>16435695910</v>
      </c>
      <c r="I384" s="19"/>
      <c r="J384" s="52" t="s">
        <v>173</v>
      </c>
    </row>
    <row r="385" spans="1:10" ht="14.25" customHeight="1">
      <c r="A385" s="31" t="s">
        <v>298</v>
      </c>
      <c r="B385" s="6" t="s">
        <v>809</v>
      </c>
      <c r="C385" s="5" t="s">
        <v>180</v>
      </c>
      <c r="D385" s="6" t="s">
        <v>810</v>
      </c>
      <c r="E385" s="3">
        <v>299000000</v>
      </c>
      <c r="F385" s="3">
        <v>0</v>
      </c>
      <c r="G385" s="3">
        <v>299000000</v>
      </c>
      <c r="H385" s="13">
        <v>0</v>
      </c>
      <c r="I385" s="12">
        <v>8</v>
      </c>
      <c r="J385" s="45" t="s">
        <v>217</v>
      </c>
    </row>
    <row r="386" spans="1:10" ht="14.25" customHeight="1">
      <c r="A386" s="29" t="s">
        <v>182</v>
      </c>
      <c r="B386" s="9">
        <v>54</v>
      </c>
      <c r="C386" s="8" t="s">
        <v>180</v>
      </c>
      <c r="D386" s="6" t="s">
        <v>811</v>
      </c>
      <c r="E386" s="3">
        <v>535000000</v>
      </c>
      <c r="F386" s="3">
        <v>0</v>
      </c>
      <c r="G386" s="3">
        <v>535000000</v>
      </c>
      <c r="H386" s="13">
        <v>0</v>
      </c>
      <c r="I386" s="7">
        <v>8.1</v>
      </c>
      <c r="J386" s="56" t="s">
        <v>223</v>
      </c>
    </row>
    <row r="387" spans="1:10" ht="14.25" customHeight="1">
      <c r="A387" s="29"/>
      <c r="B387" s="9">
        <v>55</v>
      </c>
      <c r="C387" s="8" t="s">
        <v>180</v>
      </c>
      <c r="D387" s="6" t="s">
        <v>812</v>
      </c>
      <c r="E387" s="3">
        <v>640000000</v>
      </c>
      <c r="F387" s="3">
        <v>0</v>
      </c>
      <c r="G387" s="3">
        <v>640000000</v>
      </c>
      <c r="H387" s="13">
        <v>0</v>
      </c>
      <c r="I387" s="7">
        <v>7.8</v>
      </c>
      <c r="J387" s="56" t="s">
        <v>227</v>
      </c>
    </row>
    <row r="388" spans="1:10" ht="17.25" customHeight="1">
      <c r="A388" s="51" t="s">
        <v>635</v>
      </c>
      <c r="B388" s="14" t="s">
        <v>173</v>
      </c>
      <c r="C388" s="15" t="s">
        <v>173</v>
      </c>
      <c r="D388" s="16" t="s">
        <v>173</v>
      </c>
      <c r="E388" s="17">
        <v>1474000000</v>
      </c>
      <c r="F388" s="17">
        <v>0</v>
      </c>
      <c r="G388" s="17">
        <v>1474000000</v>
      </c>
      <c r="H388" s="18">
        <v>0</v>
      </c>
      <c r="I388" s="19"/>
      <c r="J388" s="52" t="s">
        <v>173</v>
      </c>
    </row>
    <row r="389" spans="1:10" ht="14.25" customHeight="1">
      <c r="A389" s="41" t="s">
        <v>299</v>
      </c>
      <c r="B389" s="43" t="s">
        <v>813</v>
      </c>
      <c r="C389" s="11" t="s">
        <v>189</v>
      </c>
      <c r="D389" s="43" t="s">
        <v>814</v>
      </c>
      <c r="E389" s="4">
        <v>440000000</v>
      </c>
      <c r="F389" s="3">
        <v>18338886</v>
      </c>
      <c r="G389" s="3">
        <v>174753833</v>
      </c>
      <c r="H389" s="13">
        <v>265246167</v>
      </c>
      <c r="I389" s="12">
        <v>4.45</v>
      </c>
      <c r="J389" s="45" t="s">
        <v>285</v>
      </c>
    </row>
    <row r="390" spans="1:10" ht="14.25" customHeight="1">
      <c r="A390" s="29" t="s">
        <v>182</v>
      </c>
      <c r="B390" s="6">
        <v>4</v>
      </c>
      <c r="C390" s="5" t="s">
        <v>185</v>
      </c>
      <c r="D390" s="6" t="s">
        <v>815</v>
      </c>
      <c r="E390" s="3">
        <v>660000000</v>
      </c>
      <c r="F390" s="3">
        <v>23741738</v>
      </c>
      <c r="G390" s="3">
        <v>219380618</v>
      </c>
      <c r="H390" s="13">
        <v>440619382</v>
      </c>
      <c r="I390" s="7">
        <v>3.65</v>
      </c>
      <c r="J390" s="56" t="s">
        <v>286</v>
      </c>
    </row>
    <row r="391" spans="1:10" ht="14.25" customHeight="1">
      <c r="A391" s="29"/>
      <c r="B391" s="6">
        <v>5</v>
      </c>
      <c r="C391" s="5" t="s">
        <v>189</v>
      </c>
      <c r="D391" s="6" t="s">
        <v>815</v>
      </c>
      <c r="E391" s="3">
        <v>650000000</v>
      </c>
      <c r="F391" s="3">
        <v>26454326</v>
      </c>
      <c r="G391" s="3">
        <v>243889861</v>
      </c>
      <c r="H391" s="13">
        <v>406110139</v>
      </c>
      <c r="I391" s="7">
        <v>3.7</v>
      </c>
      <c r="J391" s="56" t="s">
        <v>282</v>
      </c>
    </row>
    <row r="392" spans="1:10" ht="14.25" customHeight="1">
      <c r="A392" s="29"/>
      <c r="B392" s="6">
        <v>5</v>
      </c>
      <c r="C392" s="5" t="s">
        <v>185</v>
      </c>
      <c r="D392" s="6" t="s">
        <v>816</v>
      </c>
      <c r="E392" s="3">
        <v>650000000</v>
      </c>
      <c r="F392" s="3">
        <v>21847369</v>
      </c>
      <c r="G392" s="3">
        <v>185393366</v>
      </c>
      <c r="H392" s="13">
        <v>464606634</v>
      </c>
      <c r="I392" s="7">
        <v>4.75</v>
      </c>
      <c r="J392" s="32" t="s">
        <v>287</v>
      </c>
    </row>
    <row r="393" spans="1:10" ht="14.25" customHeight="1">
      <c r="A393" s="29"/>
      <c r="B393" s="6">
        <v>6</v>
      </c>
      <c r="C393" s="5" t="s">
        <v>266</v>
      </c>
      <c r="D393" s="6" t="s">
        <v>817</v>
      </c>
      <c r="E393" s="3">
        <v>702000000</v>
      </c>
      <c r="F393" s="3">
        <v>0</v>
      </c>
      <c r="G393" s="3">
        <v>702000000</v>
      </c>
      <c r="H393" s="13">
        <v>0</v>
      </c>
      <c r="I393" s="7">
        <v>4.5</v>
      </c>
      <c r="J393" s="56" t="s">
        <v>244</v>
      </c>
    </row>
    <row r="394" spans="1:10" ht="14.25" customHeight="1">
      <c r="A394" s="31"/>
      <c r="B394" s="6">
        <v>6</v>
      </c>
      <c r="C394" s="5" t="s">
        <v>189</v>
      </c>
      <c r="D394" s="6" t="s">
        <v>818</v>
      </c>
      <c r="E394" s="3">
        <v>1122000000</v>
      </c>
      <c r="F394" s="3">
        <v>42411769</v>
      </c>
      <c r="G394" s="3">
        <v>347180296</v>
      </c>
      <c r="H394" s="13">
        <v>774819704</v>
      </c>
      <c r="I394" s="7">
        <v>4.7</v>
      </c>
      <c r="J394" s="56" t="s">
        <v>284</v>
      </c>
    </row>
    <row r="395" spans="1:10" ht="14.25" customHeight="1">
      <c r="A395" s="29"/>
      <c r="B395" s="6">
        <v>6</v>
      </c>
      <c r="C395" s="5" t="s">
        <v>185</v>
      </c>
      <c r="D395" s="6" t="s">
        <v>819</v>
      </c>
      <c r="E395" s="3">
        <v>1482000000</v>
      </c>
      <c r="F395" s="3">
        <v>51811463</v>
      </c>
      <c r="G395" s="3">
        <v>432551541</v>
      </c>
      <c r="H395" s="13">
        <v>1049448459</v>
      </c>
      <c r="I395" s="7">
        <v>3.15</v>
      </c>
      <c r="J395" s="56" t="s">
        <v>293</v>
      </c>
    </row>
    <row r="396" spans="1:10" ht="14.25" customHeight="1">
      <c r="A396" s="29"/>
      <c r="B396" s="6">
        <v>7</v>
      </c>
      <c r="C396" s="5" t="s">
        <v>189</v>
      </c>
      <c r="D396" s="6" t="s">
        <v>820</v>
      </c>
      <c r="E396" s="3">
        <v>3595000000</v>
      </c>
      <c r="F396" s="3">
        <v>139002243</v>
      </c>
      <c r="G396" s="3">
        <v>1105535434</v>
      </c>
      <c r="H396" s="13">
        <v>2489464566</v>
      </c>
      <c r="I396" s="7">
        <v>3.2</v>
      </c>
      <c r="J396" s="56" t="s">
        <v>286</v>
      </c>
    </row>
    <row r="397" spans="1:10" ht="14.25" customHeight="1">
      <c r="A397" s="29"/>
      <c r="B397" s="6">
        <v>7</v>
      </c>
      <c r="C397" s="5" t="s">
        <v>185</v>
      </c>
      <c r="D397" s="6" t="s">
        <v>821</v>
      </c>
      <c r="E397" s="3">
        <v>3195000000</v>
      </c>
      <c r="F397" s="3">
        <v>109885945</v>
      </c>
      <c r="G397" s="3">
        <v>840502371</v>
      </c>
      <c r="H397" s="13">
        <v>2354497629</v>
      </c>
      <c r="I397" s="7">
        <v>2.9</v>
      </c>
      <c r="J397" s="32" t="s">
        <v>294</v>
      </c>
    </row>
    <row r="398" spans="1:10" ht="14.25" customHeight="1">
      <c r="A398" s="93"/>
      <c r="B398" s="9">
        <v>8</v>
      </c>
      <c r="C398" s="5" t="s">
        <v>189</v>
      </c>
      <c r="D398" s="9" t="s">
        <v>822</v>
      </c>
      <c r="E398" s="3">
        <v>4848000000</v>
      </c>
      <c r="F398" s="3">
        <v>184948181</v>
      </c>
      <c r="G398" s="3">
        <v>1342880909</v>
      </c>
      <c r="H398" s="13">
        <v>3505119091</v>
      </c>
      <c r="I398" s="7">
        <v>2.85</v>
      </c>
      <c r="J398" s="56" t="s">
        <v>287</v>
      </c>
    </row>
    <row r="399" spans="1:10" ht="14.25" customHeight="1">
      <c r="A399" s="93"/>
      <c r="B399" s="9">
        <v>8</v>
      </c>
      <c r="C399" s="5" t="s">
        <v>185</v>
      </c>
      <c r="D399" s="6" t="s">
        <v>823</v>
      </c>
      <c r="E399" s="3">
        <v>5118000000</v>
      </c>
      <c r="F399" s="3">
        <v>180444693</v>
      </c>
      <c r="G399" s="3">
        <v>1265772160</v>
      </c>
      <c r="H399" s="13">
        <v>3852227840</v>
      </c>
      <c r="I399" s="7">
        <v>2.1</v>
      </c>
      <c r="J399" s="32" t="s">
        <v>295</v>
      </c>
    </row>
    <row r="400" spans="1:10" ht="14.25" customHeight="1">
      <c r="A400" s="93"/>
      <c r="B400" s="6">
        <v>9</v>
      </c>
      <c r="C400" s="5" t="s">
        <v>189</v>
      </c>
      <c r="D400" s="6" t="s">
        <v>824</v>
      </c>
      <c r="E400" s="3">
        <v>3566000000</v>
      </c>
      <c r="F400" s="3">
        <v>137928894</v>
      </c>
      <c r="G400" s="3">
        <v>906333322</v>
      </c>
      <c r="H400" s="13">
        <v>2659666678</v>
      </c>
      <c r="I400" s="7">
        <v>2.15</v>
      </c>
      <c r="J400" s="32" t="s">
        <v>293</v>
      </c>
    </row>
    <row r="401" spans="1:10" ht="14.25" customHeight="1">
      <c r="A401" s="93"/>
      <c r="B401" s="9">
        <v>9</v>
      </c>
      <c r="C401" s="5" t="s">
        <v>185</v>
      </c>
      <c r="D401" s="6" t="s">
        <v>825</v>
      </c>
      <c r="E401" s="3">
        <v>5348000000</v>
      </c>
      <c r="F401" s="3">
        <v>183271172</v>
      </c>
      <c r="G401" s="3">
        <v>1122621724</v>
      </c>
      <c r="H401" s="13">
        <v>4225378276</v>
      </c>
      <c r="I401" s="7">
        <v>2.2000000000000002</v>
      </c>
      <c r="J401" s="32" t="s">
        <v>296</v>
      </c>
    </row>
    <row r="402" spans="1:10" ht="14.25" customHeight="1">
      <c r="A402" s="93"/>
      <c r="B402" s="6">
        <v>10</v>
      </c>
      <c r="C402" s="5" t="s">
        <v>189</v>
      </c>
      <c r="D402" s="6" t="s">
        <v>826</v>
      </c>
      <c r="E402" s="3">
        <v>2758000000</v>
      </c>
      <c r="F402" s="3">
        <v>104777713</v>
      </c>
      <c r="G402" s="3">
        <v>597055824</v>
      </c>
      <c r="H402" s="13">
        <v>2160944176</v>
      </c>
      <c r="I402" s="7">
        <v>2.1</v>
      </c>
      <c r="J402" s="32" t="s">
        <v>294</v>
      </c>
    </row>
    <row r="403" spans="1:10" ht="14.25" customHeight="1">
      <c r="A403" s="93"/>
      <c r="B403" s="6">
        <v>10</v>
      </c>
      <c r="C403" s="5" t="s">
        <v>185</v>
      </c>
      <c r="D403" s="6" t="s">
        <v>827</v>
      </c>
      <c r="E403" s="3">
        <v>3707000000</v>
      </c>
      <c r="F403" s="3">
        <v>126665244</v>
      </c>
      <c r="G403" s="3">
        <v>721777748</v>
      </c>
      <c r="H403" s="13">
        <v>2985222252</v>
      </c>
      <c r="I403" s="7">
        <v>2.1</v>
      </c>
      <c r="J403" s="32" t="s">
        <v>296</v>
      </c>
    </row>
    <row r="404" spans="1:10" ht="14.25" customHeight="1">
      <c r="A404" s="93"/>
      <c r="B404" s="6">
        <v>11</v>
      </c>
      <c r="C404" s="5" t="s">
        <v>266</v>
      </c>
      <c r="D404" s="6" t="s">
        <v>828</v>
      </c>
      <c r="E404" s="3">
        <v>2000000000</v>
      </c>
      <c r="F404" s="3">
        <v>2000000000</v>
      </c>
      <c r="G404" s="3">
        <v>2000000000</v>
      </c>
      <c r="H404" s="13">
        <v>0</v>
      </c>
      <c r="I404" s="7">
        <v>1.8</v>
      </c>
      <c r="J404" s="32" t="s">
        <v>829</v>
      </c>
    </row>
    <row r="405" spans="1:10" ht="14.25" customHeight="1" thickBot="1">
      <c r="A405" s="93"/>
      <c r="B405" s="6">
        <v>11</v>
      </c>
      <c r="C405" s="5" t="s">
        <v>189</v>
      </c>
      <c r="D405" s="6" t="s">
        <v>830</v>
      </c>
      <c r="E405" s="3">
        <v>1860000000</v>
      </c>
      <c r="F405" s="3">
        <v>69744273</v>
      </c>
      <c r="G405" s="3">
        <v>335247109</v>
      </c>
      <c r="H405" s="13">
        <v>1524752891</v>
      </c>
      <c r="I405" s="7">
        <v>2</v>
      </c>
      <c r="J405" s="32" t="s">
        <v>831</v>
      </c>
    </row>
    <row r="406" spans="1:10" ht="9.75" customHeight="1" thickBot="1">
      <c r="A406" s="36"/>
      <c r="B406" s="68"/>
      <c r="C406" s="36"/>
      <c r="D406" s="68"/>
      <c r="E406" s="27"/>
      <c r="F406" s="27"/>
      <c r="G406" s="27"/>
      <c r="H406" s="28"/>
      <c r="I406" s="69"/>
      <c r="J406" s="73"/>
    </row>
    <row r="407" spans="1:10">
      <c r="A407" s="523" t="s">
        <v>687</v>
      </c>
      <c r="B407" s="515" t="s">
        <v>311</v>
      </c>
      <c r="C407" s="511" t="s">
        <v>688</v>
      </c>
      <c r="D407" s="515" t="s">
        <v>312</v>
      </c>
      <c r="E407" s="513" t="s">
        <v>352</v>
      </c>
      <c r="F407" s="519" t="s">
        <v>353</v>
      </c>
      <c r="G407" s="520"/>
      <c r="H407" s="494" t="s">
        <v>174</v>
      </c>
      <c r="I407" s="517" t="s">
        <v>354</v>
      </c>
      <c r="J407" s="521" t="s">
        <v>313</v>
      </c>
    </row>
    <row r="408" spans="1:10">
      <c r="A408" s="524"/>
      <c r="B408" s="516"/>
      <c r="C408" s="512"/>
      <c r="D408" s="516"/>
      <c r="E408" s="514"/>
      <c r="F408" s="40" t="s">
        <v>176</v>
      </c>
      <c r="G408" s="40" t="s">
        <v>305</v>
      </c>
      <c r="H408" s="495"/>
      <c r="I408" s="518"/>
      <c r="J408" s="522"/>
    </row>
    <row r="409" spans="1:10">
      <c r="A409" s="41"/>
      <c r="B409" s="42"/>
      <c r="C409" s="42"/>
      <c r="D409" s="43" t="s">
        <v>177</v>
      </c>
      <c r="E409" s="2" t="s">
        <v>178</v>
      </c>
      <c r="F409" s="2" t="s">
        <v>172</v>
      </c>
      <c r="G409" s="2" t="s">
        <v>178</v>
      </c>
      <c r="H409" s="44" t="s">
        <v>178</v>
      </c>
      <c r="I409" s="12" t="s">
        <v>355</v>
      </c>
      <c r="J409" s="45" t="s">
        <v>175</v>
      </c>
    </row>
    <row r="410" spans="1:10" ht="14.25" customHeight="1">
      <c r="A410" s="31" t="s">
        <v>299</v>
      </c>
      <c r="B410" s="9" t="s">
        <v>342</v>
      </c>
      <c r="C410" s="5" t="s">
        <v>185</v>
      </c>
      <c r="D410" s="6" t="s">
        <v>697</v>
      </c>
      <c r="E410" s="3">
        <v>2253000000</v>
      </c>
      <c r="F410" s="3">
        <v>76070540</v>
      </c>
      <c r="G410" s="3">
        <v>365656240</v>
      </c>
      <c r="H410" s="13">
        <v>1887343760</v>
      </c>
      <c r="I410" s="7">
        <v>2</v>
      </c>
      <c r="J410" s="32" t="s">
        <v>794</v>
      </c>
    </row>
    <row r="411" spans="1:10" ht="14.25" customHeight="1">
      <c r="A411" s="29" t="s">
        <v>182</v>
      </c>
      <c r="B411" s="6">
        <v>12</v>
      </c>
      <c r="C411" s="5" t="s">
        <v>266</v>
      </c>
      <c r="D411" s="6" t="s">
        <v>832</v>
      </c>
      <c r="E411" s="3">
        <v>1491000000</v>
      </c>
      <c r="F411" s="3">
        <v>0</v>
      </c>
      <c r="G411" s="3">
        <v>0</v>
      </c>
      <c r="H411" s="13">
        <v>1491000000</v>
      </c>
      <c r="I411" s="7">
        <v>1.7</v>
      </c>
      <c r="J411" s="32" t="s">
        <v>718</v>
      </c>
    </row>
    <row r="412" spans="1:10" ht="14.25" customHeight="1">
      <c r="A412" s="31"/>
      <c r="B412" s="9">
        <v>12</v>
      </c>
      <c r="C412" s="5" t="s">
        <v>189</v>
      </c>
      <c r="D412" s="6" t="s">
        <v>833</v>
      </c>
      <c r="E412" s="3">
        <v>1785000000</v>
      </c>
      <c r="F412" s="3">
        <v>67645959</v>
      </c>
      <c r="G412" s="3">
        <v>264040438</v>
      </c>
      <c r="H412" s="13">
        <v>1520959562</v>
      </c>
      <c r="I412" s="7">
        <v>1.65</v>
      </c>
      <c r="J412" s="32" t="s">
        <v>834</v>
      </c>
    </row>
    <row r="413" spans="1:10" ht="14.25" customHeight="1">
      <c r="A413" s="29"/>
      <c r="B413" s="6">
        <v>12</v>
      </c>
      <c r="C413" s="5" t="s">
        <v>164</v>
      </c>
      <c r="D413" s="6" t="s">
        <v>835</v>
      </c>
      <c r="E413" s="3">
        <v>1950000000</v>
      </c>
      <c r="F413" s="3">
        <v>67133781</v>
      </c>
      <c r="G413" s="3">
        <v>262233659</v>
      </c>
      <c r="H413" s="13">
        <v>1687766341</v>
      </c>
      <c r="I413" s="7">
        <v>1.6</v>
      </c>
      <c r="J413" s="32" t="s">
        <v>797</v>
      </c>
    </row>
    <row r="414" spans="1:10" ht="14.25" customHeight="1">
      <c r="A414" s="29"/>
      <c r="B414" s="6">
        <v>13</v>
      </c>
      <c r="C414" s="5" t="s">
        <v>189</v>
      </c>
      <c r="D414" s="6" t="s">
        <v>795</v>
      </c>
      <c r="E414" s="3">
        <v>2831000000</v>
      </c>
      <c r="F414" s="3">
        <v>100029214</v>
      </c>
      <c r="G414" s="3">
        <v>293639923</v>
      </c>
      <c r="H414" s="13">
        <v>2537360077</v>
      </c>
      <c r="I414" s="7">
        <v>2.2000000000000002</v>
      </c>
      <c r="J414" s="32" t="s">
        <v>794</v>
      </c>
    </row>
    <row r="415" spans="1:10" ht="14.25" customHeight="1">
      <c r="A415" s="29"/>
      <c r="B415" s="6">
        <v>13</v>
      </c>
      <c r="C415" s="5" t="s">
        <v>164</v>
      </c>
      <c r="D415" s="6" t="s">
        <v>836</v>
      </c>
      <c r="E415" s="3">
        <v>2948000000</v>
      </c>
      <c r="F415" s="3">
        <v>93577654</v>
      </c>
      <c r="G415" s="3">
        <v>274701098</v>
      </c>
      <c r="H415" s="13">
        <v>2673298902</v>
      </c>
      <c r="I415" s="7">
        <v>2.2000000000000002</v>
      </c>
      <c r="J415" s="32" t="s">
        <v>799</v>
      </c>
    </row>
    <row r="416" spans="1:10" ht="14.25" customHeight="1">
      <c r="A416" s="29"/>
      <c r="B416" s="6">
        <v>14</v>
      </c>
      <c r="C416" s="5" t="s">
        <v>164</v>
      </c>
      <c r="D416" s="6" t="s">
        <v>796</v>
      </c>
      <c r="E416" s="3">
        <v>519000000</v>
      </c>
      <c r="F416" s="3">
        <v>18132458</v>
      </c>
      <c r="G416" s="3">
        <v>36049270</v>
      </c>
      <c r="H416" s="13">
        <v>482950730</v>
      </c>
      <c r="I416" s="7">
        <v>1.2</v>
      </c>
      <c r="J416" s="32" t="s">
        <v>801</v>
      </c>
    </row>
    <row r="417" spans="1:10" ht="14.25" customHeight="1">
      <c r="A417" s="29"/>
      <c r="B417" s="9">
        <v>14</v>
      </c>
      <c r="C417" s="5" t="s">
        <v>189</v>
      </c>
      <c r="D417" s="6" t="s">
        <v>796</v>
      </c>
      <c r="E417" s="3">
        <v>2551000000</v>
      </c>
      <c r="F417" s="3">
        <v>97074229</v>
      </c>
      <c r="G417" s="3">
        <v>192898692</v>
      </c>
      <c r="H417" s="13">
        <v>2358101308</v>
      </c>
      <c r="I417" s="7">
        <v>1.3</v>
      </c>
      <c r="J417" s="32" t="s">
        <v>797</v>
      </c>
    </row>
    <row r="418" spans="1:10" ht="14.25" customHeight="1">
      <c r="A418" s="29"/>
      <c r="B418" s="6">
        <v>15</v>
      </c>
      <c r="C418" s="5" t="s">
        <v>189</v>
      </c>
      <c r="D418" s="6" t="s">
        <v>798</v>
      </c>
      <c r="E418" s="3">
        <v>992000000</v>
      </c>
      <c r="F418" s="3">
        <v>34756290</v>
      </c>
      <c r="G418" s="3">
        <v>34756290</v>
      </c>
      <c r="H418" s="13">
        <v>957243710</v>
      </c>
      <c r="I418" s="7">
        <v>1.9</v>
      </c>
      <c r="J418" s="32" t="s">
        <v>799</v>
      </c>
    </row>
    <row r="419" spans="1:10" ht="14.25" customHeight="1">
      <c r="A419" s="29"/>
      <c r="B419" s="6">
        <v>16</v>
      </c>
      <c r="C419" s="5" t="s">
        <v>189</v>
      </c>
      <c r="D419" s="6" t="s">
        <v>800</v>
      </c>
      <c r="E419" s="3">
        <v>235000000</v>
      </c>
      <c r="F419" s="3">
        <v>0</v>
      </c>
      <c r="G419" s="3">
        <v>0</v>
      </c>
      <c r="H419" s="13">
        <v>235000000</v>
      </c>
      <c r="I419" s="7">
        <v>2.1</v>
      </c>
      <c r="J419" s="32" t="s">
        <v>801</v>
      </c>
    </row>
    <row r="420" spans="1:10" ht="14.25" customHeight="1">
      <c r="A420" s="29"/>
      <c r="B420" s="6">
        <v>17</v>
      </c>
      <c r="C420" s="5" t="s">
        <v>189</v>
      </c>
      <c r="D420" s="6" t="s">
        <v>803</v>
      </c>
      <c r="E420" s="3">
        <v>100000000</v>
      </c>
      <c r="F420" s="3">
        <v>0</v>
      </c>
      <c r="G420" s="3">
        <v>0</v>
      </c>
      <c r="H420" s="13">
        <v>100000000</v>
      </c>
      <c r="I420" s="7">
        <v>2</v>
      </c>
      <c r="J420" s="32" t="s">
        <v>804</v>
      </c>
    </row>
    <row r="421" spans="1:10" ht="14.25" customHeight="1">
      <c r="A421" s="29"/>
      <c r="B421" s="6">
        <v>18</v>
      </c>
      <c r="C421" s="5" t="s">
        <v>189</v>
      </c>
      <c r="D421" s="6" t="s">
        <v>347</v>
      </c>
      <c r="E421" s="3">
        <v>259000000</v>
      </c>
      <c r="F421" s="3">
        <v>0</v>
      </c>
      <c r="G421" s="3">
        <v>0</v>
      </c>
      <c r="H421" s="13">
        <v>259000000</v>
      </c>
      <c r="I421" s="7">
        <v>2.1</v>
      </c>
      <c r="J421" s="32" t="s">
        <v>344</v>
      </c>
    </row>
    <row r="422" spans="1:10" ht="14.25" customHeight="1">
      <c r="A422" s="29"/>
      <c r="B422" s="6">
        <v>19</v>
      </c>
      <c r="C422" s="5" t="s">
        <v>721</v>
      </c>
      <c r="D422" s="9" t="s">
        <v>805</v>
      </c>
      <c r="E422" s="3">
        <v>63000000</v>
      </c>
      <c r="F422" s="3">
        <v>0</v>
      </c>
      <c r="G422" s="3">
        <v>0</v>
      </c>
      <c r="H422" s="13">
        <v>63000000</v>
      </c>
      <c r="I422" s="7">
        <v>2.0499999999999998</v>
      </c>
      <c r="J422" s="56" t="s">
        <v>806</v>
      </c>
    </row>
    <row r="423" spans="1:10" ht="14.25" customHeight="1">
      <c r="A423" s="29"/>
      <c r="B423" s="6">
        <v>20</v>
      </c>
      <c r="C423" s="105" t="s">
        <v>695</v>
      </c>
      <c r="D423" s="9" t="s">
        <v>634</v>
      </c>
      <c r="E423" s="3">
        <v>55000000</v>
      </c>
      <c r="F423" s="3">
        <v>0</v>
      </c>
      <c r="G423" s="3">
        <v>0</v>
      </c>
      <c r="H423" s="13">
        <v>55000000</v>
      </c>
      <c r="I423" s="7">
        <v>1.9</v>
      </c>
      <c r="J423" s="56" t="s">
        <v>807</v>
      </c>
    </row>
    <row r="424" spans="1:10" ht="14.25" customHeight="1">
      <c r="A424" s="29"/>
      <c r="B424" s="6">
        <v>21</v>
      </c>
      <c r="C424" s="105" t="s">
        <v>698</v>
      </c>
      <c r="D424" s="9" t="s">
        <v>837</v>
      </c>
      <c r="E424" s="3">
        <v>19000000</v>
      </c>
      <c r="F424" s="3">
        <v>0</v>
      </c>
      <c r="G424" s="3">
        <v>0</v>
      </c>
      <c r="H424" s="13">
        <v>19000000</v>
      </c>
      <c r="I424" s="7">
        <v>2.1</v>
      </c>
      <c r="J424" s="56" t="s">
        <v>696</v>
      </c>
    </row>
    <row r="425" spans="1:10" ht="17.25" customHeight="1">
      <c r="A425" s="51" t="s">
        <v>838</v>
      </c>
      <c r="B425" s="14" t="s">
        <v>173</v>
      </c>
      <c r="C425" s="15" t="s">
        <v>173</v>
      </c>
      <c r="D425" s="16" t="s">
        <v>173</v>
      </c>
      <c r="E425" s="17">
        <v>59752000000</v>
      </c>
      <c r="F425" s="17">
        <v>3975694034</v>
      </c>
      <c r="G425" s="17">
        <v>14266851726</v>
      </c>
      <c r="H425" s="17">
        <v>45485148274</v>
      </c>
      <c r="I425" s="19"/>
      <c r="J425" s="52" t="s">
        <v>173</v>
      </c>
    </row>
    <row r="426" spans="1:10" ht="14.25" customHeight="1">
      <c r="A426" s="31" t="s">
        <v>300</v>
      </c>
      <c r="B426" s="6" t="s">
        <v>839</v>
      </c>
      <c r="C426" s="5" t="s">
        <v>189</v>
      </c>
      <c r="D426" s="6" t="s">
        <v>840</v>
      </c>
      <c r="E426" s="3">
        <v>2079000000</v>
      </c>
      <c r="F426" s="3">
        <v>78432492</v>
      </c>
      <c r="G426" s="3">
        <v>640754295</v>
      </c>
      <c r="H426" s="13">
        <v>1438245705</v>
      </c>
      <c r="I426" s="7">
        <v>4.75</v>
      </c>
      <c r="J426" s="56" t="s">
        <v>284</v>
      </c>
    </row>
    <row r="427" spans="1:10" ht="14.25" customHeight="1">
      <c r="A427" s="29" t="s">
        <v>182</v>
      </c>
      <c r="B427" s="6">
        <v>6</v>
      </c>
      <c r="C427" s="5" t="s">
        <v>189</v>
      </c>
      <c r="D427" s="6" t="s">
        <v>841</v>
      </c>
      <c r="E427" s="3">
        <v>5630000000</v>
      </c>
      <c r="F427" s="3">
        <v>212814846</v>
      </c>
      <c r="G427" s="3">
        <v>1742090075</v>
      </c>
      <c r="H427" s="13">
        <v>3887909925</v>
      </c>
      <c r="I427" s="7">
        <v>4.7</v>
      </c>
      <c r="J427" s="56" t="s">
        <v>284</v>
      </c>
    </row>
    <row r="428" spans="1:10" ht="14.25" customHeight="1">
      <c r="A428" s="29"/>
      <c r="B428" s="6">
        <v>6</v>
      </c>
      <c r="C428" s="5" t="s">
        <v>180</v>
      </c>
      <c r="D428" s="6" t="s">
        <v>842</v>
      </c>
      <c r="E428" s="3">
        <v>2312000000</v>
      </c>
      <c r="F428" s="3">
        <v>0</v>
      </c>
      <c r="G428" s="3">
        <v>2312000000</v>
      </c>
      <c r="H428" s="13">
        <v>0</v>
      </c>
      <c r="I428" s="7">
        <v>4.5</v>
      </c>
      <c r="J428" s="56" t="s">
        <v>244</v>
      </c>
    </row>
    <row r="429" spans="1:10" ht="14.25" customHeight="1">
      <c r="A429" s="29"/>
      <c r="B429" s="6">
        <v>6</v>
      </c>
      <c r="C429" s="5" t="s">
        <v>185</v>
      </c>
      <c r="D429" s="6" t="s">
        <v>843</v>
      </c>
      <c r="E429" s="3">
        <v>8743000000</v>
      </c>
      <c r="F429" s="3">
        <v>300920170</v>
      </c>
      <c r="G429" s="3">
        <v>2397796627</v>
      </c>
      <c r="H429" s="13">
        <v>6345203373</v>
      </c>
      <c r="I429" s="7">
        <v>3.15</v>
      </c>
      <c r="J429" s="56" t="s">
        <v>293</v>
      </c>
    </row>
    <row r="430" spans="1:10" ht="14.25" customHeight="1">
      <c r="A430" s="31"/>
      <c r="B430" s="9">
        <v>7</v>
      </c>
      <c r="C430" s="5" t="s">
        <v>189</v>
      </c>
      <c r="D430" s="9" t="s">
        <v>844</v>
      </c>
      <c r="E430" s="3">
        <v>1752000000</v>
      </c>
      <c r="F430" s="3">
        <v>67482056</v>
      </c>
      <c r="G430" s="3">
        <v>538650451</v>
      </c>
      <c r="H430" s="13">
        <v>1213349549</v>
      </c>
      <c r="I430" s="7">
        <v>3.25</v>
      </c>
      <c r="J430" s="56" t="s">
        <v>286</v>
      </c>
    </row>
    <row r="431" spans="1:10" ht="14.25" customHeight="1">
      <c r="A431" s="29"/>
      <c r="B431" s="6">
        <v>7</v>
      </c>
      <c r="C431" s="5" t="s">
        <v>189</v>
      </c>
      <c r="D431" s="6" t="s">
        <v>844</v>
      </c>
      <c r="E431" s="3">
        <v>7579000000</v>
      </c>
      <c r="F431" s="3">
        <v>292553536</v>
      </c>
      <c r="G431" s="3">
        <v>2339504247</v>
      </c>
      <c r="H431" s="13">
        <v>5239495753</v>
      </c>
      <c r="I431" s="7">
        <v>3.2</v>
      </c>
      <c r="J431" s="56" t="s">
        <v>286</v>
      </c>
    </row>
    <row r="432" spans="1:10" ht="14.25" customHeight="1">
      <c r="A432" s="29"/>
      <c r="B432" s="6">
        <v>7</v>
      </c>
      <c r="C432" s="5" t="s">
        <v>266</v>
      </c>
      <c r="D432" s="6" t="s">
        <v>845</v>
      </c>
      <c r="E432" s="3">
        <v>2000000000</v>
      </c>
      <c r="F432" s="3">
        <v>0</v>
      </c>
      <c r="G432" s="3">
        <v>2000000000</v>
      </c>
      <c r="H432" s="13">
        <v>0</v>
      </c>
      <c r="I432" s="7">
        <v>3.3</v>
      </c>
      <c r="J432" s="56" t="s">
        <v>247</v>
      </c>
    </row>
    <row r="433" spans="1:10" ht="14.25" customHeight="1">
      <c r="A433" s="31"/>
      <c r="B433" s="6">
        <v>7</v>
      </c>
      <c r="C433" s="5" t="s">
        <v>185</v>
      </c>
      <c r="D433" s="6" t="s">
        <v>846</v>
      </c>
      <c r="E433" s="3">
        <v>839842385</v>
      </c>
      <c r="F433" s="3">
        <v>0</v>
      </c>
      <c r="G433" s="3">
        <v>839842385</v>
      </c>
      <c r="H433" s="13">
        <v>0</v>
      </c>
      <c r="I433" s="7">
        <v>2.8</v>
      </c>
      <c r="J433" s="56" t="s">
        <v>847</v>
      </c>
    </row>
    <row r="434" spans="1:10" ht="14.25" customHeight="1">
      <c r="A434" s="29"/>
      <c r="B434" s="6">
        <v>8</v>
      </c>
      <c r="C434" s="5" t="s">
        <v>266</v>
      </c>
      <c r="D434" s="6" t="s">
        <v>846</v>
      </c>
      <c r="E434" s="3">
        <v>2000000000</v>
      </c>
      <c r="F434" s="3">
        <v>0</v>
      </c>
      <c r="G434" s="3">
        <v>2000000000</v>
      </c>
      <c r="H434" s="13">
        <v>0</v>
      </c>
      <c r="I434" s="7">
        <v>2.6</v>
      </c>
      <c r="J434" s="32" t="s">
        <v>249</v>
      </c>
    </row>
    <row r="435" spans="1:10" ht="14.25" customHeight="1">
      <c r="A435" s="29"/>
      <c r="B435" s="6">
        <v>8</v>
      </c>
      <c r="C435" s="5" t="s">
        <v>189</v>
      </c>
      <c r="D435" s="6" t="s">
        <v>848</v>
      </c>
      <c r="E435" s="3">
        <v>908000000</v>
      </c>
      <c r="F435" s="3">
        <v>34504939</v>
      </c>
      <c r="G435" s="3">
        <v>254065903</v>
      </c>
      <c r="H435" s="13">
        <v>653934097</v>
      </c>
      <c r="I435" s="7">
        <v>2.85</v>
      </c>
      <c r="J435" s="32" t="s">
        <v>287</v>
      </c>
    </row>
    <row r="436" spans="1:10" ht="14.25" customHeight="1">
      <c r="A436" s="29"/>
      <c r="B436" s="6">
        <v>8</v>
      </c>
      <c r="C436" s="5" t="s">
        <v>189</v>
      </c>
      <c r="D436" s="6" t="s">
        <v>848</v>
      </c>
      <c r="E436" s="3">
        <v>1164000000</v>
      </c>
      <c r="F436" s="3">
        <v>44118950</v>
      </c>
      <c r="G436" s="3">
        <v>324338660</v>
      </c>
      <c r="H436" s="13">
        <v>839661340</v>
      </c>
      <c r="I436" s="7">
        <v>2.9</v>
      </c>
      <c r="J436" s="32" t="s">
        <v>287</v>
      </c>
    </row>
    <row r="437" spans="1:10" ht="14.25" customHeight="1">
      <c r="A437" s="29"/>
      <c r="B437" s="6">
        <v>9</v>
      </c>
      <c r="C437" s="5" t="s">
        <v>266</v>
      </c>
      <c r="D437" s="6" t="s">
        <v>849</v>
      </c>
      <c r="E437" s="3">
        <v>2000000000</v>
      </c>
      <c r="F437" s="3">
        <v>0</v>
      </c>
      <c r="G437" s="3">
        <v>2000000000</v>
      </c>
      <c r="H437" s="13">
        <v>0</v>
      </c>
      <c r="I437" s="7">
        <v>2</v>
      </c>
      <c r="J437" s="32" t="s">
        <v>251</v>
      </c>
    </row>
    <row r="438" spans="1:10" ht="14.25" customHeight="1">
      <c r="A438" s="29"/>
      <c r="B438" s="6">
        <v>8</v>
      </c>
      <c r="C438" s="5" t="s">
        <v>185</v>
      </c>
      <c r="D438" s="6" t="s">
        <v>850</v>
      </c>
      <c r="E438" s="3">
        <v>286740422</v>
      </c>
      <c r="F438" s="3">
        <v>0</v>
      </c>
      <c r="G438" s="3">
        <v>286740422</v>
      </c>
      <c r="H438" s="13">
        <v>0</v>
      </c>
      <c r="I438" s="7">
        <v>2.1</v>
      </c>
      <c r="J438" s="32" t="s">
        <v>847</v>
      </c>
    </row>
    <row r="439" spans="1:10" ht="14.25" customHeight="1">
      <c r="A439" s="29"/>
      <c r="B439" s="6">
        <v>8</v>
      </c>
      <c r="C439" s="5" t="s">
        <v>189</v>
      </c>
      <c r="D439" s="6" t="s">
        <v>850</v>
      </c>
      <c r="E439" s="3">
        <v>2118000000</v>
      </c>
      <c r="F439" s="3">
        <v>81603321</v>
      </c>
      <c r="G439" s="3">
        <v>544452718</v>
      </c>
      <c r="H439" s="13">
        <v>1573547282</v>
      </c>
      <c r="I439" s="7">
        <v>2.15</v>
      </c>
      <c r="J439" s="32" t="s">
        <v>293</v>
      </c>
    </row>
    <row r="440" spans="1:10" ht="14.25" customHeight="1">
      <c r="A440" s="29"/>
      <c r="B440" s="6">
        <v>9</v>
      </c>
      <c r="C440" s="5" t="s">
        <v>189</v>
      </c>
      <c r="D440" s="6" t="s">
        <v>850</v>
      </c>
      <c r="E440" s="3">
        <v>1001000000</v>
      </c>
      <c r="F440" s="3">
        <v>38218520</v>
      </c>
      <c r="G440" s="3">
        <v>260763865</v>
      </c>
      <c r="H440" s="13">
        <v>740236135</v>
      </c>
      <c r="I440" s="7">
        <v>2.2000000000000002</v>
      </c>
      <c r="J440" s="32" t="s">
        <v>293</v>
      </c>
    </row>
    <row r="441" spans="1:10" ht="14.25" customHeight="1">
      <c r="A441" s="29"/>
      <c r="B441" s="6">
        <v>9</v>
      </c>
      <c r="C441" s="5" t="s">
        <v>189</v>
      </c>
      <c r="D441" s="6" t="s">
        <v>850</v>
      </c>
      <c r="E441" s="3">
        <v>930000000</v>
      </c>
      <c r="F441" s="3">
        <v>35612333</v>
      </c>
      <c r="G441" s="3">
        <v>243291558</v>
      </c>
      <c r="H441" s="13">
        <v>686708442</v>
      </c>
      <c r="I441" s="7">
        <v>2.15</v>
      </c>
      <c r="J441" s="32" t="s">
        <v>293</v>
      </c>
    </row>
    <row r="442" spans="1:10" ht="14.25" customHeight="1">
      <c r="A442" s="29"/>
      <c r="B442" s="6">
        <v>10</v>
      </c>
      <c r="C442" s="5" t="s">
        <v>266</v>
      </c>
      <c r="D442" s="6" t="s">
        <v>851</v>
      </c>
      <c r="E442" s="3">
        <v>2000000000</v>
      </c>
      <c r="F442" s="3">
        <v>0</v>
      </c>
      <c r="G442" s="3">
        <v>2000000000</v>
      </c>
      <c r="H442" s="13">
        <v>0</v>
      </c>
      <c r="I442" s="7">
        <v>1.9</v>
      </c>
      <c r="J442" s="32" t="s">
        <v>253</v>
      </c>
    </row>
    <row r="443" spans="1:10" ht="14.25" customHeight="1">
      <c r="A443" s="29"/>
      <c r="B443" s="6">
        <v>9</v>
      </c>
      <c r="C443" s="5" t="s">
        <v>189</v>
      </c>
      <c r="D443" s="6" t="s">
        <v>852</v>
      </c>
      <c r="E443" s="3">
        <v>625000000</v>
      </c>
      <c r="F443" s="3">
        <v>24884533</v>
      </c>
      <c r="G443" s="3">
        <v>162160631</v>
      </c>
      <c r="H443" s="13">
        <v>462839369</v>
      </c>
      <c r="I443" s="7">
        <v>1.35</v>
      </c>
      <c r="J443" s="32" t="s">
        <v>294</v>
      </c>
    </row>
    <row r="444" spans="1:10" ht="14.25" customHeight="1">
      <c r="A444" s="29"/>
      <c r="B444" s="6">
        <v>9</v>
      </c>
      <c r="C444" s="5" t="s">
        <v>185</v>
      </c>
      <c r="D444" s="6" t="s">
        <v>853</v>
      </c>
      <c r="E444" s="3">
        <v>124925255</v>
      </c>
      <c r="F444" s="3">
        <v>0</v>
      </c>
      <c r="G444" s="3">
        <v>124925255</v>
      </c>
      <c r="H444" s="13">
        <v>0</v>
      </c>
      <c r="I444" s="7">
        <v>2.2000000000000002</v>
      </c>
      <c r="J444" s="32" t="s">
        <v>847</v>
      </c>
    </row>
    <row r="445" spans="1:10" ht="14.25" customHeight="1">
      <c r="A445" s="29"/>
      <c r="B445" s="6">
        <v>10</v>
      </c>
      <c r="C445" s="5" t="s">
        <v>189</v>
      </c>
      <c r="D445" s="6" t="s">
        <v>854</v>
      </c>
      <c r="E445" s="3">
        <v>1085000000</v>
      </c>
      <c r="F445" s="3">
        <v>40781716</v>
      </c>
      <c r="G445" s="3">
        <v>243914526</v>
      </c>
      <c r="H445" s="13">
        <v>841085474</v>
      </c>
      <c r="I445" s="7">
        <v>2.1</v>
      </c>
      <c r="J445" s="32" t="s">
        <v>294</v>
      </c>
    </row>
    <row r="446" spans="1:10" ht="14.25" customHeight="1">
      <c r="A446" s="29"/>
      <c r="B446" s="6">
        <v>10</v>
      </c>
      <c r="C446" s="5" t="s">
        <v>189</v>
      </c>
      <c r="D446" s="6" t="s">
        <v>854</v>
      </c>
      <c r="E446" s="3">
        <v>1063000000</v>
      </c>
      <c r="F446" s="3">
        <v>39954806</v>
      </c>
      <c r="G446" s="3">
        <v>238968794</v>
      </c>
      <c r="H446" s="13">
        <v>824031206</v>
      </c>
      <c r="I446" s="7">
        <v>2.1</v>
      </c>
      <c r="J446" s="32" t="s">
        <v>294</v>
      </c>
    </row>
    <row r="447" spans="1:10" ht="14.25" customHeight="1">
      <c r="A447" s="29"/>
      <c r="B447" s="6">
        <v>10</v>
      </c>
      <c r="C447" s="5" t="s">
        <v>185</v>
      </c>
      <c r="D447" s="6" t="s">
        <v>855</v>
      </c>
      <c r="E447" s="3">
        <v>53192729</v>
      </c>
      <c r="F447" s="3">
        <v>0</v>
      </c>
      <c r="G447" s="3">
        <v>53192729</v>
      </c>
      <c r="H447" s="13">
        <v>0</v>
      </c>
      <c r="I447" s="7">
        <v>2.1</v>
      </c>
      <c r="J447" s="32" t="s">
        <v>847</v>
      </c>
    </row>
    <row r="448" spans="1:10" ht="14.25" customHeight="1">
      <c r="A448" s="29"/>
      <c r="B448" s="6">
        <v>11</v>
      </c>
      <c r="C448" s="5" t="s">
        <v>189</v>
      </c>
      <c r="D448" s="6" t="s">
        <v>856</v>
      </c>
      <c r="E448" s="3">
        <v>663000000</v>
      </c>
      <c r="F448" s="3">
        <v>23613084</v>
      </c>
      <c r="G448" s="3">
        <v>146769534</v>
      </c>
      <c r="H448" s="13">
        <v>516230466</v>
      </c>
      <c r="I448" s="7">
        <v>2</v>
      </c>
      <c r="J448" s="32" t="s">
        <v>857</v>
      </c>
    </row>
    <row r="449" spans="1:10" ht="14.25" customHeight="1">
      <c r="A449" s="29"/>
      <c r="B449" s="6">
        <v>11</v>
      </c>
      <c r="C449" s="5" t="s">
        <v>189</v>
      </c>
      <c r="D449" s="6" t="s">
        <v>306</v>
      </c>
      <c r="E449" s="3">
        <v>433000000</v>
      </c>
      <c r="F449" s="3">
        <v>15421516</v>
      </c>
      <c r="G449" s="3">
        <v>95854008</v>
      </c>
      <c r="H449" s="13">
        <v>337145992</v>
      </c>
      <c r="I449" s="7">
        <v>2</v>
      </c>
      <c r="J449" s="32" t="s">
        <v>857</v>
      </c>
    </row>
    <row r="450" spans="1:10" ht="14.25" customHeight="1">
      <c r="A450" s="29"/>
      <c r="B450" s="6">
        <v>11</v>
      </c>
      <c r="C450" s="5" t="s">
        <v>185</v>
      </c>
      <c r="D450" s="6" t="s">
        <v>858</v>
      </c>
      <c r="E450" s="3">
        <v>31008169</v>
      </c>
      <c r="F450" s="3">
        <v>0</v>
      </c>
      <c r="G450" s="3">
        <v>31008169</v>
      </c>
      <c r="H450" s="13">
        <v>0</v>
      </c>
      <c r="I450" s="7">
        <v>2</v>
      </c>
      <c r="J450" s="32" t="s">
        <v>847</v>
      </c>
    </row>
    <row r="451" spans="1:10" ht="14.25" customHeight="1">
      <c r="A451" s="29"/>
      <c r="B451" s="6">
        <v>12</v>
      </c>
      <c r="C451" s="5" t="s">
        <v>164</v>
      </c>
      <c r="D451" s="6" t="s">
        <v>859</v>
      </c>
      <c r="E451" s="3">
        <v>103000000</v>
      </c>
      <c r="F451" s="3">
        <v>0</v>
      </c>
      <c r="G451" s="3">
        <v>103000000</v>
      </c>
      <c r="H451" s="13">
        <v>0</v>
      </c>
      <c r="I451" s="7">
        <v>1.6</v>
      </c>
      <c r="J451" s="32" t="s">
        <v>847</v>
      </c>
    </row>
    <row r="452" spans="1:10" ht="14.25" customHeight="1">
      <c r="A452" s="29"/>
      <c r="B452" s="6">
        <v>13</v>
      </c>
      <c r="C452" s="5" t="s">
        <v>165</v>
      </c>
      <c r="D452" s="6" t="s">
        <v>585</v>
      </c>
      <c r="E452" s="3">
        <v>47194000</v>
      </c>
      <c r="F452" s="3">
        <v>0</v>
      </c>
      <c r="G452" s="3">
        <v>47194000</v>
      </c>
      <c r="H452" s="13">
        <v>0</v>
      </c>
      <c r="I452" s="7" t="s">
        <v>586</v>
      </c>
      <c r="J452" s="32" t="s">
        <v>587</v>
      </c>
    </row>
    <row r="453" spans="1:10" ht="14.25" customHeight="1">
      <c r="A453" s="29"/>
      <c r="B453" s="6">
        <v>13</v>
      </c>
      <c r="C453" s="5" t="s">
        <v>164</v>
      </c>
      <c r="D453" s="6" t="s">
        <v>588</v>
      </c>
      <c r="E453" s="3">
        <v>42000000</v>
      </c>
      <c r="F453" s="3">
        <v>0</v>
      </c>
      <c r="G453" s="3">
        <v>42000000</v>
      </c>
      <c r="H453" s="3">
        <v>0</v>
      </c>
      <c r="I453" s="7">
        <v>1.4</v>
      </c>
      <c r="J453" s="56" t="s">
        <v>589</v>
      </c>
    </row>
    <row r="454" spans="1:10" ht="14.25" customHeight="1">
      <c r="A454" s="29"/>
      <c r="B454" s="6">
        <v>14</v>
      </c>
      <c r="C454" s="5" t="s">
        <v>189</v>
      </c>
      <c r="D454" s="6" t="s">
        <v>590</v>
      </c>
      <c r="E454" s="3">
        <v>46000000</v>
      </c>
      <c r="F454" s="3">
        <v>1745402</v>
      </c>
      <c r="G454" s="3">
        <v>3601172</v>
      </c>
      <c r="H454" s="13">
        <v>42398828</v>
      </c>
      <c r="I454" s="7">
        <v>1.3</v>
      </c>
      <c r="J454" s="32" t="s">
        <v>591</v>
      </c>
    </row>
    <row r="455" spans="1:10" ht="14.25" customHeight="1">
      <c r="A455" s="29"/>
      <c r="B455" s="6">
        <v>15</v>
      </c>
      <c r="C455" s="5" t="s">
        <v>189</v>
      </c>
      <c r="D455" s="6" t="s">
        <v>592</v>
      </c>
      <c r="E455" s="3">
        <v>1137000000</v>
      </c>
      <c r="F455" s="3">
        <v>39836595</v>
      </c>
      <c r="G455" s="3">
        <v>39836595</v>
      </c>
      <c r="H455" s="13">
        <v>1097163405</v>
      </c>
      <c r="I455" s="7">
        <v>1.9</v>
      </c>
      <c r="J455" s="32" t="s">
        <v>593</v>
      </c>
    </row>
    <row r="456" spans="1:10" ht="14.25" customHeight="1">
      <c r="A456" s="93"/>
      <c r="B456" s="9">
        <v>14</v>
      </c>
      <c r="C456" s="5" t="s">
        <v>164</v>
      </c>
      <c r="D456" s="6" t="s">
        <v>860</v>
      </c>
      <c r="E456" s="3">
        <v>6867162</v>
      </c>
      <c r="F456" s="3">
        <v>0</v>
      </c>
      <c r="G456" s="3">
        <v>6867162</v>
      </c>
      <c r="H456" s="13">
        <v>0</v>
      </c>
      <c r="I456" s="7">
        <v>2</v>
      </c>
      <c r="J456" s="32" t="s">
        <v>589</v>
      </c>
    </row>
    <row r="457" spans="1:10" ht="14.25" customHeight="1">
      <c r="A457" s="93"/>
      <c r="B457" s="6">
        <v>15</v>
      </c>
      <c r="C457" s="5" t="s">
        <v>189</v>
      </c>
      <c r="D457" s="6" t="s">
        <v>594</v>
      </c>
      <c r="E457" s="3">
        <v>398000000</v>
      </c>
      <c r="F457" s="3">
        <v>6856644</v>
      </c>
      <c r="G457" s="3">
        <v>6856644</v>
      </c>
      <c r="H457" s="13">
        <v>391143356</v>
      </c>
      <c r="I457" s="7">
        <v>2</v>
      </c>
      <c r="J457" s="56" t="s">
        <v>595</v>
      </c>
    </row>
    <row r="458" spans="1:10" ht="14.25" customHeight="1">
      <c r="A458" s="93"/>
      <c r="B458" s="6">
        <v>15</v>
      </c>
      <c r="C458" s="5" t="s">
        <v>164</v>
      </c>
      <c r="D458" s="6" t="s">
        <v>596</v>
      </c>
      <c r="E458" s="3">
        <v>3390000000</v>
      </c>
      <c r="F458" s="3">
        <v>51899996</v>
      </c>
      <c r="G458" s="3">
        <v>51899996</v>
      </c>
      <c r="H458" s="13">
        <v>3338100004</v>
      </c>
      <c r="I458" s="7">
        <v>2.1</v>
      </c>
      <c r="J458" s="32" t="s">
        <v>597</v>
      </c>
    </row>
    <row r="459" spans="1:10" ht="14.25" customHeight="1">
      <c r="A459" s="93"/>
      <c r="B459" s="9">
        <v>7</v>
      </c>
      <c r="C459" s="5" t="s">
        <v>164</v>
      </c>
      <c r="D459" s="6" t="s">
        <v>598</v>
      </c>
      <c r="E459" s="3">
        <v>8684157615</v>
      </c>
      <c r="F459" s="3">
        <v>324395642</v>
      </c>
      <c r="G459" s="3">
        <v>1535426106</v>
      </c>
      <c r="H459" s="13">
        <v>7148731509</v>
      </c>
      <c r="I459" s="7">
        <v>2.8</v>
      </c>
      <c r="J459" s="32" t="s">
        <v>294</v>
      </c>
    </row>
    <row r="460" spans="1:10" ht="14.25" customHeight="1">
      <c r="A460" s="93"/>
      <c r="B460" s="6">
        <v>8</v>
      </c>
      <c r="C460" s="5" t="s">
        <v>164</v>
      </c>
      <c r="D460" s="6" t="s">
        <v>598</v>
      </c>
      <c r="E460" s="3">
        <v>4067259578</v>
      </c>
      <c r="F460" s="3">
        <v>151322639</v>
      </c>
      <c r="G460" s="3">
        <v>725969132</v>
      </c>
      <c r="H460" s="13">
        <v>3341290446</v>
      </c>
      <c r="I460" s="7">
        <v>2.1</v>
      </c>
      <c r="J460" s="32" t="s">
        <v>599</v>
      </c>
    </row>
    <row r="461" spans="1:10" ht="14.25" customHeight="1">
      <c r="A461" s="93"/>
      <c r="B461" s="6">
        <v>11</v>
      </c>
      <c r="C461" s="5" t="s">
        <v>164</v>
      </c>
      <c r="D461" s="6" t="s">
        <v>598</v>
      </c>
      <c r="E461" s="3">
        <v>586991831</v>
      </c>
      <c r="F461" s="3">
        <v>19623027</v>
      </c>
      <c r="G461" s="3">
        <v>85308371</v>
      </c>
      <c r="H461" s="13">
        <v>501683460</v>
      </c>
      <c r="I461" s="7">
        <v>2</v>
      </c>
      <c r="J461" s="56" t="s">
        <v>591</v>
      </c>
    </row>
    <row r="462" spans="1:10" ht="14.25" customHeight="1">
      <c r="A462" s="93"/>
      <c r="B462" s="6">
        <v>12</v>
      </c>
      <c r="C462" s="5" t="s">
        <v>164</v>
      </c>
      <c r="D462" s="6" t="s">
        <v>598</v>
      </c>
      <c r="E462" s="3">
        <v>1398000000</v>
      </c>
      <c r="F462" s="3">
        <v>48129756</v>
      </c>
      <c r="G462" s="3">
        <v>188001361</v>
      </c>
      <c r="H462" s="13">
        <v>1209998639</v>
      </c>
      <c r="I462" s="7">
        <v>1.6</v>
      </c>
      <c r="J462" s="56" t="s">
        <v>591</v>
      </c>
    </row>
    <row r="463" spans="1:10" ht="14.25" customHeight="1">
      <c r="A463" s="93"/>
      <c r="B463" s="6">
        <v>14</v>
      </c>
      <c r="C463" s="5" t="s">
        <v>164</v>
      </c>
      <c r="D463" s="6" t="s">
        <v>598</v>
      </c>
      <c r="E463" s="3">
        <v>2371132838</v>
      </c>
      <c r="F463" s="3">
        <v>73933319</v>
      </c>
      <c r="G463" s="3">
        <v>73933319</v>
      </c>
      <c r="H463" s="13">
        <v>2297199519</v>
      </c>
      <c r="I463" s="7">
        <v>2</v>
      </c>
      <c r="J463" s="56" t="s">
        <v>600</v>
      </c>
    </row>
    <row r="464" spans="1:10" ht="14.25" customHeight="1" thickBot="1">
      <c r="A464" s="93"/>
      <c r="B464" s="6">
        <v>16</v>
      </c>
      <c r="C464" s="5" t="s">
        <v>189</v>
      </c>
      <c r="D464" s="6" t="s">
        <v>699</v>
      </c>
      <c r="E464" s="3">
        <v>4470000000</v>
      </c>
      <c r="F464" s="3">
        <v>0</v>
      </c>
      <c r="G464" s="3">
        <v>0</v>
      </c>
      <c r="H464" s="13">
        <v>4470000000</v>
      </c>
      <c r="I464" s="7">
        <v>2.1</v>
      </c>
      <c r="J464" s="56" t="s">
        <v>700</v>
      </c>
    </row>
    <row r="465" spans="1:10" ht="9.75" customHeight="1" thickBot="1">
      <c r="A465" s="36"/>
      <c r="B465" s="68"/>
      <c r="C465" s="36"/>
      <c r="D465" s="68"/>
      <c r="E465" s="27"/>
      <c r="F465" s="27"/>
      <c r="G465" s="27"/>
      <c r="H465" s="28"/>
      <c r="I465" s="69"/>
      <c r="J465" s="73"/>
    </row>
    <row r="466" spans="1:10">
      <c r="A466" s="523" t="s">
        <v>601</v>
      </c>
      <c r="B466" s="515" t="s">
        <v>311</v>
      </c>
      <c r="C466" s="511" t="s">
        <v>602</v>
      </c>
      <c r="D466" s="515" t="s">
        <v>312</v>
      </c>
      <c r="E466" s="513" t="s">
        <v>352</v>
      </c>
      <c r="F466" s="519" t="s">
        <v>353</v>
      </c>
      <c r="G466" s="520"/>
      <c r="H466" s="494" t="s">
        <v>174</v>
      </c>
      <c r="I466" s="517" t="s">
        <v>354</v>
      </c>
      <c r="J466" s="521" t="s">
        <v>313</v>
      </c>
    </row>
    <row r="467" spans="1:10">
      <c r="A467" s="524"/>
      <c r="B467" s="516"/>
      <c r="C467" s="512"/>
      <c r="D467" s="516"/>
      <c r="E467" s="514"/>
      <c r="F467" s="40" t="s">
        <v>176</v>
      </c>
      <c r="G467" s="40" t="s">
        <v>305</v>
      </c>
      <c r="H467" s="495"/>
      <c r="I467" s="518"/>
      <c r="J467" s="522"/>
    </row>
    <row r="468" spans="1:10">
      <c r="A468" s="41"/>
      <c r="B468" s="42"/>
      <c r="C468" s="42"/>
      <c r="D468" s="43" t="s">
        <v>177</v>
      </c>
      <c r="E468" s="2" t="s">
        <v>178</v>
      </c>
      <c r="F468" s="2" t="s">
        <v>172</v>
      </c>
      <c r="G468" s="2" t="s">
        <v>178</v>
      </c>
      <c r="H468" s="44" t="s">
        <v>178</v>
      </c>
      <c r="I468" s="12" t="s">
        <v>355</v>
      </c>
      <c r="J468" s="45" t="s">
        <v>175</v>
      </c>
    </row>
    <row r="469" spans="1:10" ht="14.25" customHeight="1">
      <c r="A469" s="31" t="s">
        <v>300</v>
      </c>
      <c r="B469" s="9" t="s">
        <v>343</v>
      </c>
      <c r="C469" s="5" t="s">
        <v>164</v>
      </c>
      <c r="D469" s="6" t="s">
        <v>701</v>
      </c>
      <c r="E469" s="3">
        <v>2132074745</v>
      </c>
      <c r="F469" s="3">
        <v>76573392</v>
      </c>
      <c r="G469" s="3">
        <v>366649548</v>
      </c>
      <c r="H469" s="13">
        <v>1765425197</v>
      </c>
      <c r="I469" s="7">
        <v>2.2000000000000002</v>
      </c>
      <c r="J469" s="56" t="s">
        <v>834</v>
      </c>
    </row>
    <row r="470" spans="1:10" ht="14.25" customHeight="1">
      <c r="A470" s="29" t="s">
        <v>182</v>
      </c>
      <c r="B470" s="6">
        <v>10</v>
      </c>
      <c r="C470" s="5" t="s">
        <v>164</v>
      </c>
      <c r="D470" s="6" t="s">
        <v>301</v>
      </c>
      <c r="E470" s="3">
        <v>2010807271</v>
      </c>
      <c r="F470" s="3">
        <v>69050904</v>
      </c>
      <c r="G470" s="3">
        <v>331271146</v>
      </c>
      <c r="H470" s="13">
        <v>1679536125</v>
      </c>
      <c r="I470" s="7">
        <v>2.1</v>
      </c>
      <c r="J470" s="56" t="s">
        <v>794</v>
      </c>
    </row>
    <row r="471" spans="1:10" ht="14.25" customHeight="1">
      <c r="A471" s="31"/>
      <c r="B471" s="9">
        <v>13</v>
      </c>
      <c r="C471" s="5" t="s">
        <v>164</v>
      </c>
      <c r="D471" s="6" t="s">
        <v>301</v>
      </c>
      <c r="E471" s="3">
        <v>1799000000</v>
      </c>
      <c r="F471" s="3">
        <v>61841032</v>
      </c>
      <c r="G471" s="3">
        <v>152999856</v>
      </c>
      <c r="H471" s="13">
        <v>1646000144</v>
      </c>
      <c r="I471" s="7">
        <v>1.4</v>
      </c>
      <c r="J471" s="32" t="s">
        <v>801</v>
      </c>
    </row>
    <row r="472" spans="1:10" ht="14.25" customHeight="1">
      <c r="A472" s="29"/>
      <c r="B472" s="6">
        <v>16</v>
      </c>
      <c r="C472" s="5" t="s">
        <v>164</v>
      </c>
      <c r="D472" s="6" t="s">
        <v>861</v>
      </c>
      <c r="E472" s="3">
        <v>1424000000</v>
      </c>
      <c r="F472" s="3">
        <v>0</v>
      </c>
      <c r="G472" s="3">
        <v>0</v>
      </c>
      <c r="H472" s="13">
        <v>1424000000</v>
      </c>
      <c r="I472" s="7">
        <v>2</v>
      </c>
      <c r="J472" s="56" t="s">
        <v>862</v>
      </c>
    </row>
    <row r="473" spans="1:10" ht="14.25" customHeight="1">
      <c r="A473" s="29"/>
      <c r="B473" s="6">
        <v>16</v>
      </c>
      <c r="C473" s="5" t="s">
        <v>189</v>
      </c>
      <c r="D473" s="6" t="s">
        <v>861</v>
      </c>
      <c r="E473" s="3">
        <v>279000000</v>
      </c>
      <c r="F473" s="3">
        <v>0</v>
      </c>
      <c r="G473" s="3">
        <v>0</v>
      </c>
      <c r="H473" s="13">
        <v>279000000</v>
      </c>
      <c r="I473" s="7">
        <v>1.9</v>
      </c>
      <c r="J473" s="56" t="s">
        <v>804</v>
      </c>
    </row>
    <row r="474" spans="1:10" ht="14.25" customHeight="1">
      <c r="A474" s="29"/>
      <c r="B474" s="6">
        <v>17</v>
      </c>
      <c r="C474" s="5" t="s">
        <v>189</v>
      </c>
      <c r="D474" s="6" t="s">
        <v>803</v>
      </c>
      <c r="E474" s="3">
        <v>6488000000</v>
      </c>
      <c r="F474" s="3">
        <v>0</v>
      </c>
      <c r="G474" s="3">
        <v>0</v>
      </c>
      <c r="H474" s="13">
        <v>6488000000</v>
      </c>
      <c r="I474" s="7">
        <v>2</v>
      </c>
      <c r="J474" s="56" t="s">
        <v>804</v>
      </c>
    </row>
    <row r="475" spans="1:10" ht="14.25" customHeight="1">
      <c r="A475" s="29"/>
      <c r="B475" s="6">
        <v>18</v>
      </c>
      <c r="C475" s="5" t="s">
        <v>189</v>
      </c>
      <c r="D475" s="9" t="s">
        <v>863</v>
      </c>
      <c r="E475" s="3">
        <v>803000000</v>
      </c>
      <c r="F475" s="3">
        <v>0</v>
      </c>
      <c r="G475" s="3">
        <v>0</v>
      </c>
      <c r="H475" s="13">
        <v>803000000</v>
      </c>
      <c r="I475" s="7">
        <v>2.1</v>
      </c>
      <c r="J475" s="56" t="s">
        <v>864</v>
      </c>
    </row>
    <row r="476" spans="1:10" ht="14.25" customHeight="1">
      <c r="A476" s="29"/>
      <c r="B476" s="308">
        <v>18</v>
      </c>
      <c r="C476" s="304" t="s">
        <v>189</v>
      </c>
      <c r="D476" s="303" t="s">
        <v>673</v>
      </c>
      <c r="E476" s="305">
        <v>3571000000</v>
      </c>
      <c r="F476" s="305">
        <v>0</v>
      </c>
      <c r="G476" s="305">
        <v>0</v>
      </c>
      <c r="H476" s="305">
        <v>3571000000</v>
      </c>
      <c r="I476" s="306">
        <v>2.1</v>
      </c>
      <c r="J476" s="307" t="s">
        <v>344</v>
      </c>
    </row>
    <row r="477" spans="1:10" ht="14.25" customHeight="1">
      <c r="A477" s="29"/>
      <c r="B477" s="308">
        <v>18</v>
      </c>
      <c r="C477" s="304" t="s">
        <v>164</v>
      </c>
      <c r="D477" s="303" t="s">
        <v>675</v>
      </c>
      <c r="E477" s="305">
        <v>1940000000</v>
      </c>
      <c r="F477" s="305">
        <v>0</v>
      </c>
      <c r="G477" s="305">
        <v>0</v>
      </c>
      <c r="H477" s="305">
        <v>1940000000</v>
      </c>
      <c r="I477" s="306">
        <v>2.1</v>
      </c>
      <c r="J477" s="307" t="s">
        <v>662</v>
      </c>
    </row>
    <row r="478" spans="1:10" ht="14.25" customHeight="1">
      <c r="A478" s="29"/>
      <c r="B478" s="6">
        <v>18</v>
      </c>
      <c r="C478" s="5" t="s">
        <v>164</v>
      </c>
      <c r="D478" s="9" t="s">
        <v>865</v>
      </c>
      <c r="E478" s="3">
        <v>4606000000</v>
      </c>
      <c r="F478" s="3">
        <v>0</v>
      </c>
      <c r="G478" s="3">
        <v>0</v>
      </c>
      <c r="H478" s="13">
        <v>4606000000</v>
      </c>
      <c r="I478" s="7">
        <v>2.1</v>
      </c>
      <c r="J478" s="56" t="s">
        <v>866</v>
      </c>
    </row>
    <row r="479" spans="1:10" ht="14.25" customHeight="1">
      <c r="A479" s="29"/>
      <c r="B479" s="6">
        <v>18</v>
      </c>
      <c r="C479" s="5" t="s">
        <v>721</v>
      </c>
      <c r="D479" s="9" t="s">
        <v>867</v>
      </c>
      <c r="E479" s="3">
        <v>38000000</v>
      </c>
      <c r="F479" s="3">
        <v>0</v>
      </c>
      <c r="G479" s="3">
        <v>0</v>
      </c>
      <c r="H479" s="13">
        <v>38000000</v>
      </c>
      <c r="I479" s="7">
        <v>2.1</v>
      </c>
      <c r="J479" s="56" t="s">
        <v>806</v>
      </c>
    </row>
    <row r="480" spans="1:10" ht="14.25" customHeight="1">
      <c r="A480" s="29"/>
      <c r="B480" s="6">
        <v>19</v>
      </c>
      <c r="C480" s="5" t="s">
        <v>721</v>
      </c>
      <c r="D480" s="9" t="s">
        <v>805</v>
      </c>
      <c r="E480" s="3">
        <v>1139000000</v>
      </c>
      <c r="F480" s="3">
        <v>0</v>
      </c>
      <c r="G480" s="3">
        <v>0</v>
      </c>
      <c r="H480" s="13">
        <v>1139000000</v>
      </c>
      <c r="I480" s="7">
        <v>2.0499999999999998</v>
      </c>
      <c r="J480" s="56" t="s">
        <v>806</v>
      </c>
    </row>
    <row r="481" spans="1:10" ht="14.25" customHeight="1">
      <c r="A481" s="29"/>
      <c r="B481" s="6">
        <v>19</v>
      </c>
      <c r="C481" s="5" t="s">
        <v>164</v>
      </c>
      <c r="D481" s="9" t="s">
        <v>868</v>
      </c>
      <c r="E481" s="3">
        <v>1099000000</v>
      </c>
      <c r="F481" s="3">
        <v>0</v>
      </c>
      <c r="G481" s="3">
        <v>0</v>
      </c>
      <c r="H481" s="13">
        <v>1099000000</v>
      </c>
      <c r="I481" s="7">
        <v>1.9</v>
      </c>
      <c r="J481" s="56" t="s">
        <v>869</v>
      </c>
    </row>
    <row r="482" spans="1:10" ht="14.25" customHeight="1">
      <c r="A482" s="29"/>
      <c r="B482" s="6">
        <v>20</v>
      </c>
      <c r="C482" s="105" t="s">
        <v>695</v>
      </c>
      <c r="D482" s="9" t="s">
        <v>870</v>
      </c>
      <c r="E482" s="3">
        <v>32000000</v>
      </c>
      <c r="F482" s="3">
        <v>0</v>
      </c>
      <c r="G482" s="3">
        <v>0</v>
      </c>
      <c r="H482" s="13">
        <v>32000000</v>
      </c>
      <c r="I482" s="7">
        <v>1.8</v>
      </c>
      <c r="J482" s="56" t="s">
        <v>807</v>
      </c>
    </row>
    <row r="483" spans="1:10" ht="14.25" customHeight="1">
      <c r="A483" s="29"/>
      <c r="B483" s="6">
        <v>20</v>
      </c>
      <c r="C483" s="105" t="s">
        <v>695</v>
      </c>
      <c r="D483" s="9" t="s">
        <v>634</v>
      </c>
      <c r="E483" s="3">
        <v>1232000000</v>
      </c>
      <c r="F483" s="3">
        <v>0</v>
      </c>
      <c r="G483" s="3">
        <v>0</v>
      </c>
      <c r="H483" s="13">
        <v>1232000000</v>
      </c>
      <c r="I483" s="7">
        <v>1.9</v>
      </c>
      <c r="J483" s="56" t="s">
        <v>807</v>
      </c>
    </row>
    <row r="484" spans="1:10" ht="14.25" customHeight="1">
      <c r="A484" s="29"/>
      <c r="B484" s="6">
        <v>20</v>
      </c>
      <c r="C484" s="5" t="s">
        <v>164</v>
      </c>
      <c r="D484" s="9" t="s">
        <v>871</v>
      </c>
      <c r="E484" s="3">
        <v>1184000000</v>
      </c>
      <c r="F484" s="3">
        <v>0</v>
      </c>
      <c r="G484" s="3">
        <v>0</v>
      </c>
      <c r="H484" s="13">
        <v>1184000000</v>
      </c>
      <c r="I484" s="7">
        <v>2.1</v>
      </c>
      <c r="J484" s="56" t="s">
        <v>872</v>
      </c>
    </row>
    <row r="485" spans="1:10" ht="14.25" customHeight="1">
      <c r="A485" s="93"/>
      <c r="B485" s="6">
        <v>21</v>
      </c>
      <c r="C485" s="5" t="s">
        <v>164</v>
      </c>
      <c r="D485" s="9" t="s">
        <v>808</v>
      </c>
      <c r="E485" s="3">
        <v>866000000</v>
      </c>
      <c r="F485" s="3">
        <v>0</v>
      </c>
      <c r="G485" s="3">
        <v>0</v>
      </c>
      <c r="H485" s="13">
        <v>866000000</v>
      </c>
      <c r="I485" s="7">
        <v>2.1</v>
      </c>
      <c r="J485" s="56" t="s">
        <v>696</v>
      </c>
    </row>
    <row r="486" spans="1:10" ht="14.25" customHeight="1">
      <c r="A486" s="93"/>
      <c r="B486" s="6">
        <v>21</v>
      </c>
      <c r="C486" s="105" t="s">
        <v>698</v>
      </c>
      <c r="D486" s="9" t="s">
        <v>837</v>
      </c>
      <c r="E486" s="3">
        <v>495000000</v>
      </c>
      <c r="F486" s="3">
        <v>0</v>
      </c>
      <c r="G486" s="3">
        <v>0</v>
      </c>
      <c r="H486" s="13">
        <v>495000000</v>
      </c>
      <c r="I486" s="7">
        <v>2.1</v>
      </c>
      <c r="J486" s="56" t="s">
        <v>696</v>
      </c>
    </row>
    <row r="487" spans="1:10" ht="17.25" customHeight="1">
      <c r="A487" s="51" t="s">
        <v>838</v>
      </c>
      <c r="B487" s="14" t="s">
        <v>173</v>
      </c>
      <c r="C487" s="15" t="s">
        <v>173</v>
      </c>
      <c r="D487" s="16" t="s">
        <v>173</v>
      </c>
      <c r="E487" s="17">
        <v>105306194000</v>
      </c>
      <c r="F487" s="17">
        <v>2256125166</v>
      </c>
      <c r="G487" s="17">
        <v>25581899260</v>
      </c>
      <c r="H487" s="17">
        <v>79724294740</v>
      </c>
      <c r="I487" s="19"/>
      <c r="J487" s="52" t="s">
        <v>173</v>
      </c>
    </row>
    <row r="488" spans="1:10" ht="14.25" customHeight="1">
      <c r="A488" s="31" t="s">
        <v>873</v>
      </c>
      <c r="B488" s="9" t="s">
        <v>874</v>
      </c>
      <c r="C488" s="5" t="s">
        <v>185</v>
      </c>
      <c r="D488" s="6" t="s">
        <v>875</v>
      </c>
      <c r="E488" s="3">
        <v>598000000</v>
      </c>
      <c r="F488" s="3">
        <v>20402636</v>
      </c>
      <c r="G488" s="3">
        <v>148385557</v>
      </c>
      <c r="H488" s="13">
        <v>449614443</v>
      </c>
      <c r="I488" s="7">
        <v>2.8</v>
      </c>
      <c r="J488" s="32" t="s">
        <v>294</v>
      </c>
    </row>
    <row r="489" spans="1:10" ht="14.25" customHeight="1">
      <c r="A489" s="29" t="s">
        <v>302</v>
      </c>
      <c r="B489" s="9">
        <v>8</v>
      </c>
      <c r="C489" s="5" t="s">
        <v>189</v>
      </c>
      <c r="D489" s="6" t="s">
        <v>848</v>
      </c>
      <c r="E489" s="3">
        <v>490000000</v>
      </c>
      <c r="F489" s="3">
        <v>18693195</v>
      </c>
      <c r="G489" s="3">
        <v>135728474</v>
      </c>
      <c r="H489" s="13">
        <v>354271526</v>
      </c>
      <c r="I489" s="7">
        <v>2.85</v>
      </c>
      <c r="J489" s="32" t="s">
        <v>287</v>
      </c>
    </row>
    <row r="490" spans="1:10" ht="17.25" customHeight="1">
      <c r="A490" s="51" t="s">
        <v>838</v>
      </c>
      <c r="B490" s="14"/>
      <c r="C490" s="15"/>
      <c r="D490" s="16"/>
      <c r="E490" s="17">
        <v>1088000000</v>
      </c>
      <c r="F490" s="17">
        <v>39095831</v>
      </c>
      <c r="G490" s="17">
        <v>284114031</v>
      </c>
      <c r="H490" s="18">
        <v>803885969</v>
      </c>
      <c r="I490" s="19"/>
      <c r="J490" s="52"/>
    </row>
    <row r="491" spans="1:10" ht="14.25" customHeight="1">
      <c r="A491" s="34" t="s">
        <v>702</v>
      </c>
      <c r="B491" s="9" t="s">
        <v>317</v>
      </c>
      <c r="C491" s="5" t="s">
        <v>266</v>
      </c>
      <c r="D491" s="6" t="s">
        <v>876</v>
      </c>
      <c r="E491" s="3">
        <v>509000000</v>
      </c>
      <c r="F491" s="3">
        <v>0</v>
      </c>
      <c r="G491" s="3">
        <v>0</v>
      </c>
      <c r="H491" s="13">
        <v>509000000</v>
      </c>
      <c r="I491" s="7">
        <v>1.7</v>
      </c>
      <c r="J491" s="32" t="s">
        <v>718</v>
      </c>
    </row>
    <row r="492" spans="1:10" ht="14.25" customHeight="1">
      <c r="A492" s="106" t="s">
        <v>703</v>
      </c>
      <c r="B492" s="6">
        <v>13</v>
      </c>
      <c r="C492" s="5" t="s">
        <v>877</v>
      </c>
      <c r="D492" s="6" t="s">
        <v>795</v>
      </c>
      <c r="E492" s="3">
        <v>466000000</v>
      </c>
      <c r="F492" s="3">
        <v>67353398</v>
      </c>
      <c r="G492" s="3">
        <v>328851449</v>
      </c>
      <c r="H492" s="13">
        <v>137148551</v>
      </c>
      <c r="I492" s="7">
        <v>1.2</v>
      </c>
      <c r="J492" s="32" t="s">
        <v>878</v>
      </c>
    </row>
    <row r="493" spans="1:10" ht="17.25" customHeight="1">
      <c r="A493" s="51" t="s">
        <v>725</v>
      </c>
      <c r="B493" s="14" t="s">
        <v>173</v>
      </c>
      <c r="C493" s="15" t="s">
        <v>173</v>
      </c>
      <c r="D493" s="16" t="s">
        <v>173</v>
      </c>
      <c r="E493" s="17">
        <v>975000000</v>
      </c>
      <c r="F493" s="17">
        <v>67353398</v>
      </c>
      <c r="G493" s="17">
        <v>328851449</v>
      </c>
      <c r="H493" s="17">
        <v>646148551</v>
      </c>
      <c r="I493" s="19"/>
      <c r="J493" s="52" t="s">
        <v>173</v>
      </c>
    </row>
    <row r="494" spans="1:10" ht="14.25" customHeight="1">
      <c r="A494" s="101" t="s">
        <v>704</v>
      </c>
      <c r="B494" s="9" t="s">
        <v>318</v>
      </c>
      <c r="C494" s="5" t="s">
        <v>163</v>
      </c>
      <c r="D494" s="6" t="s">
        <v>307</v>
      </c>
      <c r="E494" s="3">
        <v>584000000</v>
      </c>
      <c r="F494" s="3">
        <v>19630788</v>
      </c>
      <c r="G494" s="3">
        <v>48496577</v>
      </c>
      <c r="H494" s="13">
        <v>535503423</v>
      </c>
      <c r="I494" s="7">
        <v>1.6</v>
      </c>
      <c r="J494" s="32" t="s">
        <v>801</v>
      </c>
    </row>
    <row r="495" spans="1:10" ht="14.25" customHeight="1">
      <c r="A495" s="102" t="s">
        <v>302</v>
      </c>
      <c r="B495" s="9">
        <v>14</v>
      </c>
      <c r="C495" s="5" t="s">
        <v>163</v>
      </c>
      <c r="D495" s="6" t="s">
        <v>796</v>
      </c>
      <c r="E495" s="3">
        <v>341000000</v>
      </c>
      <c r="F495" s="3">
        <v>11913618</v>
      </c>
      <c r="G495" s="3">
        <v>23685550</v>
      </c>
      <c r="H495" s="13">
        <v>317314450</v>
      </c>
      <c r="I495" s="7">
        <v>1.2</v>
      </c>
      <c r="J495" s="32" t="s">
        <v>801</v>
      </c>
    </row>
    <row r="496" spans="1:10" ht="17.25" customHeight="1">
      <c r="A496" s="51" t="s">
        <v>725</v>
      </c>
      <c r="B496" s="14" t="s">
        <v>173</v>
      </c>
      <c r="C496" s="15" t="s">
        <v>173</v>
      </c>
      <c r="D496" s="16" t="s">
        <v>173</v>
      </c>
      <c r="E496" s="17">
        <v>925000000</v>
      </c>
      <c r="F496" s="17">
        <v>31544406</v>
      </c>
      <c r="G496" s="17">
        <v>72182127</v>
      </c>
      <c r="H496" s="17">
        <v>852817873</v>
      </c>
      <c r="I496" s="77"/>
      <c r="J496" s="52" t="s">
        <v>173</v>
      </c>
    </row>
    <row r="497" spans="1:10" ht="14.25" customHeight="1">
      <c r="A497" s="33" t="s">
        <v>705</v>
      </c>
      <c r="B497" s="9" t="s">
        <v>318</v>
      </c>
      <c r="C497" s="5" t="s">
        <v>189</v>
      </c>
      <c r="D497" s="9" t="s">
        <v>308</v>
      </c>
      <c r="E497" s="3">
        <v>329000000</v>
      </c>
      <c r="F497" s="3">
        <v>47937533</v>
      </c>
      <c r="G497" s="3">
        <v>280581893</v>
      </c>
      <c r="H497" s="13">
        <v>48418107</v>
      </c>
      <c r="I497" s="7">
        <v>1</v>
      </c>
      <c r="J497" s="32" t="s">
        <v>718</v>
      </c>
    </row>
    <row r="498" spans="1:10" ht="14.25" customHeight="1">
      <c r="A498" s="78" t="s">
        <v>166</v>
      </c>
      <c r="B498" s="9">
        <v>13</v>
      </c>
      <c r="C498" s="5" t="s">
        <v>603</v>
      </c>
      <c r="D498" s="6" t="s">
        <v>604</v>
      </c>
      <c r="E498" s="3">
        <v>728000000</v>
      </c>
      <c r="F498" s="3">
        <v>25722808</v>
      </c>
      <c r="G498" s="3">
        <v>75510373</v>
      </c>
      <c r="H498" s="13">
        <v>652489627</v>
      </c>
      <c r="I498" s="7">
        <v>2.2000000000000002</v>
      </c>
      <c r="J498" s="32" t="s">
        <v>303</v>
      </c>
    </row>
    <row r="499" spans="1:10" ht="14.25" customHeight="1">
      <c r="A499" s="78"/>
      <c r="B499" s="9">
        <v>13</v>
      </c>
      <c r="C499" s="5" t="s">
        <v>603</v>
      </c>
      <c r="D499" s="6" t="s">
        <v>605</v>
      </c>
      <c r="E499" s="3">
        <v>59000000</v>
      </c>
      <c r="F499" s="3">
        <v>2126634</v>
      </c>
      <c r="G499" s="3">
        <v>5242123</v>
      </c>
      <c r="H499" s="13">
        <v>53757877</v>
      </c>
      <c r="I499" s="7">
        <v>1.9</v>
      </c>
      <c r="J499" s="32" t="s">
        <v>606</v>
      </c>
    </row>
    <row r="500" spans="1:10" ht="14.25" customHeight="1">
      <c r="A500" s="78"/>
      <c r="B500" s="9">
        <v>14</v>
      </c>
      <c r="C500" s="5" t="s">
        <v>266</v>
      </c>
      <c r="D500" s="6" t="s">
        <v>607</v>
      </c>
      <c r="E500" s="3">
        <v>2500000000</v>
      </c>
      <c r="F500" s="3">
        <v>0</v>
      </c>
      <c r="G500" s="3">
        <v>0</v>
      </c>
      <c r="H500" s="13">
        <v>2500000000</v>
      </c>
      <c r="I500" s="7">
        <v>0.8</v>
      </c>
      <c r="J500" s="32" t="s">
        <v>608</v>
      </c>
    </row>
    <row r="501" spans="1:10" ht="14.25" customHeight="1">
      <c r="A501" s="78"/>
      <c r="B501" s="9">
        <v>14</v>
      </c>
      <c r="C501" s="5" t="s">
        <v>603</v>
      </c>
      <c r="D501" s="6" t="s">
        <v>609</v>
      </c>
      <c r="E501" s="3">
        <v>530000000</v>
      </c>
      <c r="F501" s="3">
        <v>75708851</v>
      </c>
      <c r="G501" s="3">
        <v>300132889</v>
      </c>
      <c r="H501" s="13">
        <v>229867111</v>
      </c>
      <c r="I501" s="7">
        <v>0.6</v>
      </c>
      <c r="J501" s="32" t="s">
        <v>608</v>
      </c>
    </row>
    <row r="502" spans="1:10" ht="14.25" customHeight="1">
      <c r="A502" s="78"/>
      <c r="B502" s="9">
        <v>15</v>
      </c>
      <c r="C502" s="5" t="s">
        <v>266</v>
      </c>
      <c r="D502" s="6" t="s">
        <v>610</v>
      </c>
      <c r="E502" s="3">
        <v>2000000000</v>
      </c>
      <c r="F502" s="3">
        <v>0</v>
      </c>
      <c r="G502" s="3">
        <v>0</v>
      </c>
      <c r="H502" s="13">
        <v>2000000000</v>
      </c>
      <c r="I502" s="7">
        <v>1.4</v>
      </c>
      <c r="J502" s="32" t="s">
        <v>611</v>
      </c>
    </row>
    <row r="503" spans="1:10" ht="14.25" customHeight="1">
      <c r="A503" s="78"/>
      <c r="B503" s="9">
        <v>14</v>
      </c>
      <c r="C503" s="5" t="s">
        <v>189</v>
      </c>
      <c r="D503" s="6" t="s">
        <v>304</v>
      </c>
      <c r="E503" s="3">
        <v>70000000</v>
      </c>
      <c r="F503" s="3">
        <v>9948269</v>
      </c>
      <c r="G503" s="3">
        <v>34389089</v>
      </c>
      <c r="H503" s="13">
        <v>35610911</v>
      </c>
      <c r="I503" s="7">
        <v>1</v>
      </c>
      <c r="J503" s="32" t="s">
        <v>611</v>
      </c>
    </row>
    <row r="504" spans="1:10" ht="14.25" customHeight="1">
      <c r="A504" s="78"/>
      <c r="B504" s="9">
        <v>15</v>
      </c>
      <c r="C504" s="5" t="s">
        <v>189</v>
      </c>
      <c r="D504" s="6" t="s">
        <v>612</v>
      </c>
      <c r="E504" s="3">
        <v>989000000</v>
      </c>
      <c r="F504" s="3">
        <v>139710673</v>
      </c>
      <c r="G504" s="3">
        <v>414575954</v>
      </c>
      <c r="H504" s="13">
        <v>574424046</v>
      </c>
      <c r="I504" s="7">
        <v>1.1000000000000001</v>
      </c>
      <c r="J504" s="32" t="s">
        <v>267</v>
      </c>
    </row>
    <row r="505" spans="1:10" ht="14.25" customHeight="1">
      <c r="A505" s="78"/>
      <c r="B505" s="9">
        <v>16</v>
      </c>
      <c r="C505" s="5" t="s">
        <v>266</v>
      </c>
      <c r="D505" s="6" t="s">
        <v>613</v>
      </c>
      <c r="E505" s="3">
        <v>2000000000</v>
      </c>
      <c r="F505" s="3">
        <v>0</v>
      </c>
      <c r="G505" s="3">
        <v>0</v>
      </c>
      <c r="H505" s="13">
        <v>2000000000</v>
      </c>
      <c r="I505" s="7">
        <v>1.3</v>
      </c>
      <c r="J505" s="32" t="s">
        <v>614</v>
      </c>
    </row>
    <row r="506" spans="1:10" ht="14.25" customHeight="1">
      <c r="A506" s="78"/>
      <c r="B506" s="9">
        <v>17</v>
      </c>
      <c r="C506" s="5" t="s">
        <v>266</v>
      </c>
      <c r="D506" s="6" t="s">
        <v>615</v>
      </c>
      <c r="E506" s="3">
        <v>2000000000</v>
      </c>
      <c r="F506" s="3">
        <v>0</v>
      </c>
      <c r="G506" s="3">
        <v>0</v>
      </c>
      <c r="H506" s="13">
        <v>2000000000</v>
      </c>
      <c r="I506" s="7">
        <v>1.5</v>
      </c>
      <c r="J506" s="32" t="s">
        <v>167</v>
      </c>
    </row>
    <row r="507" spans="1:10" ht="14.25" customHeight="1">
      <c r="A507" s="78"/>
      <c r="B507" s="9">
        <v>16</v>
      </c>
      <c r="C507" s="5" t="s">
        <v>189</v>
      </c>
      <c r="D507" s="6" t="s">
        <v>616</v>
      </c>
      <c r="E507" s="3">
        <v>255000000</v>
      </c>
      <c r="F507" s="3">
        <v>35344994</v>
      </c>
      <c r="G507" s="3">
        <v>52859545</v>
      </c>
      <c r="H507" s="13">
        <v>202140455</v>
      </c>
      <c r="I507" s="7">
        <v>1.2</v>
      </c>
      <c r="J507" s="32" t="s">
        <v>617</v>
      </c>
    </row>
    <row r="508" spans="1:10" ht="14.25" customHeight="1">
      <c r="A508" s="78"/>
      <c r="B508" s="9">
        <v>18</v>
      </c>
      <c r="C508" s="5" t="s">
        <v>266</v>
      </c>
      <c r="D508" s="9" t="s">
        <v>618</v>
      </c>
      <c r="E508" s="3">
        <v>500000000</v>
      </c>
      <c r="F508" s="3">
        <v>0</v>
      </c>
      <c r="G508" s="3">
        <v>0</v>
      </c>
      <c r="H508" s="13">
        <v>500000000</v>
      </c>
      <c r="I508" s="7">
        <v>1.8</v>
      </c>
      <c r="J508" s="56" t="s">
        <v>619</v>
      </c>
    </row>
    <row r="509" spans="1:10" ht="14.25" customHeight="1">
      <c r="A509" s="78"/>
      <c r="B509" s="9">
        <v>18</v>
      </c>
      <c r="C509" s="5" t="s">
        <v>189</v>
      </c>
      <c r="D509" s="9" t="s">
        <v>347</v>
      </c>
      <c r="E509" s="3">
        <v>187000000</v>
      </c>
      <c r="F509" s="3">
        <v>0</v>
      </c>
      <c r="G509" s="3">
        <v>0</v>
      </c>
      <c r="H509" s="13">
        <v>187000000</v>
      </c>
      <c r="I509" s="7">
        <v>1.65</v>
      </c>
      <c r="J509" s="56" t="s">
        <v>276</v>
      </c>
    </row>
    <row r="510" spans="1:10" ht="14.25" customHeight="1">
      <c r="A510" s="78"/>
      <c r="B510" s="9">
        <v>19</v>
      </c>
      <c r="C510" s="5" t="s">
        <v>620</v>
      </c>
      <c r="D510" s="9" t="s">
        <v>621</v>
      </c>
      <c r="E510" s="3">
        <v>2000000000</v>
      </c>
      <c r="F510" s="3">
        <v>0</v>
      </c>
      <c r="G510" s="3">
        <v>0</v>
      </c>
      <c r="H510" s="13">
        <v>2000000000</v>
      </c>
      <c r="I510" s="7">
        <v>1.65</v>
      </c>
      <c r="J510" s="56" t="s">
        <v>622</v>
      </c>
    </row>
    <row r="511" spans="1:10" ht="14.25" customHeight="1">
      <c r="A511" s="78"/>
      <c r="B511" s="9">
        <v>19</v>
      </c>
      <c r="C511" s="5" t="s">
        <v>189</v>
      </c>
      <c r="D511" s="9" t="s">
        <v>348</v>
      </c>
      <c r="E511" s="3">
        <v>273000000</v>
      </c>
      <c r="F511" s="3">
        <v>0</v>
      </c>
      <c r="G511" s="3">
        <v>0</v>
      </c>
      <c r="H511" s="13">
        <v>273000000</v>
      </c>
      <c r="I511" s="7">
        <v>1.35</v>
      </c>
      <c r="J511" s="56" t="s">
        <v>277</v>
      </c>
    </row>
    <row r="512" spans="1:10" ht="14.25" customHeight="1">
      <c r="A512" s="78"/>
      <c r="B512" s="9">
        <v>20</v>
      </c>
      <c r="C512" s="5" t="s">
        <v>266</v>
      </c>
      <c r="D512" s="9" t="s">
        <v>623</v>
      </c>
      <c r="E512" s="3">
        <v>2000000000</v>
      </c>
      <c r="F512" s="3">
        <v>0</v>
      </c>
      <c r="G512" s="3">
        <v>0</v>
      </c>
      <c r="H512" s="13">
        <v>2000000000</v>
      </c>
      <c r="I512" s="7">
        <v>1.48</v>
      </c>
      <c r="J512" s="56" t="s">
        <v>280</v>
      </c>
    </row>
    <row r="513" spans="1:10" ht="14.25" customHeight="1">
      <c r="A513" s="78"/>
      <c r="B513" s="9">
        <v>20</v>
      </c>
      <c r="C513" s="105" t="s">
        <v>695</v>
      </c>
      <c r="D513" s="9" t="s">
        <v>634</v>
      </c>
      <c r="E513" s="3">
        <v>605000000</v>
      </c>
      <c r="F513" s="3">
        <v>0</v>
      </c>
      <c r="G513" s="3">
        <v>0</v>
      </c>
      <c r="H513" s="13">
        <v>605000000</v>
      </c>
      <c r="I513" s="7">
        <v>1</v>
      </c>
      <c r="J513" s="56" t="s">
        <v>280</v>
      </c>
    </row>
    <row r="514" spans="1:10" ht="14.25" customHeight="1">
      <c r="A514" s="35"/>
      <c r="B514" s="9">
        <v>20</v>
      </c>
      <c r="C514" s="105" t="s">
        <v>695</v>
      </c>
      <c r="D514" s="9" t="s">
        <v>634</v>
      </c>
      <c r="E514" s="3">
        <v>363000000</v>
      </c>
      <c r="F514" s="3">
        <v>0</v>
      </c>
      <c r="G514" s="3">
        <v>0</v>
      </c>
      <c r="H514" s="13">
        <v>363000000</v>
      </c>
      <c r="I514" s="7">
        <v>1</v>
      </c>
      <c r="J514" s="56" t="s">
        <v>879</v>
      </c>
    </row>
    <row r="515" spans="1:10" ht="14.25" customHeight="1">
      <c r="A515" s="78"/>
      <c r="B515" s="9">
        <v>21</v>
      </c>
      <c r="C515" s="105" t="s">
        <v>698</v>
      </c>
      <c r="D515" s="9" t="s">
        <v>837</v>
      </c>
      <c r="E515" s="3">
        <v>1423000000</v>
      </c>
      <c r="F515" s="3">
        <v>0</v>
      </c>
      <c r="G515" s="3">
        <v>0</v>
      </c>
      <c r="H515" s="13">
        <v>1423000000</v>
      </c>
      <c r="I515" s="7">
        <v>0.9</v>
      </c>
      <c r="J515" s="56" t="s">
        <v>283</v>
      </c>
    </row>
    <row r="516" spans="1:10" ht="17.25" customHeight="1">
      <c r="A516" s="51" t="s">
        <v>838</v>
      </c>
      <c r="B516" s="14" t="s">
        <v>173</v>
      </c>
      <c r="C516" s="15" t="s">
        <v>173</v>
      </c>
      <c r="D516" s="16" t="s">
        <v>173</v>
      </c>
      <c r="E516" s="17">
        <v>18811000000</v>
      </c>
      <c r="F516" s="17">
        <v>336499762</v>
      </c>
      <c r="G516" s="17">
        <v>1163291866</v>
      </c>
      <c r="H516" s="17">
        <v>17647708134</v>
      </c>
      <c r="I516" s="19"/>
      <c r="J516" s="52" t="s">
        <v>173</v>
      </c>
    </row>
    <row r="517" spans="1:10" ht="14.25" customHeight="1">
      <c r="A517" s="34" t="s">
        <v>168</v>
      </c>
      <c r="B517" s="9" t="s">
        <v>319</v>
      </c>
      <c r="C517" s="79" t="s">
        <v>189</v>
      </c>
      <c r="D517" s="6" t="s">
        <v>309</v>
      </c>
      <c r="E517" s="80">
        <v>29000000</v>
      </c>
      <c r="F517" s="3">
        <v>1612506</v>
      </c>
      <c r="G517" s="3">
        <v>6345237</v>
      </c>
      <c r="H517" s="13">
        <v>22654763</v>
      </c>
      <c r="I517" s="7">
        <v>1.1000000000000001</v>
      </c>
      <c r="J517" s="54" t="s">
        <v>880</v>
      </c>
    </row>
    <row r="518" spans="1:10" ht="14.25" customHeight="1">
      <c r="A518" s="76" t="s">
        <v>169</v>
      </c>
      <c r="B518" s="9">
        <v>15</v>
      </c>
      <c r="C518" s="81" t="s">
        <v>189</v>
      </c>
      <c r="D518" s="6" t="s">
        <v>625</v>
      </c>
      <c r="E518" s="82">
        <v>67000000</v>
      </c>
      <c r="F518" s="3">
        <v>3570892</v>
      </c>
      <c r="G518" s="3">
        <v>10544201</v>
      </c>
      <c r="H518" s="13">
        <v>56455799</v>
      </c>
      <c r="I518" s="7">
        <v>1.6</v>
      </c>
      <c r="J518" s="32" t="s">
        <v>626</v>
      </c>
    </row>
    <row r="519" spans="1:10" ht="14.25" customHeight="1">
      <c r="A519" s="76"/>
      <c r="B519" s="9">
        <v>16</v>
      </c>
      <c r="C519" s="81" t="s">
        <v>189</v>
      </c>
      <c r="D519" s="6" t="s">
        <v>627</v>
      </c>
      <c r="E519" s="82">
        <v>62000000</v>
      </c>
      <c r="F519" s="3">
        <v>3228403</v>
      </c>
      <c r="G519" s="3">
        <v>6402615</v>
      </c>
      <c r="H519" s="13">
        <v>55597385</v>
      </c>
      <c r="I519" s="7">
        <v>1.7</v>
      </c>
      <c r="J519" s="56" t="s">
        <v>628</v>
      </c>
    </row>
    <row r="520" spans="1:10" ht="14.25" customHeight="1">
      <c r="A520" s="76"/>
      <c r="B520" s="9">
        <v>17</v>
      </c>
      <c r="C520" s="81" t="s">
        <v>189</v>
      </c>
      <c r="D520" s="6" t="s">
        <v>629</v>
      </c>
      <c r="E520" s="82">
        <v>124000000</v>
      </c>
      <c r="F520" s="3">
        <v>6295670</v>
      </c>
      <c r="G520" s="3">
        <v>6295670</v>
      </c>
      <c r="H520" s="13">
        <v>117704330</v>
      </c>
      <c r="I520" s="7">
        <v>1.8</v>
      </c>
      <c r="J520" s="56" t="s">
        <v>630</v>
      </c>
    </row>
    <row r="521" spans="1:10" ht="14.25" customHeight="1">
      <c r="A521" s="76"/>
      <c r="B521" s="9">
        <v>18</v>
      </c>
      <c r="C521" s="81" t="s">
        <v>189</v>
      </c>
      <c r="D521" s="6" t="s">
        <v>347</v>
      </c>
      <c r="E521" s="82">
        <v>38000000</v>
      </c>
      <c r="F521" s="3">
        <v>0</v>
      </c>
      <c r="G521" s="3">
        <v>0</v>
      </c>
      <c r="H521" s="13">
        <v>38000000</v>
      </c>
      <c r="I521" s="7">
        <v>1.9</v>
      </c>
      <c r="J521" s="56" t="s">
        <v>294</v>
      </c>
    </row>
    <row r="522" spans="1:10" ht="14.25" customHeight="1">
      <c r="A522" s="76"/>
      <c r="B522" s="9">
        <v>19</v>
      </c>
      <c r="C522" s="81" t="s">
        <v>631</v>
      </c>
      <c r="D522" s="9" t="s">
        <v>632</v>
      </c>
      <c r="E522" s="82">
        <v>71000000</v>
      </c>
      <c r="F522" s="3">
        <v>0</v>
      </c>
      <c r="G522" s="3">
        <v>0</v>
      </c>
      <c r="H522" s="13">
        <v>71000000</v>
      </c>
      <c r="I522" s="7">
        <v>1.75</v>
      </c>
      <c r="J522" s="56" t="s">
        <v>633</v>
      </c>
    </row>
    <row r="523" spans="1:10" ht="14.25" customHeight="1">
      <c r="A523" s="76"/>
      <c r="B523" s="9">
        <v>20</v>
      </c>
      <c r="C523" s="105" t="s">
        <v>695</v>
      </c>
      <c r="D523" s="9" t="s">
        <v>634</v>
      </c>
      <c r="E523" s="82">
        <v>55000000</v>
      </c>
      <c r="F523" s="3">
        <v>0</v>
      </c>
      <c r="G523" s="3">
        <v>0</v>
      </c>
      <c r="H523" s="13">
        <v>55000000</v>
      </c>
      <c r="I523" s="7">
        <v>1.6</v>
      </c>
      <c r="J523" s="56" t="s">
        <v>296</v>
      </c>
    </row>
    <row r="524" spans="1:10" ht="17.25" customHeight="1" thickBot="1">
      <c r="A524" s="84" t="s">
        <v>635</v>
      </c>
      <c r="B524" s="85" t="s">
        <v>173</v>
      </c>
      <c r="C524" s="86" t="s">
        <v>173</v>
      </c>
      <c r="D524" s="87" t="s">
        <v>173</v>
      </c>
      <c r="E524" s="88">
        <v>446000000</v>
      </c>
      <c r="F524" s="88">
        <v>14707471</v>
      </c>
      <c r="G524" s="88">
        <v>29587723</v>
      </c>
      <c r="H524" s="88">
        <v>416412277</v>
      </c>
      <c r="I524" s="89"/>
      <c r="J524" s="90" t="s">
        <v>173</v>
      </c>
    </row>
    <row r="525" spans="1:10" ht="17.25" customHeight="1" thickBot="1">
      <c r="A525" s="73"/>
      <c r="B525" s="67"/>
      <c r="C525" s="36"/>
      <c r="D525" s="70"/>
      <c r="E525" s="27"/>
      <c r="F525" s="27"/>
      <c r="G525" s="27"/>
      <c r="H525" s="27"/>
      <c r="I525" s="69"/>
      <c r="J525" s="70"/>
    </row>
    <row r="526" spans="1:10" ht="14.25" customHeight="1">
      <c r="A526" s="523" t="s">
        <v>687</v>
      </c>
      <c r="B526" s="515" t="s">
        <v>311</v>
      </c>
      <c r="C526" s="511" t="s">
        <v>688</v>
      </c>
      <c r="D526" s="515" t="s">
        <v>312</v>
      </c>
      <c r="E526" s="513" t="s">
        <v>352</v>
      </c>
      <c r="F526" s="519" t="s">
        <v>353</v>
      </c>
      <c r="G526" s="520"/>
      <c r="H526" s="494" t="s">
        <v>174</v>
      </c>
      <c r="I526" s="517" t="s">
        <v>354</v>
      </c>
      <c r="J526" s="521" t="s">
        <v>313</v>
      </c>
    </row>
    <row r="527" spans="1:10" ht="14.25" customHeight="1">
      <c r="A527" s="524"/>
      <c r="B527" s="516"/>
      <c r="C527" s="512"/>
      <c r="D527" s="516"/>
      <c r="E527" s="514"/>
      <c r="F527" s="40" t="s">
        <v>176</v>
      </c>
      <c r="G527" s="40" t="s">
        <v>305</v>
      </c>
      <c r="H527" s="495"/>
      <c r="I527" s="518"/>
      <c r="J527" s="522"/>
    </row>
    <row r="528" spans="1:10" ht="14.25" customHeight="1">
      <c r="A528" s="100" t="s">
        <v>706</v>
      </c>
      <c r="B528" s="83" t="s">
        <v>320</v>
      </c>
      <c r="C528" s="11" t="s">
        <v>163</v>
      </c>
      <c r="D528" s="43" t="s">
        <v>310</v>
      </c>
      <c r="E528" s="4">
        <v>1006000000</v>
      </c>
      <c r="F528" s="3">
        <v>31367672</v>
      </c>
      <c r="G528" s="3">
        <v>31367672</v>
      </c>
      <c r="H528" s="13">
        <v>974632328</v>
      </c>
      <c r="I528" s="12">
        <v>2</v>
      </c>
      <c r="J528" s="54" t="s">
        <v>804</v>
      </c>
    </row>
    <row r="529" spans="1:10" ht="14.25" customHeight="1">
      <c r="A529" s="76" t="s">
        <v>707</v>
      </c>
      <c r="B529" s="9">
        <v>16</v>
      </c>
      <c r="C529" s="81" t="s">
        <v>189</v>
      </c>
      <c r="D529" s="6" t="s">
        <v>881</v>
      </c>
      <c r="E529" s="3">
        <v>288000000</v>
      </c>
      <c r="F529" s="3">
        <v>0</v>
      </c>
      <c r="G529" s="3">
        <v>0</v>
      </c>
      <c r="H529" s="13">
        <v>288000000</v>
      </c>
      <c r="I529" s="7">
        <v>2.1</v>
      </c>
      <c r="J529" s="56" t="s">
        <v>801</v>
      </c>
    </row>
    <row r="530" spans="1:10" ht="14.25" customHeight="1">
      <c r="A530" s="35"/>
      <c r="B530" s="9">
        <v>16</v>
      </c>
      <c r="C530" s="5" t="s">
        <v>163</v>
      </c>
      <c r="D530" s="6" t="s">
        <v>772</v>
      </c>
      <c r="E530" s="3">
        <v>2952000000</v>
      </c>
      <c r="F530" s="3">
        <v>0</v>
      </c>
      <c r="G530" s="3">
        <v>0</v>
      </c>
      <c r="H530" s="13">
        <v>2952000000</v>
      </c>
      <c r="I530" s="7">
        <v>2.1</v>
      </c>
      <c r="J530" s="56" t="s">
        <v>882</v>
      </c>
    </row>
    <row r="531" spans="1:10" ht="14.25" customHeight="1">
      <c r="A531" s="35"/>
      <c r="B531" s="9">
        <v>17</v>
      </c>
      <c r="C531" s="5" t="s">
        <v>163</v>
      </c>
      <c r="D531" s="6" t="s">
        <v>883</v>
      </c>
      <c r="E531" s="3">
        <v>3534000000</v>
      </c>
      <c r="F531" s="3">
        <v>0</v>
      </c>
      <c r="G531" s="3">
        <v>0</v>
      </c>
      <c r="H531" s="13">
        <v>3534000000</v>
      </c>
      <c r="I531" s="7">
        <v>2.1</v>
      </c>
      <c r="J531" s="56" t="s">
        <v>862</v>
      </c>
    </row>
    <row r="532" spans="1:10" ht="14.25" customHeight="1">
      <c r="A532" s="35"/>
      <c r="B532" s="303">
        <v>18</v>
      </c>
      <c r="C532" s="304" t="s">
        <v>266</v>
      </c>
      <c r="D532" s="303" t="s">
        <v>346</v>
      </c>
      <c r="E532" s="305">
        <v>1500000000</v>
      </c>
      <c r="F532" s="305">
        <v>0</v>
      </c>
      <c r="G532" s="305">
        <v>0</v>
      </c>
      <c r="H532" s="305">
        <v>1500000000</v>
      </c>
      <c r="I532" s="306">
        <v>1.8</v>
      </c>
      <c r="J532" s="307" t="s">
        <v>276</v>
      </c>
    </row>
    <row r="533" spans="1:10" ht="14.25" customHeight="1">
      <c r="A533" s="35"/>
      <c r="B533" s="303">
        <v>18</v>
      </c>
      <c r="C533" s="304" t="s">
        <v>163</v>
      </c>
      <c r="D533" s="303" t="s">
        <v>1698</v>
      </c>
      <c r="E533" s="305">
        <v>1800000000</v>
      </c>
      <c r="F533" s="305">
        <v>0</v>
      </c>
      <c r="G533" s="305">
        <v>0</v>
      </c>
      <c r="H533" s="305">
        <v>1800000000</v>
      </c>
      <c r="I533" s="306">
        <v>2.1</v>
      </c>
      <c r="J533" s="307" t="s">
        <v>1699</v>
      </c>
    </row>
    <row r="534" spans="1:10" ht="14.25" customHeight="1">
      <c r="A534" s="35"/>
      <c r="B534" s="9">
        <v>19</v>
      </c>
      <c r="C534" s="5" t="s">
        <v>345</v>
      </c>
      <c r="D534" s="9" t="s">
        <v>805</v>
      </c>
      <c r="E534" s="3">
        <v>3666000000</v>
      </c>
      <c r="F534" s="3">
        <v>0</v>
      </c>
      <c r="G534" s="3">
        <v>0</v>
      </c>
      <c r="H534" s="13">
        <v>3666000000</v>
      </c>
      <c r="I534" s="7">
        <v>2.1</v>
      </c>
      <c r="J534" s="56" t="s">
        <v>866</v>
      </c>
    </row>
    <row r="535" spans="1:10" ht="14.25" customHeight="1">
      <c r="A535" s="35"/>
      <c r="B535" s="9">
        <v>20</v>
      </c>
      <c r="C535" s="5" t="s">
        <v>345</v>
      </c>
      <c r="D535" s="9" t="s">
        <v>884</v>
      </c>
      <c r="E535" s="3">
        <v>3348000000</v>
      </c>
      <c r="F535" s="3">
        <v>0</v>
      </c>
      <c r="G535" s="3">
        <v>0</v>
      </c>
      <c r="H535" s="13">
        <v>3348000000</v>
      </c>
      <c r="I535" s="7">
        <v>1.9</v>
      </c>
      <c r="J535" s="56" t="s">
        <v>636</v>
      </c>
    </row>
    <row r="536" spans="1:10" ht="14.25" customHeight="1">
      <c r="A536" s="35"/>
      <c r="B536" s="9">
        <v>21</v>
      </c>
      <c r="C536" s="81" t="s">
        <v>163</v>
      </c>
      <c r="D536" s="9" t="s">
        <v>885</v>
      </c>
      <c r="E536" s="3">
        <v>1744000000</v>
      </c>
      <c r="F536" s="3">
        <v>0</v>
      </c>
      <c r="G536" s="3">
        <v>0</v>
      </c>
      <c r="H536" s="13">
        <v>1744000000</v>
      </c>
      <c r="I536" s="7">
        <v>2.1</v>
      </c>
      <c r="J536" s="56" t="s">
        <v>696</v>
      </c>
    </row>
    <row r="537" spans="1:10">
      <c r="A537" s="51" t="s">
        <v>725</v>
      </c>
      <c r="B537" s="14"/>
      <c r="C537" s="15"/>
      <c r="D537" s="16"/>
      <c r="E537" s="17">
        <v>19838000000</v>
      </c>
      <c r="F537" s="17">
        <v>31367672</v>
      </c>
      <c r="G537" s="17">
        <v>31367672</v>
      </c>
      <c r="H537" s="17">
        <v>19806632328</v>
      </c>
      <c r="I537" s="19"/>
      <c r="J537" s="52"/>
    </row>
    <row r="538" spans="1:10" ht="14.25" thickBot="1">
      <c r="A538" s="84" t="s">
        <v>170</v>
      </c>
      <c r="B538" s="85" t="s">
        <v>173</v>
      </c>
      <c r="C538" s="86" t="s">
        <v>173</v>
      </c>
      <c r="D538" s="87" t="s">
        <v>173</v>
      </c>
      <c r="E538" s="88">
        <v>518231236889</v>
      </c>
      <c r="F538" s="88">
        <v>11542170425</v>
      </c>
      <c r="G538" s="88">
        <v>309427265647</v>
      </c>
      <c r="H538" s="88">
        <v>208803971242</v>
      </c>
      <c r="I538" s="89"/>
      <c r="J538" s="90" t="s">
        <v>173</v>
      </c>
    </row>
    <row r="539" spans="1:10">
      <c r="H539" s="107"/>
    </row>
  </sheetData>
  <mergeCells count="90">
    <mergeCell ref="A526:A527"/>
    <mergeCell ref="B526:B527"/>
    <mergeCell ref="C526:C527"/>
    <mergeCell ref="D526:D527"/>
    <mergeCell ref="J526:J527"/>
    <mergeCell ref="E526:E527"/>
    <mergeCell ref="F526:G526"/>
    <mergeCell ref="H526:H527"/>
    <mergeCell ref="I526:I527"/>
    <mergeCell ref="J466:J467"/>
    <mergeCell ref="E466:E467"/>
    <mergeCell ref="F466:G466"/>
    <mergeCell ref="H466:H467"/>
    <mergeCell ref="I466:I467"/>
    <mergeCell ref="A346:A347"/>
    <mergeCell ref="B346:B347"/>
    <mergeCell ref="C346:C347"/>
    <mergeCell ref="D346:D347"/>
    <mergeCell ref="A466:A467"/>
    <mergeCell ref="B466:B467"/>
    <mergeCell ref="C466:C467"/>
    <mergeCell ref="D466:D467"/>
    <mergeCell ref="A407:A408"/>
    <mergeCell ref="B407:B408"/>
    <mergeCell ref="C407:C408"/>
    <mergeCell ref="D407:D408"/>
    <mergeCell ref="I407:I408"/>
    <mergeCell ref="J407:J408"/>
    <mergeCell ref="H346:H347"/>
    <mergeCell ref="I346:I347"/>
    <mergeCell ref="J346:J347"/>
    <mergeCell ref="E407:E408"/>
    <mergeCell ref="D289:D290"/>
    <mergeCell ref="E289:E290"/>
    <mergeCell ref="F289:G289"/>
    <mergeCell ref="H289:H290"/>
    <mergeCell ref="E346:E347"/>
    <mergeCell ref="F346:G346"/>
    <mergeCell ref="F407:G407"/>
    <mergeCell ref="H407:H408"/>
    <mergeCell ref="I289:I290"/>
    <mergeCell ref="J289:J290"/>
    <mergeCell ref="A228:A229"/>
    <mergeCell ref="B228:B229"/>
    <mergeCell ref="C228:C229"/>
    <mergeCell ref="D228:D229"/>
    <mergeCell ref="E228:E229"/>
    <mergeCell ref="F228:G228"/>
    <mergeCell ref="H228:H229"/>
    <mergeCell ref="I228:I229"/>
    <mergeCell ref="J228:J229"/>
    <mergeCell ref="A289:A290"/>
    <mergeCell ref="B289:B290"/>
    <mergeCell ref="C289:C290"/>
    <mergeCell ref="J113:J114"/>
    <mergeCell ref="A171:A172"/>
    <mergeCell ref="B171:B172"/>
    <mergeCell ref="C171:C172"/>
    <mergeCell ref="D171:D172"/>
    <mergeCell ref="E171:E172"/>
    <mergeCell ref="F171:G171"/>
    <mergeCell ref="H171:H172"/>
    <mergeCell ref="J171:J172"/>
    <mergeCell ref="I171:I172"/>
    <mergeCell ref="J2:J3"/>
    <mergeCell ref="I57:I58"/>
    <mergeCell ref="A113:A114"/>
    <mergeCell ref="B113:B114"/>
    <mergeCell ref="C113:C114"/>
    <mergeCell ref="D113:D114"/>
    <mergeCell ref="E113:E114"/>
    <mergeCell ref="F113:G113"/>
    <mergeCell ref="A2:A3"/>
    <mergeCell ref="A57:A58"/>
    <mergeCell ref="F57:G57"/>
    <mergeCell ref="H57:H58"/>
    <mergeCell ref="J57:J58"/>
    <mergeCell ref="B57:B58"/>
    <mergeCell ref="C57:C58"/>
    <mergeCell ref="D57:D58"/>
    <mergeCell ref="C2:C3"/>
    <mergeCell ref="E2:E3"/>
    <mergeCell ref="B2:B3"/>
    <mergeCell ref="I113:I114"/>
    <mergeCell ref="H2:H3"/>
    <mergeCell ref="I2:I3"/>
    <mergeCell ref="F2:G2"/>
    <mergeCell ref="H113:H114"/>
    <mergeCell ref="E57:E58"/>
    <mergeCell ref="D2:D3"/>
  </mergeCells>
  <phoneticPr fontId="2"/>
  <pageMargins left="0.75" right="0.28000000000000003" top="0.52" bottom="0.51" header="0.27" footer="0.16"/>
  <pageSetup paperSize="9" scale="92" orientation="portrait" cellComments="asDisplayed" r:id="rId1"/>
  <headerFooter alignWithMargins="0"/>
  <rowBreaks count="9" manualBreakCount="9">
    <brk id="56" max="16383" man="1"/>
    <brk id="112" max="9" man="1"/>
    <brk id="170" max="16383" man="1"/>
    <brk id="227" max="16383" man="1"/>
    <brk id="288" max="16383" man="1"/>
    <brk id="345" max="16383" man="1"/>
    <brk id="406" max="16383" man="1"/>
    <brk id="465" max="16383" man="1"/>
    <brk id="52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25</vt:lpstr>
      <vt:lpstr>25.企業債（2７決算） </vt:lpstr>
      <vt:lpstr>25.企業債（25決算）</vt:lpstr>
      <vt:lpstr>25.企業債（24決算）</vt:lpstr>
      <vt:lpstr>25.企業債（23決算）</vt:lpstr>
      <vt:lpstr>25．企業債（22決算）</vt:lpstr>
      <vt:lpstr>25．企業債（21決算）</vt:lpstr>
      <vt:lpstr>'25'!Print_Area</vt:lpstr>
      <vt:lpstr>'25．企業債（21決算）'!Print_Area</vt:lpstr>
      <vt:lpstr>'25．企業債（22決算）'!Print_Area</vt:lpstr>
      <vt:lpstr>'25.企業債（23決算）'!Print_Area</vt:lpstr>
      <vt:lpstr>'25.企業債（24決算）'!Print_Area</vt:lpstr>
      <vt:lpstr>'25.企業債（25決算）'!Print_Area</vt:lpstr>
      <vt:lpstr>'25.企業債（2７決算）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2025-03-07T11:01:47Z</dcterms:created>
  <dcterms:modified xsi:type="dcterms:W3CDTF">2025-03-07T11:03:23Z</dcterms:modified>
</cp:coreProperties>
</file>