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updateLinks="never"/>
  <xr:revisionPtr revIDLastSave="0" documentId="13_ncr:1_{42C7B2B6-8FF8-4AFA-AC5C-1A62C2950755}" xr6:coauthVersionLast="47" xr6:coauthVersionMax="47" xr10:uidLastSave="{00000000-0000-0000-0000-000000000000}"/>
  <workbookProtection workbookAlgorithmName="SHA-512" workbookHashValue="qj19YvhkCT3UGofr7rHfIOBEgrux6mTw/+xDNCDwqyht5OjrNlmnx9ZLvQhSZ9HVtojPVepF63t/Y+fDwrvK3A==" workbookSaltValue="g6SYijtRGng8sEcn/9KxuQ==" workbookSpinCount="100000" lockStructure="1"/>
  <bookViews>
    <workbookView xWindow="660" yWindow="-15630" windowWidth="28260" windowHeight="14280" tabRatio="627" xr2:uid="{00000000-000D-0000-FFFF-FFFF00000000}"/>
  </bookViews>
  <sheets>
    <sheet name="提出するシートについて" sheetId="27" r:id="rId1"/>
    <sheet name="記入例" sheetId="26" r:id="rId2"/>
    <sheet name="使用量と光熱費" sheetId="1" r:id="rId3"/>
    <sheet name="照明" sheetId="8" r:id="rId4"/>
    <sheet name="空調（電気）" sheetId="9" r:id="rId5"/>
    <sheet name="空調（GHP)" sheetId="23" r:id="rId6"/>
    <sheet name="ボイラー・給湯器" sheetId="24" r:id="rId7"/>
    <sheet name="モーター" sheetId="22" r:id="rId8"/>
    <sheet name="変圧器" sheetId="25" r:id="rId9"/>
    <sheet name="その他" sheetId="11" state="hidden" r:id="rId10"/>
    <sheet name="取組項目" sheetId="20" r:id="rId11"/>
    <sheet name="診断結果【更新】" sheetId="14" r:id="rId12"/>
    <sheet name="診断結果【使用量】" sheetId="16" r:id="rId13"/>
    <sheet name="診断結果【取組】" sheetId="19" r:id="rId14"/>
    <sheet name="Sheet13" sheetId="13" state="hidden" r:id="rId15"/>
    <sheet name="係数" sheetId="4" r:id="rId16"/>
    <sheet name="負荷率" sheetId="6" state="hidden" r:id="rId17"/>
    <sheet name="モーター効率" sheetId="21" state="hidden" r:id="rId18"/>
  </sheets>
  <externalReferences>
    <externalReference r:id="rId19"/>
    <externalReference r:id="rId20"/>
  </externalReferences>
  <definedNames>
    <definedName name="_Fill" hidden="1">[1]昨年!$B$2:$J$2</definedName>
    <definedName name="haishutukeisuu" localSheetId="1" hidden="1">{"'第２表'!$W$27:$AA$68"}</definedName>
    <definedName name="haishutukeisuu" hidden="1">{"'第２表'!$W$27:$AA$68"}</definedName>
    <definedName name="HTML_CodePage" hidden="1">932</definedName>
    <definedName name="HTML_Control" localSheetId="1"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lpu" localSheetId="1" hidden="1">{"'第２表'!$W$27:$AA$68"}</definedName>
    <definedName name="lpu" hidden="1">{"'第２表'!$W$27:$AA$68"}</definedName>
    <definedName name="pps推移" localSheetId="1" hidden="1">{"'第２表'!$W$27:$AA$68"}</definedName>
    <definedName name="pps推移" hidden="1">{"'第２表'!$W$27:$AA$68"}</definedName>
    <definedName name="_xlnm.Print_Area" localSheetId="6">ボイラー・給湯器!$A$1:$BA$34</definedName>
    <definedName name="_xlnm.Print_Area" localSheetId="7">モーター!$A$1:$AF$34</definedName>
    <definedName name="_xlnm.Print_Area" localSheetId="5">'空調（GHP)'!$A$1:$AK$52</definedName>
    <definedName name="_xlnm.Print_Area" localSheetId="4">'空調（電気）'!$A$1:$AD$49</definedName>
    <definedName name="_xlnm.Print_Area" localSheetId="15">係数!$A$1:$I$30</definedName>
    <definedName name="_xlnm.Print_Area" localSheetId="10">取組項目!$A$1:$G$63</definedName>
    <definedName name="_xlnm.Print_Area" localSheetId="3">照明!$A$1:$X$47</definedName>
    <definedName name="_xlnm.Print_Area" localSheetId="12">診断結果【使用量】!$A$1:$I$111</definedName>
    <definedName name="_xlnm.Print_Titles" localSheetId="10">取組項目!$7:$7</definedName>
    <definedName name="_xlnm.Print_Titles" localSheetId="13">診断結果【取組】!$11:$11</definedName>
    <definedName name="rangeIE1">モーター効率!$B$2:$B$32</definedName>
    <definedName name="rangeIE2">モーター効率!$B$33:$B$63</definedName>
    <definedName name="rangeIE3">モーター効率!$B$64:$B$94</definedName>
    <definedName name="rangeIE4">モーター効率!$B$95:$B$122</definedName>
    <definedName name="係数">係数!$D$12:$H$43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 l="1"/>
  <c r="M10" i="1"/>
  <c r="H11" i="1" l="1"/>
  <c r="H10" i="1"/>
  <c r="H9" i="1"/>
  <c r="H8" i="1"/>
  <c r="H7" i="1"/>
  <c r="O9" i="1" l="1"/>
  <c r="R52" i="23" l="1"/>
  <c r="R51" i="23"/>
  <c r="R50" i="23"/>
  <c r="R49" i="23"/>
  <c r="R48" i="23"/>
  <c r="R47" i="23"/>
  <c r="R46" i="23"/>
  <c r="R45" i="23"/>
  <c r="R44" i="23"/>
  <c r="R43" i="23"/>
  <c r="R42" i="23"/>
  <c r="R41" i="23"/>
  <c r="R40" i="23"/>
  <c r="R39" i="23"/>
  <c r="R38" i="23"/>
  <c r="R37" i="23"/>
  <c r="R36" i="23"/>
  <c r="R35" i="23"/>
  <c r="R34" i="23"/>
  <c r="R33" i="23"/>
  <c r="R32" i="23"/>
  <c r="R31" i="23"/>
  <c r="R30" i="23"/>
  <c r="R29" i="23"/>
  <c r="R28" i="23"/>
  <c r="R27" i="23"/>
  <c r="R26" i="23"/>
  <c r="R25" i="23"/>
  <c r="R24" i="23"/>
  <c r="R23" i="23"/>
  <c r="Q21" i="23"/>
  <c r="R21" i="23" s="1"/>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K21" i="23"/>
  <c r="L21" i="23" s="1"/>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O18" i="9"/>
  <c r="P18" i="9" s="1"/>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J18" i="9"/>
  <c r="K18" i="9" s="1"/>
  <c r="O17" i="8" l="1"/>
  <c r="E17" i="8"/>
  <c r="R20" i="11"/>
  <c r="G20" i="11"/>
  <c r="I10" i="11"/>
  <c r="R19" i="22"/>
  <c r="V19" i="22"/>
  <c r="H19" i="22"/>
  <c r="D19" i="22"/>
  <c r="F30" i="22"/>
  <c r="J30" i="22"/>
  <c r="K30" i="22" s="1"/>
  <c r="O30" i="22" s="1"/>
  <c r="T30" i="22"/>
  <c r="X30" i="22"/>
  <c r="Y30" i="22" s="1"/>
  <c r="Z30" i="22"/>
  <c r="AB30" i="22"/>
  <c r="F31" i="22"/>
  <c r="J31" i="22"/>
  <c r="K31" i="22" s="1"/>
  <c r="O31" i="22" s="1"/>
  <c r="T31" i="22"/>
  <c r="X31" i="22"/>
  <c r="Y31" i="22" s="1"/>
  <c r="Z31" i="22"/>
  <c r="AB31" i="22"/>
  <c r="F32" i="22"/>
  <c r="J32" i="22"/>
  <c r="K32" i="22" s="1"/>
  <c r="O32" i="22" s="1"/>
  <c r="T32" i="22"/>
  <c r="X32" i="22"/>
  <c r="Y32" i="22" s="1"/>
  <c r="Z32" i="22"/>
  <c r="AB32" i="22"/>
  <c r="F33" i="22"/>
  <c r="J33" i="22"/>
  <c r="K33" i="22" s="1"/>
  <c r="O33" i="22" s="1"/>
  <c r="T33" i="22"/>
  <c r="X33" i="22"/>
  <c r="Y33" i="22" s="1"/>
  <c r="Z33" i="22"/>
  <c r="AB33" i="22"/>
  <c r="F34" i="22"/>
  <c r="J34" i="22"/>
  <c r="K34" i="22" s="1"/>
  <c r="O34" i="22" s="1"/>
  <c r="T34" i="22"/>
  <c r="X34" i="22"/>
  <c r="Y34" i="22" s="1"/>
  <c r="Z34" i="22"/>
  <c r="AB34" i="22"/>
  <c r="O9" i="24"/>
  <c r="Y19" i="24"/>
  <c r="F19" i="24"/>
  <c r="AC32" i="22" l="1"/>
  <c r="AE32" i="22" s="1"/>
  <c r="AC34" i="22"/>
  <c r="AC30" i="22"/>
  <c r="AC31" i="22"/>
  <c r="AC33" i="22"/>
  <c r="AD22" i="23"/>
  <c r="AC22" i="23"/>
  <c r="AB22" i="23"/>
  <c r="Z22" i="23"/>
  <c r="Y22" i="23"/>
  <c r="X22" i="23"/>
  <c r="W22" i="23"/>
  <c r="O22" i="23"/>
  <c r="N22" i="23"/>
  <c r="M22" i="23"/>
  <c r="I22" i="23"/>
  <c r="H22" i="23"/>
  <c r="G22" i="23"/>
  <c r="E22" i="23"/>
  <c r="F43" i="23"/>
  <c r="S43" i="23" s="1"/>
  <c r="AA43" i="23"/>
  <c r="AE43" i="23"/>
  <c r="F44" i="23"/>
  <c r="S44" i="23" s="1"/>
  <c r="AA44" i="23"/>
  <c r="AE44" i="23"/>
  <c r="F45" i="23"/>
  <c r="S45" i="23" s="1"/>
  <c r="AA45" i="23"/>
  <c r="AE45" i="23"/>
  <c r="F46" i="23"/>
  <c r="S46" i="23" s="1"/>
  <c r="AA46" i="23"/>
  <c r="AE46" i="23"/>
  <c r="F47" i="23"/>
  <c r="S47" i="23" s="1"/>
  <c r="AA47" i="23"/>
  <c r="AE47" i="23"/>
  <c r="F48" i="23"/>
  <c r="S48" i="23" s="1"/>
  <c r="AA48" i="23"/>
  <c r="AE48" i="23"/>
  <c r="F49" i="23"/>
  <c r="S49" i="23" s="1"/>
  <c r="AA49" i="23"/>
  <c r="AE49" i="23"/>
  <c r="F50" i="23"/>
  <c r="S50" i="23" s="1"/>
  <c r="AA50" i="23"/>
  <c r="AE50" i="23"/>
  <c r="F51" i="23"/>
  <c r="S51" i="23" s="1"/>
  <c r="AA51" i="23"/>
  <c r="AE51" i="23"/>
  <c r="F52" i="23"/>
  <c r="S52" i="23" s="1"/>
  <c r="AA52" i="23"/>
  <c r="AE52" i="23"/>
  <c r="Y19" i="9"/>
  <c r="X19" i="9"/>
  <c r="V19" i="9"/>
  <c r="U19" i="9"/>
  <c r="T19" i="9"/>
  <c r="M19" i="9"/>
  <c r="L19" i="9"/>
  <c r="H19" i="9"/>
  <c r="G19" i="9"/>
  <c r="E19" i="9"/>
  <c r="F40" i="9"/>
  <c r="Q40" i="9" s="1"/>
  <c r="W40" i="9"/>
  <c r="Z40" i="9"/>
  <c r="F41" i="9"/>
  <c r="Q41" i="9" s="1"/>
  <c r="W41" i="9"/>
  <c r="Z41" i="9"/>
  <c r="F42" i="9"/>
  <c r="Q42" i="9" s="1"/>
  <c r="W42" i="9"/>
  <c r="Z42" i="9"/>
  <c r="AA42" i="9" s="1"/>
  <c r="F43" i="9"/>
  <c r="Q43" i="9" s="1"/>
  <c r="W43" i="9"/>
  <c r="Z43" i="9"/>
  <c r="F44" i="9"/>
  <c r="Q44" i="9" s="1"/>
  <c r="W44" i="9"/>
  <c r="Z44" i="9"/>
  <c r="F45" i="9"/>
  <c r="Q45" i="9" s="1"/>
  <c r="W45" i="9"/>
  <c r="Z45" i="9"/>
  <c r="F46" i="9"/>
  <c r="Q46" i="9"/>
  <c r="W46" i="9"/>
  <c r="Z46" i="9"/>
  <c r="F47" i="9"/>
  <c r="Q47" i="9" s="1"/>
  <c r="W47" i="9"/>
  <c r="Z47" i="9"/>
  <c r="F48" i="9"/>
  <c r="Q48" i="9"/>
  <c r="W48" i="9"/>
  <c r="Z48" i="9"/>
  <c r="F49" i="9"/>
  <c r="Q49" i="9" s="1"/>
  <c r="W49" i="9"/>
  <c r="Z49" i="9"/>
  <c r="J218" i="8"/>
  <c r="K218" i="8" s="1"/>
  <c r="P218" i="8"/>
  <c r="Q218" i="8"/>
  <c r="T218" i="8" s="1"/>
  <c r="U218" i="8" s="1"/>
  <c r="J219" i="8"/>
  <c r="K219" i="8" s="1"/>
  <c r="P219" i="8"/>
  <c r="T219" i="8" s="1"/>
  <c r="U219" i="8" s="1"/>
  <c r="Q219" i="8"/>
  <c r="J220" i="8"/>
  <c r="K220" i="8" s="1"/>
  <c r="P220" i="8"/>
  <c r="Q220" i="8"/>
  <c r="J221" i="8"/>
  <c r="K221" i="8" s="1"/>
  <c r="P221" i="8"/>
  <c r="Q221" i="8"/>
  <c r="J222" i="8"/>
  <c r="K222" i="8" s="1"/>
  <c r="P222" i="8"/>
  <c r="Q222" i="8"/>
  <c r="J223" i="8"/>
  <c r="K223" i="8" s="1"/>
  <c r="P223" i="8"/>
  <c r="Q223" i="8"/>
  <c r="J224" i="8"/>
  <c r="K224" i="8"/>
  <c r="P224" i="8"/>
  <c r="T224" i="8" s="1"/>
  <c r="U224" i="8" s="1"/>
  <c r="Q224" i="8"/>
  <c r="J225" i="8"/>
  <c r="K225" i="8" s="1"/>
  <c r="P225" i="8"/>
  <c r="Q225" i="8"/>
  <c r="J226" i="8"/>
  <c r="K226" i="8" s="1"/>
  <c r="P226" i="8"/>
  <c r="Q226" i="8"/>
  <c r="T226" i="8" s="1"/>
  <c r="U226" i="8" s="1"/>
  <c r="J227" i="8"/>
  <c r="K227" i="8" s="1"/>
  <c r="P227" i="8"/>
  <c r="Q227" i="8"/>
  <c r="J228" i="8"/>
  <c r="K228" i="8" s="1"/>
  <c r="P228" i="8"/>
  <c r="Q228" i="8"/>
  <c r="J229" i="8"/>
  <c r="K229" i="8" s="1"/>
  <c r="P229" i="8"/>
  <c r="Q229" i="8"/>
  <c r="J230" i="8"/>
  <c r="K230" i="8" s="1"/>
  <c r="P230" i="8"/>
  <c r="T230" i="8" s="1"/>
  <c r="U230" i="8" s="1"/>
  <c r="Q230" i="8"/>
  <c r="J231" i="8"/>
  <c r="K231" i="8" s="1"/>
  <c r="P231" i="8"/>
  <c r="T231" i="8" s="1"/>
  <c r="U231" i="8" s="1"/>
  <c r="Q231" i="8"/>
  <c r="J232" i="8"/>
  <c r="K232" i="8" s="1"/>
  <c r="P232" i="8"/>
  <c r="Q232" i="8"/>
  <c r="J233" i="8"/>
  <c r="K233" i="8" s="1"/>
  <c r="P233" i="8"/>
  <c r="Q233" i="8"/>
  <c r="J234" i="8"/>
  <c r="K234" i="8" s="1"/>
  <c r="P234" i="8"/>
  <c r="Q234" i="8"/>
  <c r="J235" i="8"/>
  <c r="K235" i="8" s="1"/>
  <c r="P235" i="8"/>
  <c r="Q235" i="8"/>
  <c r="T235" i="8" s="1"/>
  <c r="U235" i="8" s="1"/>
  <c r="J236" i="8"/>
  <c r="K236" i="8"/>
  <c r="P236" i="8"/>
  <c r="Q236" i="8"/>
  <c r="J237" i="8"/>
  <c r="K237" i="8" s="1"/>
  <c r="P237" i="8"/>
  <c r="Q237" i="8"/>
  <c r="J238" i="8"/>
  <c r="K238" i="8" s="1"/>
  <c r="P238" i="8"/>
  <c r="Q238" i="8"/>
  <c r="T238" i="8" s="1"/>
  <c r="U238" i="8" s="1"/>
  <c r="J239" i="8"/>
  <c r="K239" i="8" s="1"/>
  <c r="P239" i="8"/>
  <c r="Q239" i="8"/>
  <c r="J240" i="8"/>
  <c r="K240" i="8" s="1"/>
  <c r="P240" i="8"/>
  <c r="Q240" i="8"/>
  <c r="J241" i="8"/>
  <c r="K241" i="8" s="1"/>
  <c r="P241" i="8"/>
  <c r="Q241" i="8"/>
  <c r="J242" i="8"/>
  <c r="K242" i="8" s="1"/>
  <c r="P242" i="8"/>
  <c r="T242" i="8" s="1"/>
  <c r="U242" i="8" s="1"/>
  <c r="Q242" i="8"/>
  <c r="J243" i="8"/>
  <c r="K243" i="8" s="1"/>
  <c r="P243" i="8"/>
  <c r="Q243" i="8"/>
  <c r="J244" i="8"/>
  <c r="K244" i="8" s="1"/>
  <c r="P244" i="8"/>
  <c r="Q244" i="8"/>
  <c r="J245" i="8"/>
  <c r="K245" i="8" s="1"/>
  <c r="P245" i="8"/>
  <c r="T245" i="8" s="1"/>
  <c r="U245" i="8" s="1"/>
  <c r="Q245" i="8"/>
  <c r="J246" i="8"/>
  <c r="K246" i="8" s="1"/>
  <c r="P246" i="8"/>
  <c r="T246" i="8" s="1"/>
  <c r="U246" i="8" s="1"/>
  <c r="Q246" i="8"/>
  <c r="J247" i="8"/>
  <c r="K247" i="8"/>
  <c r="P247" i="8"/>
  <c r="Q247" i="8"/>
  <c r="J248" i="8"/>
  <c r="K248" i="8" s="1"/>
  <c r="P248" i="8"/>
  <c r="Q248" i="8"/>
  <c r="J249" i="8"/>
  <c r="K249" i="8"/>
  <c r="P249" i="8"/>
  <c r="T249" i="8" s="1"/>
  <c r="U249" i="8" s="1"/>
  <c r="Q249" i="8"/>
  <c r="J250" i="8"/>
  <c r="K250" i="8" s="1"/>
  <c r="P250" i="8"/>
  <c r="Q250" i="8"/>
  <c r="J251" i="8"/>
  <c r="K251" i="8" s="1"/>
  <c r="P251" i="8"/>
  <c r="T251" i="8" s="1"/>
  <c r="U251" i="8" s="1"/>
  <c r="Q251" i="8"/>
  <c r="J252" i="8"/>
  <c r="K252" i="8" s="1"/>
  <c r="P252" i="8"/>
  <c r="Q252" i="8"/>
  <c r="J253" i="8"/>
  <c r="K253" i="8" s="1"/>
  <c r="P253" i="8"/>
  <c r="T253" i="8" s="1"/>
  <c r="U253" i="8" s="1"/>
  <c r="Q253" i="8"/>
  <c r="J254" i="8"/>
  <c r="K254" i="8" s="1"/>
  <c r="P254" i="8"/>
  <c r="Q254" i="8"/>
  <c r="J255" i="8"/>
  <c r="K255" i="8" s="1"/>
  <c r="P255" i="8"/>
  <c r="Q255" i="8"/>
  <c r="J256" i="8"/>
  <c r="K256" i="8" s="1"/>
  <c r="P256" i="8"/>
  <c r="Q256" i="8"/>
  <c r="J257" i="8"/>
  <c r="K257" i="8"/>
  <c r="P257" i="8"/>
  <c r="Q257" i="8"/>
  <c r="J258" i="8"/>
  <c r="K258" i="8" s="1"/>
  <c r="P258" i="8"/>
  <c r="Q258" i="8"/>
  <c r="J259" i="8"/>
  <c r="K259" i="8" s="1"/>
  <c r="P259" i="8"/>
  <c r="Q259" i="8"/>
  <c r="J260" i="8"/>
  <c r="K260" i="8" s="1"/>
  <c r="P260" i="8"/>
  <c r="Q260" i="8"/>
  <c r="J261" i="8"/>
  <c r="K261" i="8" s="1"/>
  <c r="P261" i="8"/>
  <c r="T261" i="8" s="1"/>
  <c r="U261" i="8" s="1"/>
  <c r="Q261" i="8"/>
  <c r="J262" i="8"/>
  <c r="K262" i="8" s="1"/>
  <c r="P262" i="8"/>
  <c r="Q262" i="8"/>
  <c r="J263" i="8"/>
  <c r="K263" i="8" s="1"/>
  <c r="P263" i="8"/>
  <c r="T263" i="8" s="1"/>
  <c r="U263" i="8" s="1"/>
  <c r="Q263" i="8"/>
  <c r="J264" i="8"/>
  <c r="K264" i="8" s="1"/>
  <c r="P264" i="8"/>
  <c r="Q264" i="8"/>
  <c r="J265" i="8"/>
  <c r="K265" i="8" s="1"/>
  <c r="P265" i="8"/>
  <c r="T265" i="8" s="1"/>
  <c r="U265" i="8" s="1"/>
  <c r="Q265" i="8"/>
  <c r="J266" i="8"/>
  <c r="K266" i="8" s="1"/>
  <c r="P266" i="8"/>
  <c r="Q266" i="8"/>
  <c r="T266" i="8" s="1"/>
  <c r="U266" i="8" s="1"/>
  <c r="J267" i="8"/>
  <c r="K267" i="8" s="1"/>
  <c r="P267" i="8"/>
  <c r="Q267" i="8"/>
  <c r="J268" i="8"/>
  <c r="K268" i="8" s="1"/>
  <c r="P268" i="8"/>
  <c r="Q268" i="8"/>
  <c r="J269" i="8"/>
  <c r="K269" i="8"/>
  <c r="P269" i="8"/>
  <c r="Q269" i="8"/>
  <c r="J270" i="8"/>
  <c r="K270" i="8" s="1"/>
  <c r="P270" i="8"/>
  <c r="Q270" i="8"/>
  <c r="J271" i="8"/>
  <c r="K271" i="8" s="1"/>
  <c r="P271" i="8"/>
  <c r="Q271" i="8"/>
  <c r="J272" i="8"/>
  <c r="K272" i="8" s="1"/>
  <c r="P272" i="8"/>
  <c r="Q272" i="8"/>
  <c r="J273" i="8"/>
  <c r="K273" i="8"/>
  <c r="P273" i="8"/>
  <c r="Q273" i="8"/>
  <c r="J274" i="8"/>
  <c r="K274" i="8" s="1"/>
  <c r="P274" i="8"/>
  <c r="T274" i="8" s="1"/>
  <c r="U274" i="8" s="1"/>
  <c r="Q274" i="8"/>
  <c r="J275" i="8"/>
  <c r="K275" i="8" s="1"/>
  <c r="P275" i="8"/>
  <c r="Q275" i="8"/>
  <c r="J276" i="8"/>
  <c r="K276" i="8" s="1"/>
  <c r="P276" i="8"/>
  <c r="Q276" i="8"/>
  <c r="J277" i="8"/>
  <c r="K277" i="8" s="1"/>
  <c r="P277" i="8"/>
  <c r="Q277" i="8"/>
  <c r="J278" i="8"/>
  <c r="K278" i="8" s="1"/>
  <c r="P278" i="8"/>
  <c r="Q278" i="8"/>
  <c r="J279" i="8"/>
  <c r="K279" i="8" s="1"/>
  <c r="P279" i="8"/>
  <c r="Q279" i="8"/>
  <c r="J280" i="8"/>
  <c r="K280" i="8" s="1"/>
  <c r="P280" i="8"/>
  <c r="Q280" i="8"/>
  <c r="J281" i="8"/>
  <c r="K281" i="8" s="1"/>
  <c r="P281" i="8"/>
  <c r="Q281" i="8"/>
  <c r="J282" i="8"/>
  <c r="K282" i="8" s="1"/>
  <c r="P282" i="8"/>
  <c r="Q282" i="8"/>
  <c r="J283" i="8"/>
  <c r="K283" i="8"/>
  <c r="P283" i="8"/>
  <c r="Q283" i="8"/>
  <c r="J284" i="8"/>
  <c r="K284" i="8" s="1"/>
  <c r="P284" i="8"/>
  <c r="Q284" i="8"/>
  <c r="J285" i="8"/>
  <c r="K285" i="8" s="1"/>
  <c r="P285" i="8"/>
  <c r="Q285" i="8"/>
  <c r="J286" i="8"/>
  <c r="K286" i="8" s="1"/>
  <c r="P286" i="8"/>
  <c r="Q286" i="8"/>
  <c r="J287" i="8"/>
  <c r="K287" i="8" s="1"/>
  <c r="P287" i="8"/>
  <c r="T287" i="8" s="1"/>
  <c r="U287" i="8" s="1"/>
  <c r="Q287" i="8"/>
  <c r="J288" i="8"/>
  <c r="K288" i="8" s="1"/>
  <c r="P288" i="8"/>
  <c r="T288" i="8" s="1"/>
  <c r="U288" i="8" s="1"/>
  <c r="Q288" i="8"/>
  <c r="J289" i="8"/>
  <c r="K289" i="8" s="1"/>
  <c r="P289" i="8"/>
  <c r="Q289" i="8"/>
  <c r="J290" i="8"/>
  <c r="K290" i="8" s="1"/>
  <c r="P290" i="8"/>
  <c r="Q290" i="8"/>
  <c r="J291" i="8"/>
  <c r="K291" i="8" s="1"/>
  <c r="P291" i="8"/>
  <c r="Q291" i="8"/>
  <c r="J292" i="8"/>
  <c r="K292" i="8" s="1"/>
  <c r="P292" i="8"/>
  <c r="Q292" i="8"/>
  <c r="J293" i="8"/>
  <c r="K293" i="8"/>
  <c r="P293" i="8"/>
  <c r="Q293" i="8"/>
  <c r="J294" i="8"/>
  <c r="K294" i="8" s="1"/>
  <c r="P294" i="8"/>
  <c r="T294" i="8" s="1"/>
  <c r="U294" i="8" s="1"/>
  <c r="Q294" i="8"/>
  <c r="J295" i="8"/>
  <c r="K295" i="8" s="1"/>
  <c r="P295" i="8"/>
  <c r="Q295" i="8"/>
  <c r="J296" i="8"/>
  <c r="K296" i="8" s="1"/>
  <c r="P296" i="8"/>
  <c r="T296" i="8" s="1"/>
  <c r="U296" i="8" s="1"/>
  <c r="Q296" i="8"/>
  <c r="J297" i="8"/>
  <c r="K297" i="8" s="1"/>
  <c r="P297" i="8"/>
  <c r="Q297" i="8"/>
  <c r="J298" i="8"/>
  <c r="K298" i="8" s="1"/>
  <c r="P298" i="8"/>
  <c r="Q298" i="8"/>
  <c r="J299" i="8"/>
  <c r="K299" i="8" s="1"/>
  <c r="P299" i="8"/>
  <c r="Q299" i="8"/>
  <c r="J300" i="8"/>
  <c r="K300" i="8" s="1"/>
  <c r="P300" i="8"/>
  <c r="Q300" i="8"/>
  <c r="J301" i="8"/>
  <c r="K301" i="8" s="1"/>
  <c r="P301" i="8"/>
  <c r="T301" i="8" s="1"/>
  <c r="U301" i="8" s="1"/>
  <c r="Q301" i="8"/>
  <c r="J302" i="8"/>
  <c r="K302" i="8" s="1"/>
  <c r="P302" i="8"/>
  <c r="Q302" i="8"/>
  <c r="J303" i="8"/>
  <c r="K303" i="8" s="1"/>
  <c r="P303" i="8"/>
  <c r="Q303" i="8"/>
  <c r="J304" i="8"/>
  <c r="K304" i="8" s="1"/>
  <c r="P304" i="8"/>
  <c r="Q304" i="8"/>
  <c r="J305" i="8"/>
  <c r="K305" i="8" s="1"/>
  <c r="P305" i="8"/>
  <c r="Q305" i="8"/>
  <c r="J306" i="8"/>
  <c r="K306" i="8" s="1"/>
  <c r="P306" i="8"/>
  <c r="Q306" i="8"/>
  <c r="J307" i="8"/>
  <c r="K307" i="8" s="1"/>
  <c r="P307" i="8"/>
  <c r="Q307" i="8"/>
  <c r="J308" i="8"/>
  <c r="K308" i="8" s="1"/>
  <c r="P308" i="8"/>
  <c r="T308" i="8" s="1"/>
  <c r="U308" i="8" s="1"/>
  <c r="Q308" i="8"/>
  <c r="J309" i="8"/>
  <c r="K309" i="8" s="1"/>
  <c r="P309" i="8"/>
  <c r="T309" i="8" s="1"/>
  <c r="U309" i="8" s="1"/>
  <c r="Q309" i="8"/>
  <c r="J310" i="8"/>
  <c r="K310" i="8" s="1"/>
  <c r="P310" i="8"/>
  <c r="Q310" i="8"/>
  <c r="J311" i="8"/>
  <c r="K311" i="8" s="1"/>
  <c r="P311" i="8"/>
  <c r="Q311" i="8"/>
  <c r="J312" i="8"/>
  <c r="K312" i="8" s="1"/>
  <c r="P312" i="8"/>
  <c r="Q312" i="8"/>
  <c r="J313" i="8"/>
  <c r="K313" i="8" s="1"/>
  <c r="P313" i="8"/>
  <c r="Q313" i="8"/>
  <c r="T313" i="8" s="1"/>
  <c r="U313" i="8" s="1"/>
  <c r="J314" i="8"/>
  <c r="K314" i="8" s="1"/>
  <c r="P314" i="8"/>
  <c r="Q314" i="8"/>
  <c r="J315" i="8"/>
  <c r="K315" i="8"/>
  <c r="P315" i="8"/>
  <c r="Q315" i="8"/>
  <c r="J316" i="8"/>
  <c r="K316" i="8" s="1"/>
  <c r="P316" i="8"/>
  <c r="Q316" i="8"/>
  <c r="J317" i="8"/>
  <c r="K317" i="8" s="1"/>
  <c r="P317" i="8"/>
  <c r="Q317" i="8"/>
  <c r="J18" i="8"/>
  <c r="J68" i="8"/>
  <c r="K68" i="8" s="1"/>
  <c r="P68" i="8"/>
  <c r="Q68" i="8"/>
  <c r="J69" i="8"/>
  <c r="K69" i="8" s="1"/>
  <c r="P69" i="8"/>
  <c r="Q69" i="8"/>
  <c r="J70" i="8"/>
  <c r="K70" i="8" s="1"/>
  <c r="P70" i="8"/>
  <c r="Q70" i="8"/>
  <c r="J71" i="8"/>
  <c r="K71" i="8" s="1"/>
  <c r="P71" i="8"/>
  <c r="Q71" i="8"/>
  <c r="J72" i="8"/>
  <c r="K72" i="8" s="1"/>
  <c r="P72" i="8"/>
  <c r="T72" i="8" s="1"/>
  <c r="U72" i="8" s="1"/>
  <c r="Q72" i="8"/>
  <c r="J73" i="8"/>
  <c r="K73" i="8" s="1"/>
  <c r="P73" i="8"/>
  <c r="Q73" i="8"/>
  <c r="T73" i="8" s="1"/>
  <c r="U73" i="8" s="1"/>
  <c r="J74" i="8"/>
  <c r="K74" i="8" s="1"/>
  <c r="P74" i="8"/>
  <c r="Q74" i="8"/>
  <c r="J75" i="8"/>
  <c r="K75" i="8" s="1"/>
  <c r="P75" i="8"/>
  <c r="Q75" i="8"/>
  <c r="J76" i="8"/>
  <c r="K76" i="8" s="1"/>
  <c r="P76" i="8"/>
  <c r="T76" i="8" s="1"/>
  <c r="U76" i="8" s="1"/>
  <c r="Q76" i="8"/>
  <c r="J77" i="8"/>
  <c r="K77" i="8" s="1"/>
  <c r="P77" i="8"/>
  <c r="Q77" i="8"/>
  <c r="J78" i="8"/>
  <c r="K78" i="8" s="1"/>
  <c r="P78" i="8"/>
  <c r="Q78" i="8"/>
  <c r="J79" i="8"/>
  <c r="K79" i="8" s="1"/>
  <c r="P79" i="8"/>
  <c r="Q79" i="8"/>
  <c r="J80" i="8"/>
  <c r="K80" i="8" s="1"/>
  <c r="P80" i="8"/>
  <c r="Q80" i="8"/>
  <c r="J81" i="8"/>
  <c r="K81" i="8" s="1"/>
  <c r="P81" i="8"/>
  <c r="T81" i="8" s="1"/>
  <c r="U81" i="8" s="1"/>
  <c r="Q81" i="8"/>
  <c r="J82" i="8"/>
  <c r="K82" i="8" s="1"/>
  <c r="P82" i="8"/>
  <c r="Q82" i="8"/>
  <c r="J83" i="8"/>
  <c r="K83" i="8" s="1"/>
  <c r="P83" i="8"/>
  <c r="Q83" i="8"/>
  <c r="J84" i="8"/>
  <c r="K84" i="8" s="1"/>
  <c r="P84" i="8"/>
  <c r="Q84" i="8"/>
  <c r="J85" i="8"/>
  <c r="K85" i="8" s="1"/>
  <c r="P85" i="8"/>
  <c r="Q85" i="8"/>
  <c r="J86" i="8"/>
  <c r="K86" i="8" s="1"/>
  <c r="P86" i="8"/>
  <c r="Q86" i="8"/>
  <c r="J87" i="8"/>
  <c r="K87" i="8" s="1"/>
  <c r="P87" i="8"/>
  <c r="Q87" i="8"/>
  <c r="J88" i="8"/>
  <c r="K88" i="8" s="1"/>
  <c r="P88" i="8"/>
  <c r="Q88" i="8"/>
  <c r="J89" i="8"/>
  <c r="K89" i="8" s="1"/>
  <c r="P89" i="8"/>
  <c r="Q89" i="8"/>
  <c r="J90" i="8"/>
  <c r="K90" i="8" s="1"/>
  <c r="P90" i="8"/>
  <c r="Q90" i="8"/>
  <c r="J91" i="8"/>
  <c r="K91" i="8" s="1"/>
  <c r="P91" i="8"/>
  <c r="Q91" i="8"/>
  <c r="J92" i="8"/>
  <c r="K92" i="8" s="1"/>
  <c r="P92" i="8"/>
  <c r="Q92" i="8"/>
  <c r="J93" i="8"/>
  <c r="K93" i="8" s="1"/>
  <c r="P93" i="8"/>
  <c r="Q93" i="8"/>
  <c r="J94" i="8"/>
  <c r="K94" i="8" s="1"/>
  <c r="P94" i="8"/>
  <c r="Q94" i="8"/>
  <c r="J95" i="8"/>
  <c r="K95" i="8" s="1"/>
  <c r="P95" i="8"/>
  <c r="Q95" i="8"/>
  <c r="J96" i="8"/>
  <c r="K96" i="8" s="1"/>
  <c r="P96" i="8"/>
  <c r="T96" i="8" s="1"/>
  <c r="U96" i="8" s="1"/>
  <c r="Q96" i="8"/>
  <c r="J97" i="8"/>
  <c r="K97" i="8" s="1"/>
  <c r="P97" i="8"/>
  <c r="Q97" i="8"/>
  <c r="J98" i="8"/>
  <c r="K98" i="8" s="1"/>
  <c r="P98" i="8"/>
  <c r="Q98" i="8"/>
  <c r="J99" i="8"/>
  <c r="K99" i="8" s="1"/>
  <c r="P99" i="8"/>
  <c r="Q99" i="8"/>
  <c r="J100" i="8"/>
  <c r="K100" i="8" s="1"/>
  <c r="P100" i="8"/>
  <c r="T100" i="8" s="1"/>
  <c r="U100" i="8" s="1"/>
  <c r="Q100" i="8"/>
  <c r="J101" i="8"/>
  <c r="K101" i="8" s="1"/>
  <c r="P101" i="8"/>
  <c r="Q101" i="8"/>
  <c r="J102" i="8"/>
  <c r="K102" i="8" s="1"/>
  <c r="P102" i="8"/>
  <c r="Q102" i="8"/>
  <c r="J103" i="8"/>
  <c r="K103" i="8" s="1"/>
  <c r="P103" i="8"/>
  <c r="Q103" i="8"/>
  <c r="J104" i="8"/>
  <c r="K104" i="8" s="1"/>
  <c r="P104" i="8"/>
  <c r="T104" i="8" s="1"/>
  <c r="U104" i="8" s="1"/>
  <c r="Q104" i="8"/>
  <c r="J105" i="8"/>
  <c r="K105" i="8" s="1"/>
  <c r="P105" i="8"/>
  <c r="T105" i="8" s="1"/>
  <c r="U105" i="8" s="1"/>
  <c r="Q105" i="8"/>
  <c r="J106" i="8"/>
  <c r="K106" i="8"/>
  <c r="P106" i="8"/>
  <c r="Q106" i="8"/>
  <c r="J107" i="8"/>
  <c r="K107" i="8" s="1"/>
  <c r="P107" i="8"/>
  <c r="Q107" i="8"/>
  <c r="T107" i="8" s="1"/>
  <c r="U107" i="8" s="1"/>
  <c r="J108" i="8"/>
  <c r="K108" i="8" s="1"/>
  <c r="P108" i="8"/>
  <c r="Q108" i="8"/>
  <c r="J109" i="8"/>
  <c r="K109" i="8" s="1"/>
  <c r="P109" i="8"/>
  <c r="Q109" i="8"/>
  <c r="J110" i="8"/>
  <c r="K110" i="8" s="1"/>
  <c r="P110" i="8"/>
  <c r="T110" i="8" s="1"/>
  <c r="U110" i="8" s="1"/>
  <c r="Q110" i="8"/>
  <c r="J111" i="8"/>
  <c r="K111" i="8"/>
  <c r="P111" i="8"/>
  <c r="Q111" i="8"/>
  <c r="T111" i="8" s="1"/>
  <c r="U111" i="8" s="1"/>
  <c r="J112" i="8"/>
  <c r="K112" i="8" s="1"/>
  <c r="P112" i="8"/>
  <c r="Q112" i="8"/>
  <c r="J113" i="8"/>
  <c r="K113" i="8" s="1"/>
  <c r="P113" i="8"/>
  <c r="Q113" i="8"/>
  <c r="J114" i="8"/>
  <c r="K114" i="8" s="1"/>
  <c r="P114" i="8"/>
  <c r="Q114" i="8"/>
  <c r="J115" i="8"/>
  <c r="K115" i="8" s="1"/>
  <c r="P115" i="8"/>
  <c r="Q115" i="8"/>
  <c r="J116" i="8"/>
  <c r="K116" i="8" s="1"/>
  <c r="P116" i="8"/>
  <c r="Q116" i="8"/>
  <c r="J117" i="8"/>
  <c r="K117" i="8" s="1"/>
  <c r="P117" i="8"/>
  <c r="Q117" i="8"/>
  <c r="T117" i="8" s="1"/>
  <c r="U117" i="8" s="1"/>
  <c r="J118" i="8"/>
  <c r="K118" i="8" s="1"/>
  <c r="P118" i="8"/>
  <c r="Q118" i="8"/>
  <c r="J119" i="8"/>
  <c r="K119" i="8" s="1"/>
  <c r="P119" i="8"/>
  <c r="Q119" i="8"/>
  <c r="T119" i="8" s="1"/>
  <c r="U119" i="8" s="1"/>
  <c r="J120" i="8"/>
  <c r="K120" i="8" s="1"/>
  <c r="P120" i="8"/>
  <c r="Q120" i="8"/>
  <c r="J121" i="8"/>
  <c r="K121" i="8" s="1"/>
  <c r="P121" i="8"/>
  <c r="Q121" i="8"/>
  <c r="J122" i="8"/>
  <c r="K122" i="8" s="1"/>
  <c r="P122" i="8"/>
  <c r="Q122" i="8"/>
  <c r="J123" i="8"/>
  <c r="K123" i="8" s="1"/>
  <c r="P123" i="8"/>
  <c r="Q123" i="8"/>
  <c r="J124" i="8"/>
  <c r="K124" i="8" s="1"/>
  <c r="P124" i="8"/>
  <c r="T124" i="8" s="1"/>
  <c r="U124" i="8" s="1"/>
  <c r="Q124" i="8"/>
  <c r="J125" i="8"/>
  <c r="K125" i="8" s="1"/>
  <c r="P125" i="8"/>
  <c r="Q125" i="8"/>
  <c r="J126" i="8"/>
  <c r="K126" i="8" s="1"/>
  <c r="P126" i="8"/>
  <c r="Q126" i="8"/>
  <c r="J127" i="8"/>
  <c r="K127" i="8" s="1"/>
  <c r="P127" i="8"/>
  <c r="Q127" i="8"/>
  <c r="J128" i="8"/>
  <c r="K128" i="8" s="1"/>
  <c r="P128" i="8"/>
  <c r="Q128" i="8"/>
  <c r="J129" i="8"/>
  <c r="K129" i="8" s="1"/>
  <c r="P129" i="8"/>
  <c r="Q129" i="8"/>
  <c r="J130" i="8"/>
  <c r="K130" i="8" s="1"/>
  <c r="P130" i="8"/>
  <c r="Q130" i="8"/>
  <c r="J131" i="8"/>
  <c r="K131" i="8" s="1"/>
  <c r="P131" i="8"/>
  <c r="Q131" i="8"/>
  <c r="J132" i="8"/>
  <c r="K132" i="8" s="1"/>
  <c r="P132" i="8"/>
  <c r="Q132" i="8"/>
  <c r="J133" i="8"/>
  <c r="K133" i="8" s="1"/>
  <c r="P133" i="8"/>
  <c r="Q133" i="8"/>
  <c r="J134" i="8"/>
  <c r="K134" i="8" s="1"/>
  <c r="P134" i="8"/>
  <c r="Q134" i="8"/>
  <c r="J135" i="8"/>
  <c r="K135" i="8" s="1"/>
  <c r="P135" i="8"/>
  <c r="Q135" i="8"/>
  <c r="J136" i="8"/>
  <c r="K136" i="8" s="1"/>
  <c r="P136" i="8"/>
  <c r="Q136" i="8"/>
  <c r="T136" i="8"/>
  <c r="U136" i="8" s="1"/>
  <c r="J137" i="8"/>
  <c r="K137" i="8" s="1"/>
  <c r="P137" i="8"/>
  <c r="Q137" i="8"/>
  <c r="J138" i="8"/>
  <c r="K138" i="8" s="1"/>
  <c r="P138" i="8"/>
  <c r="Q138" i="8"/>
  <c r="J139" i="8"/>
  <c r="K139" i="8" s="1"/>
  <c r="P139" i="8"/>
  <c r="Q139" i="8"/>
  <c r="J140" i="8"/>
  <c r="K140" i="8" s="1"/>
  <c r="P140" i="8"/>
  <c r="Q140" i="8"/>
  <c r="J141" i="8"/>
  <c r="K141" i="8" s="1"/>
  <c r="P141" i="8"/>
  <c r="T141" i="8" s="1"/>
  <c r="U141" i="8" s="1"/>
  <c r="Q141" i="8"/>
  <c r="J142" i="8"/>
  <c r="K142" i="8" s="1"/>
  <c r="P142" i="8"/>
  <c r="Q142" i="8"/>
  <c r="J143" i="8"/>
  <c r="K143" i="8" s="1"/>
  <c r="P143" i="8"/>
  <c r="Q143" i="8"/>
  <c r="T143" i="8" s="1"/>
  <c r="U143" i="8" s="1"/>
  <c r="J144" i="8"/>
  <c r="K144" i="8" s="1"/>
  <c r="P144" i="8"/>
  <c r="Q144" i="8"/>
  <c r="J145" i="8"/>
  <c r="K145" i="8" s="1"/>
  <c r="P145" i="8"/>
  <c r="Q145" i="8"/>
  <c r="J146" i="8"/>
  <c r="K146" i="8" s="1"/>
  <c r="P146" i="8"/>
  <c r="Q146" i="8"/>
  <c r="J147" i="8"/>
  <c r="K147" i="8" s="1"/>
  <c r="P147" i="8"/>
  <c r="Q147" i="8"/>
  <c r="J148" i="8"/>
  <c r="K148" i="8" s="1"/>
  <c r="P148" i="8"/>
  <c r="Q148" i="8"/>
  <c r="J149" i="8"/>
  <c r="K149" i="8" s="1"/>
  <c r="P149" i="8"/>
  <c r="Q149" i="8"/>
  <c r="J150" i="8"/>
  <c r="K150" i="8" s="1"/>
  <c r="P150" i="8"/>
  <c r="Q150" i="8"/>
  <c r="J151" i="8"/>
  <c r="K151" i="8" s="1"/>
  <c r="P151" i="8"/>
  <c r="Q151" i="8"/>
  <c r="T151" i="8" s="1"/>
  <c r="U151" i="8" s="1"/>
  <c r="J152" i="8"/>
  <c r="K152" i="8" s="1"/>
  <c r="P152" i="8"/>
  <c r="Q152" i="8"/>
  <c r="J153" i="8"/>
  <c r="K153" i="8" s="1"/>
  <c r="P153" i="8"/>
  <c r="T153" i="8" s="1"/>
  <c r="U153" i="8" s="1"/>
  <c r="Q153" i="8"/>
  <c r="J154" i="8"/>
  <c r="K154" i="8" s="1"/>
  <c r="P154" i="8"/>
  <c r="Q154" i="8"/>
  <c r="J155" i="8"/>
  <c r="K155" i="8" s="1"/>
  <c r="P155" i="8"/>
  <c r="Q155" i="8"/>
  <c r="J156" i="8"/>
  <c r="K156" i="8" s="1"/>
  <c r="P156" i="8"/>
  <c r="Q156" i="8"/>
  <c r="J157" i="8"/>
  <c r="K157" i="8" s="1"/>
  <c r="P157" i="8"/>
  <c r="T157" i="8" s="1"/>
  <c r="U157" i="8" s="1"/>
  <c r="Q157" i="8"/>
  <c r="J158" i="8"/>
  <c r="K158" i="8" s="1"/>
  <c r="P158" i="8"/>
  <c r="Q158" i="8"/>
  <c r="J159" i="8"/>
  <c r="K159" i="8" s="1"/>
  <c r="P159" i="8"/>
  <c r="Q159" i="8"/>
  <c r="J160" i="8"/>
  <c r="K160" i="8" s="1"/>
  <c r="P160" i="8"/>
  <c r="Q160" i="8"/>
  <c r="J161" i="8"/>
  <c r="K161" i="8" s="1"/>
  <c r="P161" i="8"/>
  <c r="Q161" i="8"/>
  <c r="J162" i="8"/>
  <c r="K162" i="8" s="1"/>
  <c r="P162" i="8"/>
  <c r="Q162" i="8"/>
  <c r="J163" i="8"/>
  <c r="K163" i="8"/>
  <c r="P163" i="8"/>
  <c r="Q163" i="8"/>
  <c r="J164" i="8"/>
  <c r="K164" i="8" s="1"/>
  <c r="P164" i="8"/>
  <c r="Q164" i="8"/>
  <c r="J165" i="8"/>
  <c r="K165" i="8" s="1"/>
  <c r="P165" i="8"/>
  <c r="Q165" i="8"/>
  <c r="J166" i="8"/>
  <c r="K166" i="8" s="1"/>
  <c r="P166" i="8"/>
  <c r="Q166" i="8"/>
  <c r="J167" i="8"/>
  <c r="K167" i="8" s="1"/>
  <c r="P167" i="8"/>
  <c r="Q167" i="8"/>
  <c r="J168" i="8"/>
  <c r="K168" i="8"/>
  <c r="P168" i="8"/>
  <c r="Q168" i="8"/>
  <c r="J169" i="8"/>
  <c r="K169" i="8" s="1"/>
  <c r="P169" i="8"/>
  <c r="Q169" i="8"/>
  <c r="J170" i="8"/>
  <c r="K170" i="8" s="1"/>
  <c r="P170" i="8"/>
  <c r="Q170" i="8"/>
  <c r="J171" i="8"/>
  <c r="K171" i="8" s="1"/>
  <c r="P171" i="8"/>
  <c r="Q171" i="8"/>
  <c r="J172" i="8"/>
  <c r="K172" i="8" s="1"/>
  <c r="P172" i="8"/>
  <c r="Q172" i="8"/>
  <c r="J173" i="8"/>
  <c r="K173" i="8" s="1"/>
  <c r="P173" i="8"/>
  <c r="T173" i="8" s="1"/>
  <c r="U173" i="8" s="1"/>
  <c r="Q173" i="8"/>
  <c r="J174" i="8"/>
  <c r="K174" i="8" s="1"/>
  <c r="P174" i="8"/>
  <c r="Q174" i="8"/>
  <c r="J175" i="8"/>
  <c r="K175" i="8" s="1"/>
  <c r="P175" i="8"/>
  <c r="Q175" i="8"/>
  <c r="J176" i="8"/>
  <c r="K176" i="8" s="1"/>
  <c r="P176" i="8"/>
  <c r="Q176" i="8"/>
  <c r="J177" i="8"/>
  <c r="K177" i="8" s="1"/>
  <c r="P177" i="8"/>
  <c r="Q177" i="8"/>
  <c r="J178" i="8"/>
  <c r="K178" i="8" s="1"/>
  <c r="P178" i="8"/>
  <c r="Q178" i="8"/>
  <c r="J179" i="8"/>
  <c r="K179" i="8" s="1"/>
  <c r="P179" i="8"/>
  <c r="Q179" i="8"/>
  <c r="J180" i="8"/>
  <c r="K180" i="8" s="1"/>
  <c r="P180" i="8"/>
  <c r="T180" i="8" s="1"/>
  <c r="U180" i="8" s="1"/>
  <c r="Q180" i="8"/>
  <c r="J181" i="8"/>
  <c r="K181" i="8" s="1"/>
  <c r="P181" i="8"/>
  <c r="Q181" i="8"/>
  <c r="J182" i="8"/>
  <c r="K182" i="8" s="1"/>
  <c r="P182" i="8"/>
  <c r="Q182" i="8"/>
  <c r="T182" i="8"/>
  <c r="U182" i="8" s="1"/>
  <c r="J183" i="8"/>
  <c r="K183" i="8" s="1"/>
  <c r="P183" i="8"/>
  <c r="Q183" i="8"/>
  <c r="J184" i="8"/>
  <c r="K184" i="8"/>
  <c r="P184" i="8"/>
  <c r="Q184" i="8"/>
  <c r="J185" i="8"/>
  <c r="K185" i="8" s="1"/>
  <c r="P185" i="8"/>
  <c r="T185" i="8" s="1"/>
  <c r="U185" i="8" s="1"/>
  <c r="Q185" i="8"/>
  <c r="J186" i="8"/>
  <c r="K186" i="8" s="1"/>
  <c r="P186" i="8"/>
  <c r="Q186" i="8"/>
  <c r="J187" i="8"/>
  <c r="K187" i="8" s="1"/>
  <c r="P187" i="8"/>
  <c r="Q187" i="8"/>
  <c r="J188" i="8"/>
  <c r="K188" i="8" s="1"/>
  <c r="P188" i="8"/>
  <c r="Q188" i="8"/>
  <c r="J189" i="8"/>
  <c r="K189" i="8" s="1"/>
  <c r="P189" i="8"/>
  <c r="Q189" i="8"/>
  <c r="J190" i="8"/>
  <c r="K190" i="8" s="1"/>
  <c r="P190" i="8"/>
  <c r="Q190" i="8"/>
  <c r="J191" i="8"/>
  <c r="K191" i="8" s="1"/>
  <c r="P191" i="8"/>
  <c r="Q191" i="8"/>
  <c r="T191" i="8" s="1"/>
  <c r="U191" i="8" s="1"/>
  <c r="J192" i="8"/>
  <c r="K192" i="8" s="1"/>
  <c r="P192" i="8"/>
  <c r="Q192" i="8"/>
  <c r="J193" i="8"/>
  <c r="K193" i="8" s="1"/>
  <c r="P193" i="8"/>
  <c r="Q193" i="8"/>
  <c r="J194" i="8"/>
  <c r="K194" i="8" s="1"/>
  <c r="P194" i="8"/>
  <c r="Q194" i="8"/>
  <c r="T194" i="8" s="1"/>
  <c r="U194" i="8" s="1"/>
  <c r="J195" i="8"/>
  <c r="K195" i="8" s="1"/>
  <c r="P195" i="8"/>
  <c r="Q195" i="8"/>
  <c r="J196" i="8"/>
  <c r="K196" i="8"/>
  <c r="P196" i="8"/>
  <c r="T196" i="8" s="1"/>
  <c r="U196" i="8" s="1"/>
  <c r="Q196" i="8"/>
  <c r="J197" i="8"/>
  <c r="K197" i="8" s="1"/>
  <c r="P197" i="8"/>
  <c r="Q197" i="8"/>
  <c r="J198" i="8"/>
  <c r="K198" i="8" s="1"/>
  <c r="P198" i="8"/>
  <c r="Q198" i="8"/>
  <c r="J199" i="8"/>
  <c r="K199" i="8" s="1"/>
  <c r="P199" i="8"/>
  <c r="Q199" i="8"/>
  <c r="T199" i="8" s="1"/>
  <c r="U199" i="8" s="1"/>
  <c r="J200" i="8"/>
  <c r="K200" i="8" s="1"/>
  <c r="P200" i="8"/>
  <c r="Q200" i="8"/>
  <c r="J201" i="8"/>
  <c r="K201" i="8" s="1"/>
  <c r="P201" i="8"/>
  <c r="T201" i="8" s="1"/>
  <c r="U201" i="8" s="1"/>
  <c r="Q201" i="8"/>
  <c r="J202" i="8"/>
  <c r="K202" i="8"/>
  <c r="P202" i="8"/>
  <c r="Q202" i="8"/>
  <c r="J203" i="8"/>
  <c r="K203" i="8" s="1"/>
  <c r="P203" i="8"/>
  <c r="Q203" i="8"/>
  <c r="J204" i="8"/>
  <c r="K204" i="8"/>
  <c r="P204" i="8"/>
  <c r="T204" i="8" s="1"/>
  <c r="U204" i="8" s="1"/>
  <c r="Q204" i="8"/>
  <c r="J205" i="8"/>
  <c r="K205" i="8" s="1"/>
  <c r="P205" i="8"/>
  <c r="Q205" i="8"/>
  <c r="J206" i="8"/>
  <c r="K206" i="8" s="1"/>
  <c r="P206" i="8"/>
  <c r="Q206" i="8"/>
  <c r="J207" i="8"/>
  <c r="K207" i="8" s="1"/>
  <c r="P207" i="8"/>
  <c r="Q207" i="8"/>
  <c r="J208" i="8"/>
  <c r="K208" i="8" s="1"/>
  <c r="P208" i="8"/>
  <c r="Q208" i="8"/>
  <c r="J209" i="8"/>
  <c r="K209" i="8" s="1"/>
  <c r="P209" i="8"/>
  <c r="Q209" i="8"/>
  <c r="J210" i="8"/>
  <c r="K210" i="8" s="1"/>
  <c r="P210" i="8"/>
  <c r="Q210" i="8"/>
  <c r="J211" i="8"/>
  <c r="K211" i="8" s="1"/>
  <c r="P211" i="8"/>
  <c r="Q211" i="8"/>
  <c r="J212" i="8"/>
  <c r="K212" i="8" s="1"/>
  <c r="P212" i="8"/>
  <c r="Q212" i="8"/>
  <c r="J213" i="8"/>
  <c r="K213" i="8" s="1"/>
  <c r="P213" i="8"/>
  <c r="Q213" i="8"/>
  <c r="J214" i="8"/>
  <c r="K214" i="8"/>
  <c r="P214" i="8"/>
  <c r="Q214" i="8"/>
  <c r="J215" i="8"/>
  <c r="K215" i="8" s="1"/>
  <c r="P215" i="8"/>
  <c r="Q215" i="8"/>
  <c r="J216" i="8"/>
  <c r="K216" i="8" s="1"/>
  <c r="P216" i="8"/>
  <c r="Q216" i="8"/>
  <c r="J217" i="8"/>
  <c r="K217" i="8" s="1"/>
  <c r="P217" i="8"/>
  <c r="Q217" i="8"/>
  <c r="T208" i="8" l="1"/>
  <c r="U208" i="8" s="1"/>
  <c r="T189" i="8"/>
  <c r="U189" i="8" s="1"/>
  <c r="T174" i="8"/>
  <c r="U174" i="8" s="1"/>
  <c r="T144" i="8"/>
  <c r="U144" i="8" s="1"/>
  <c r="T80" i="8"/>
  <c r="U80" i="8" s="1"/>
  <c r="T283" i="8"/>
  <c r="U283" i="8" s="1"/>
  <c r="T273" i="8"/>
  <c r="U273" i="8" s="1"/>
  <c r="T271" i="8"/>
  <c r="U271" i="8" s="1"/>
  <c r="T255" i="8"/>
  <c r="U255" i="8" s="1"/>
  <c r="T241" i="8"/>
  <c r="U241" i="8" s="1"/>
  <c r="T221" i="8"/>
  <c r="U221" i="8" s="1"/>
  <c r="T162" i="8"/>
  <c r="U162" i="8" s="1"/>
  <c r="T306" i="8"/>
  <c r="U306" i="8" s="1"/>
  <c r="T291" i="8"/>
  <c r="U291" i="8" s="1"/>
  <c r="T166" i="8"/>
  <c r="U166" i="8" s="1"/>
  <c r="T112" i="8"/>
  <c r="U112" i="8" s="1"/>
  <c r="T290" i="8"/>
  <c r="U290" i="8" s="1"/>
  <c r="T243" i="8"/>
  <c r="U243" i="8" s="1"/>
  <c r="T223" i="8"/>
  <c r="U223" i="8" s="1"/>
  <c r="T167" i="8"/>
  <c r="U167" i="8" s="1"/>
  <c r="T213" i="8"/>
  <c r="U213" i="8" s="1"/>
  <c r="T205" i="8"/>
  <c r="U205" i="8" s="1"/>
  <c r="T193" i="8"/>
  <c r="U193" i="8" s="1"/>
  <c r="T135" i="8"/>
  <c r="U135" i="8" s="1"/>
  <c r="T77" i="8"/>
  <c r="U77" i="8" s="1"/>
  <c r="T310" i="8"/>
  <c r="U310" i="8" s="1"/>
  <c r="T299" i="8"/>
  <c r="U299" i="8" s="1"/>
  <c r="T280" i="8"/>
  <c r="U280" i="8" s="1"/>
  <c r="T270" i="8"/>
  <c r="U270" i="8" s="1"/>
  <c r="T250" i="8"/>
  <c r="U250" i="8" s="1"/>
  <c r="T233" i="8"/>
  <c r="U233" i="8" s="1"/>
  <c r="T216" i="8"/>
  <c r="U216" i="8" s="1"/>
  <c r="T209" i="8"/>
  <c r="U209" i="8" s="1"/>
  <c r="T89" i="8"/>
  <c r="U89" i="8" s="1"/>
  <c r="T284" i="8"/>
  <c r="U284" i="8" s="1"/>
  <c r="T272" i="8"/>
  <c r="U272" i="8" s="1"/>
  <c r="T269" i="8"/>
  <c r="U269" i="8" s="1"/>
  <c r="T267" i="8"/>
  <c r="U267" i="8" s="1"/>
  <c r="T256" i="8"/>
  <c r="U256" i="8" s="1"/>
  <c r="T247" i="8"/>
  <c r="U247" i="8" s="1"/>
  <c r="T227" i="8"/>
  <c r="U227" i="8" s="1"/>
  <c r="T222" i="8"/>
  <c r="U222" i="8" s="1"/>
  <c r="AA49" i="9"/>
  <c r="AE34" i="22"/>
  <c r="AF51" i="23"/>
  <c r="AF47" i="23"/>
  <c r="T212" i="8"/>
  <c r="U212" i="8" s="1"/>
  <c r="T203" i="8"/>
  <c r="U203" i="8" s="1"/>
  <c r="T168" i="8"/>
  <c r="U168" i="8" s="1"/>
  <c r="T156" i="8"/>
  <c r="U156" i="8" s="1"/>
  <c r="T149" i="8"/>
  <c r="U149" i="8" s="1"/>
  <c r="T129" i="8"/>
  <c r="U129" i="8" s="1"/>
  <c r="T86" i="8"/>
  <c r="U86" i="8" s="1"/>
  <c r="T70" i="8"/>
  <c r="U70" i="8" s="1"/>
  <c r="T289" i="8"/>
  <c r="U289" i="8" s="1"/>
  <c r="T282" i="8"/>
  <c r="U282" i="8" s="1"/>
  <c r="T277" i="8"/>
  <c r="U277" i="8" s="1"/>
  <c r="T275" i="8"/>
  <c r="U275" i="8" s="1"/>
  <c r="T258" i="8"/>
  <c r="U258" i="8" s="1"/>
  <c r="T236" i="8"/>
  <c r="U236" i="8" s="1"/>
  <c r="T232" i="8"/>
  <c r="U232" i="8" s="1"/>
  <c r="T229" i="8"/>
  <c r="U229" i="8" s="1"/>
  <c r="T200" i="8"/>
  <c r="U200" i="8" s="1"/>
  <c r="T186" i="8"/>
  <c r="U186" i="8" s="1"/>
  <c r="T177" i="8"/>
  <c r="U177" i="8" s="1"/>
  <c r="T170" i="8"/>
  <c r="U170" i="8" s="1"/>
  <c r="T165" i="8"/>
  <c r="U165" i="8" s="1"/>
  <c r="T160" i="8"/>
  <c r="U160" i="8" s="1"/>
  <c r="T138" i="8"/>
  <c r="U138" i="8" s="1"/>
  <c r="T97" i="8"/>
  <c r="U97" i="8" s="1"/>
  <c r="T88" i="8"/>
  <c r="U88" i="8" s="1"/>
  <c r="T317" i="8"/>
  <c r="U317" i="8" s="1"/>
  <c r="T281" i="8"/>
  <c r="U281" i="8" s="1"/>
  <c r="T279" i="8"/>
  <c r="U279" i="8" s="1"/>
  <c r="T268" i="8"/>
  <c r="U268" i="8" s="1"/>
  <c r="T260" i="8"/>
  <c r="U260" i="8" s="1"/>
  <c r="T257" i="8"/>
  <c r="U257" i="8" s="1"/>
  <c r="T202" i="8"/>
  <c r="U202" i="8" s="1"/>
  <c r="T179" i="8"/>
  <c r="U179" i="8" s="1"/>
  <c r="T155" i="8"/>
  <c r="U155" i="8" s="1"/>
  <c r="T148" i="8"/>
  <c r="U148" i="8" s="1"/>
  <c r="T123" i="8"/>
  <c r="U123" i="8" s="1"/>
  <c r="T115" i="8"/>
  <c r="U115" i="8" s="1"/>
  <c r="T92" i="8"/>
  <c r="U92" i="8" s="1"/>
  <c r="T71" i="8"/>
  <c r="U71" i="8" s="1"/>
  <c r="T305" i="8"/>
  <c r="U305" i="8" s="1"/>
  <c r="T239" i="8"/>
  <c r="U239" i="8" s="1"/>
  <c r="T195" i="8"/>
  <c r="U195" i="8" s="1"/>
  <c r="T169" i="8"/>
  <c r="U169" i="8" s="1"/>
  <c r="T142" i="8"/>
  <c r="U142" i="8" s="1"/>
  <c r="T120" i="8"/>
  <c r="U120" i="8" s="1"/>
  <c r="T108" i="8"/>
  <c r="U108" i="8" s="1"/>
  <c r="T298" i="8"/>
  <c r="U298" i="8" s="1"/>
  <c r="T276" i="8"/>
  <c r="U276" i="8" s="1"/>
  <c r="T259" i="8"/>
  <c r="U259" i="8" s="1"/>
  <c r="T237" i="8"/>
  <c r="U237" i="8" s="1"/>
  <c r="T228" i="8"/>
  <c r="U228" i="8" s="1"/>
  <c r="T215" i="8"/>
  <c r="U215" i="8" s="1"/>
  <c r="T197" i="8"/>
  <c r="U197" i="8" s="1"/>
  <c r="T183" i="8"/>
  <c r="U183" i="8" s="1"/>
  <c r="T210" i="8"/>
  <c r="U210" i="8" s="1"/>
  <c r="T190" i="8"/>
  <c r="U190" i="8" s="1"/>
  <c r="T171" i="8"/>
  <c r="U171" i="8" s="1"/>
  <c r="T154" i="8"/>
  <c r="U154" i="8" s="1"/>
  <c r="T137" i="8"/>
  <c r="U137" i="8" s="1"/>
  <c r="T132" i="8"/>
  <c r="U132" i="8" s="1"/>
  <c r="T130" i="8"/>
  <c r="U130" i="8" s="1"/>
  <c r="T84" i="8"/>
  <c r="U84" i="8" s="1"/>
  <c r="T82" i="8"/>
  <c r="U82" i="8" s="1"/>
  <c r="T68" i="8"/>
  <c r="U68" i="8" s="1"/>
  <c r="T312" i="8"/>
  <c r="U312" i="8" s="1"/>
  <c r="T307" i="8"/>
  <c r="U307" i="8" s="1"/>
  <c r="T302" i="8"/>
  <c r="U302" i="8" s="1"/>
  <c r="T295" i="8"/>
  <c r="U295" i="8" s="1"/>
  <c r="T293" i="8"/>
  <c r="U293" i="8" s="1"/>
  <c r="T278" i="8"/>
  <c r="U278" i="8" s="1"/>
  <c r="T254" i="8"/>
  <c r="U254" i="8" s="1"/>
  <c r="AF45" i="23"/>
  <c r="AI45" i="23" s="1"/>
  <c r="AF49" i="23"/>
  <c r="AI49" i="23" s="1"/>
  <c r="AF46" i="23"/>
  <c r="AI46" i="23" s="1"/>
  <c r="AF48" i="23"/>
  <c r="AF44" i="23"/>
  <c r="AI44" i="23" s="1"/>
  <c r="AF50" i="23"/>
  <c r="AI50" i="23" s="1"/>
  <c r="AF52" i="23"/>
  <c r="AI52" i="23" s="1"/>
  <c r="AF43" i="23"/>
  <c r="AI43" i="23" s="1"/>
  <c r="Q8" i="9"/>
  <c r="R8" i="9"/>
  <c r="AA46" i="9"/>
  <c r="AA48" i="9"/>
  <c r="AA43" i="9"/>
  <c r="AA47" i="9"/>
  <c r="AA40" i="9"/>
  <c r="AE33" i="22"/>
  <c r="AE30" i="22"/>
  <c r="AE31" i="22"/>
  <c r="AI51" i="23"/>
  <c r="AI47" i="23"/>
  <c r="AI48" i="23"/>
  <c r="AA41" i="9"/>
  <c r="AA45" i="9"/>
  <c r="AA44" i="9"/>
  <c r="AC42" i="9"/>
  <c r="AC49" i="9"/>
  <c r="W212" i="8"/>
  <c r="W182" i="8"/>
  <c r="W196" i="8"/>
  <c r="W219" i="8"/>
  <c r="W111" i="8"/>
  <c r="W208" i="8"/>
  <c r="W142" i="8"/>
  <c r="T128" i="8"/>
  <c r="U128" i="8" s="1"/>
  <c r="T118" i="8"/>
  <c r="U118" i="8" s="1"/>
  <c r="T316" i="8"/>
  <c r="U316" i="8" s="1"/>
  <c r="T314" i="8"/>
  <c r="U314" i="8" s="1"/>
  <c r="W288" i="8"/>
  <c r="T181" i="8"/>
  <c r="U181" i="8" s="1"/>
  <c r="T113" i="8"/>
  <c r="U113" i="8" s="1"/>
  <c r="T91" i="8"/>
  <c r="U91" i="8" s="1"/>
  <c r="T217" i="8"/>
  <c r="U217" i="8" s="1"/>
  <c r="T262" i="8"/>
  <c r="U262" i="8" s="1"/>
  <c r="T234" i="8"/>
  <c r="U234" i="8" s="1"/>
  <c r="T176" i="8"/>
  <c r="U176" i="8" s="1"/>
  <c r="T159" i="8"/>
  <c r="U159" i="8" s="1"/>
  <c r="T106" i="8"/>
  <c r="U106" i="8" s="1"/>
  <c r="W309" i="8"/>
  <c r="T225" i="8"/>
  <c r="U225" i="8" s="1"/>
  <c r="W313" i="8"/>
  <c r="W272" i="8"/>
  <c r="T161" i="8"/>
  <c r="U161" i="8" s="1"/>
  <c r="T150" i="8"/>
  <c r="U150" i="8" s="1"/>
  <c r="W243" i="8"/>
  <c r="T145" i="8"/>
  <c r="U145" i="8" s="1"/>
  <c r="T140" i="8"/>
  <c r="U140" i="8" s="1"/>
  <c r="T116" i="8"/>
  <c r="U116" i="8" s="1"/>
  <c r="T103" i="8"/>
  <c r="U103" i="8" s="1"/>
  <c r="T292" i="8"/>
  <c r="U292" i="8" s="1"/>
  <c r="T286" i="8"/>
  <c r="U286" i="8" s="1"/>
  <c r="T244" i="8"/>
  <c r="U244" i="8" s="1"/>
  <c r="T211" i="8"/>
  <c r="U211" i="8" s="1"/>
  <c r="T146" i="8"/>
  <c r="U146" i="8" s="1"/>
  <c r="T126" i="8"/>
  <c r="U126" i="8" s="1"/>
  <c r="T121" i="8"/>
  <c r="U121" i="8" s="1"/>
  <c r="T114" i="8"/>
  <c r="U114" i="8" s="1"/>
  <c r="T109" i="8"/>
  <c r="U109" i="8" s="1"/>
  <c r="W107" i="8"/>
  <c r="T101" i="8"/>
  <c r="U101" i="8" s="1"/>
  <c r="W101" i="8" s="1"/>
  <c r="T99" i="8"/>
  <c r="U99" i="8" s="1"/>
  <c r="T94" i="8"/>
  <c r="U94" i="8" s="1"/>
  <c r="T78" i="8"/>
  <c r="U78" i="8" s="1"/>
  <c r="T74" i="8"/>
  <c r="U74" i="8" s="1"/>
  <c r="T303" i="8"/>
  <c r="U303" i="8" s="1"/>
  <c r="T220" i="8"/>
  <c r="U220" i="8" s="1"/>
  <c r="T207" i="8"/>
  <c r="U207" i="8" s="1"/>
  <c r="T198" i="8"/>
  <c r="U198" i="8" s="1"/>
  <c r="T187" i="8"/>
  <c r="U187" i="8" s="1"/>
  <c r="W292" i="8"/>
  <c r="W247" i="8"/>
  <c r="T139" i="8"/>
  <c r="U139" i="8" s="1"/>
  <c r="T134" i="8"/>
  <c r="U134" i="8" s="1"/>
  <c r="T90" i="8"/>
  <c r="U90" i="8" s="1"/>
  <c r="T87" i="8"/>
  <c r="U87" i="8" s="1"/>
  <c r="T83" i="8"/>
  <c r="U83" i="8" s="1"/>
  <c r="T315" i="8"/>
  <c r="U315" i="8" s="1"/>
  <c r="T297" i="8"/>
  <c r="U297" i="8" s="1"/>
  <c r="T285" i="8"/>
  <c r="U285" i="8" s="1"/>
  <c r="T248" i="8"/>
  <c r="U248" i="8" s="1"/>
  <c r="T214" i="8"/>
  <c r="U214" i="8" s="1"/>
  <c r="T175" i="8"/>
  <c r="U175" i="8" s="1"/>
  <c r="T158" i="8"/>
  <c r="U158" i="8" s="1"/>
  <c r="W158" i="8" s="1"/>
  <c r="T147" i="8"/>
  <c r="U147" i="8" s="1"/>
  <c r="T127" i="8"/>
  <c r="U127" i="8" s="1"/>
  <c r="T122" i="8"/>
  <c r="U122" i="8" s="1"/>
  <c r="T95" i="8"/>
  <c r="U95" i="8" s="1"/>
  <c r="T79" i="8"/>
  <c r="U79" i="8" s="1"/>
  <c r="T75" i="8"/>
  <c r="U75" i="8" s="1"/>
  <c r="W251" i="8"/>
  <c r="W214" i="8"/>
  <c r="T311" i="8"/>
  <c r="U311" i="8" s="1"/>
  <c r="W290" i="8"/>
  <c r="T264" i="8"/>
  <c r="U264" i="8" s="1"/>
  <c r="T252" i="8"/>
  <c r="U252" i="8" s="1"/>
  <c r="W239" i="8"/>
  <c r="T206" i="8"/>
  <c r="U206" i="8" s="1"/>
  <c r="T192" i="8"/>
  <c r="U192" i="8" s="1"/>
  <c r="T178" i="8"/>
  <c r="U178" i="8" s="1"/>
  <c r="W178" i="8" s="1"/>
  <c r="T163" i="8"/>
  <c r="U163" i="8" s="1"/>
  <c r="T133" i="8"/>
  <c r="U133" i="8" s="1"/>
  <c r="T131" i="8"/>
  <c r="U131" i="8" s="1"/>
  <c r="T125" i="8"/>
  <c r="U125" i="8" s="1"/>
  <c r="T102" i="8"/>
  <c r="U102" i="8" s="1"/>
  <c r="T98" i="8"/>
  <c r="U98" i="8" s="1"/>
  <c r="T93" i="8"/>
  <c r="U93" i="8" s="1"/>
  <c r="T69" i="8"/>
  <c r="U69" i="8" s="1"/>
  <c r="T304" i="8"/>
  <c r="U304" i="8" s="1"/>
  <c r="W304" i="8" s="1"/>
  <c r="T300" i="8"/>
  <c r="U300" i="8" s="1"/>
  <c r="T240" i="8"/>
  <c r="U240" i="8" s="1"/>
  <c r="W308" i="8"/>
  <c r="W306" i="8"/>
  <c r="W312" i="8"/>
  <c r="W250" i="8"/>
  <c r="W296" i="8"/>
  <c r="W282" i="8"/>
  <c r="W261" i="8"/>
  <c r="W244" i="8"/>
  <c r="W226" i="8"/>
  <c r="W291" i="8"/>
  <c r="W222" i="8"/>
  <c r="W299" i="8"/>
  <c r="W294" i="8"/>
  <c r="W283" i="8"/>
  <c r="W265" i="8"/>
  <c r="W255" i="8"/>
  <c r="W230" i="8"/>
  <c r="W223" i="8"/>
  <c r="W221" i="8"/>
  <c r="W289" i="8"/>
  <c r="W279" i="8"/>
  <c r="W274" i="8"/>
  <c r="W266" i="8"/>
  <c r="W259" i="8"/>
  <c r="W227" i="8"/>
  <c r="W295" i="8"/>
  <c r="W275" i="8"/>
  <c r="W270" i="8"/>
  <c r="W263" i="8"/>
  <c r="W256" i="8"/>
  <c r="W241" i="8"/>
  <c r="W238" i="8"/>
  <c r="W231" i="8"/>
  <c r="W224" i="8"/>
  <c r="W301" i="8"/>
  <c r="W287" i="8"/>
  <c r="W280" i="8"/>
  <c r="W271" i="8"/>
  <c r="W245" i="8"/>
  <c r="W242" i="8"/>
  <c r="W235" i="8"/>
  <c r="W253" i="8"/>
  <c r="W249" i="8"/>
  <c r="W246" i="8"/>
  <c r="W218" i="8"/>
  <c r="W173" i="8"/>
  <c r="W153" i="8"/>
  <c r="W156" i="8"/>
  <c r="W204" i="8"/>
  <c r="W201" i="8"/>
  <c r="W180" i="8"/>
  <c r="W209" i="8"/>
  <c r="W193" i="8"/>
  <c r="W157" i="8"/>
  <c r="W117" i="8"/>
  <c r="W189" i="8"/>
  <c r="W170" i="8"/>
  <c r="W200" i="8"/>
  <c r="W213" i="8"/>
  <c r="W205" i="8"/>
  <c r="W185" i="8"/>
  <c r="W151" i="8"/>
  <c r="W89" i="8"/>
  <c r="W215" i="8"/>
  <c r="W207" i="8"/>
  <c r="W171" i="8"/>
  <c r="T164" i="8"/>
  <c r="U164" i="8" s="1"/>
  <c r="T152" i="8"/>
  <c r="U152" i="8" s="1"/>
  <c r="W143" i="8"/>
  <c r="W174" i="8"/>
  <c r="W80" i="8"/>
  <c r="T188" i="8"/>
  <c r="U188" i="8" s="1"/>
  <c r="W176" i="8"/>
  <c r="W140" i="8"/>
  <c r="T85" i="8"/>
  <c r="U85" i="8" s="1"/>
  <c r="W167" i="8"/>
  <c r="W191" i="8"/>
  <c r="T184" i="8"/>
  <c r="U184" i="8" s="1"/>
  <c r="W104" i="8"/>
  <c r="W194" i="8"/>
  <c r="W162" i="8"/>
  <c r="W135" i="8"/>
  <c r="W124" i="8"/>
  <c r="W110" i="8"/>
  <c r="W72" i="8"/>
  <c r="W123" i="8"/>
  <c r="W105" i="8"/>
  <c r="W79" i="8"/>
  <c r="W136" i="8"/>
  <c r="W199" i="8"/>
  <c r="W179" i="8"/>
  <c r="T172" i="8"/>
  <c r="U172" i="8" s="1"/>
  <c r="W119" i="8"/>
  <c r="W88" i="8"/>
  <c r="W132" i="8"/>
  <c r="W100" i="8"/>
  <c r="W75" i="8"/>
  <c r="W141" i="8"/>
  <c r="W138" i="8"/>
  <c r="W109" i="8"/>
  <c r="W144" i="8"/>
  <c r="W112" i="8"/>
  <c r="W96" i="8"/>
  <c r="W81" i="8"/>
  <c r="W73" i="8"/>
  <c r="W134" i="8"/>
  <c r="W76" i="8"/>
  <c r="W84" i="8" l="1"/>
  <c r="W268" i="8"/>
  <c r="W165" i="8"/>
  <c r="W258" i="8"/>
  <c r="W216" i="8"/>
  <c r="W310" i="8"/>
  <c r="W149" i="8"/>
  <c r="W133" i="8"/>
  <c r="W284" i="8"/>
  <c r="W77" i="8"/>
  <c r="W273" i="8"/>
  <c r="W122" i="8"/>
  <c r="W137" i="8"/>
  <c r="W168" i="8"/>
  <c r="W118" i="8"/>
  <c r="W233" i="8"/>
  <c r="W197" i="8"/>
  <c r="W281" i="8"/>
  <c r="W115" i="8"/>
  <c r="W316" i="8"/>
  <c r="W278" i="8"/>
  <c r="W120" i="8"/>
  <c r="W177" i="8"/>
  <c r="W269" i="8"/>
  <c r="W159" i="8"/>
  <c r="W293" i="8"/>
  <c r="W234" i="8"/>
  <c r="W277" i="8"/>
  <c r="W148" i="8"/>
  <c r="W108" i="8"/>
  <c r="W303" i="8"/>
  <c r="W267" i="8"/>
  <c r="W166" i="8"/>
  <c r="AC46" i="9"/>
  <c r="AC43" i="9"/>
  <c r="W190" i="8"/>
  <c r="W254" i="8"/>
  <c r="W198" i="8"/>
  <c r="W175" i="8"/>
  <c r="W300" i="8"/>
  <c r="W86" i="8"/>
  <c r="W71" i="8"/>
  <c r="W202" i="8"/>
  <c r="W257" i="8"/>
  <c r="W229" i="8"/>
  <c r="W305" i="8"/>
  <c r="W276" i="8"/>
  <c r="W93" i="8"/>
  <c r="W210" i="8"/>
  <c r="W106" i="8"/>
  <c r="W97" i="8"/>
  <c r="W217" i="8"/>
  <c r="W232" i="8"/>
  <c r="W82" i="8"/>
  <c r="W192" i="8"/>
  <c r="W68" i="8"/>
  <c r="W69" i="8"/>
  <c r="W70" i="8"/>
  <c r="W298" i="8"/>
  <c r="W130" i="8"/>
  <c r="W186" i="8"/>
  <c r="W121" i="8"/>
  <c r="W92" i="8"/>
  <c r="W228" i="8"/>
  <c r="W314" i="8"/>
  <c r="W150" i="8"/>
  <c r="W154" i="8"/>
  <c r="W195" i="8"/>
  <c r="W286" i="8"/>
  <c r="W236" i="8"/>
  <c r="W129" i="8"/>
  <c r="W90" i="8"/>
  <c r="W183" i="8"/>
  <c r="W155" i="8"/>
  <c r="W203" i="8"/>
  <c r="W160" i="8"/>
  <c r="W285" i="8"/>
  <c r="W102" i="8"/>
  <c r="W74" i="8"/>
  <c r="W237" i="8"/>
  <c r="W225" i="8"/>
  <c r="W307" i="8"/>
  <c r="W311" i="8"/>
  <c r="W169" i="8"/>
  <c r="W260" i="8"/>
  <c r="W302" i="8"/>
  <c r="W317" i="8"/>
  <c r="AC48" i="9"/>
  <c r="AC47" i="9"/>
  <c r="AC44" i="9"/>
  <c r="AC40" i="9"/>
  <c r="AC41" i="9"/>
  <c r="AC45" i="9"/>
  <c r="W164" i="8"/>
  <c r="W147" i="8"/>
  <c r="W94" i="8"/>
  <c r="W103" i="8"/>
  <c r="W78" i="8"/>
  <c r="W83" i="8"/>
  <c r="W240" i="8"/>
  <c r="W99" i="8"/>
  <c r="W116" i="8"/>
  <c r="W187" i="8"/>
  <c r="W163" i="8"/>
  <c r="W131" i="8"/>
  <c r="W262" i="8"/>
  <c r="W315" i="8"/>
  <c r="W146" i="8"/>
  <c r="W220" i="8"/>
  <c r="W145" i="8"/>
  <c r="W95" i="8"/>
  <c r="W139" i="8"/>
  <c r="W211" i="8"/>
  <c r="W206" i="8"/>
  <c r="W252" i="8"/>
  <c r="W114" i="8"/>
  <c r="W248" i="8"/>
  <c r="W161" i="8"/>
  <c r="W87" i="8"/>
  <c r="W126" i="8"/>
  <c r="W128" i="8"/>
  <c r="W125" i="8"/>
  <c r="W91" i="8"/>
  <c r="W181" i="8"/>
  <c r="W127" i="8"/>
  <c r="W264" i="8"/>
  <c r="W98" i="8"/>
  <c r="W113" i="8"/>
  <c r="W297" i="8"/>
  <c r="W152" i="8"/>
  <c r="W184" i="8"/>
  <c r="W188" i="8"/>
  <c r="W172" i="8"/>
  <c r="W85" i="8"/>
  <c r="C18" i="16" l="1"/>
  <c r="C17" i="16"/>
  <c r="C16" i="16"/>
  <c r="D15" i="16"/>
  <c r="C15" i="16"/>
  <c r="D14" i="16"/>
  <c r="C14" i="16"/>
  <c r="W22" i="9" l="1"/>
  <c r="R34" i="24" l="1"/>
  <c r="R33" i="24"/>
  <c r="R32" i="24"/>
  <c r="R31" i="24"/>
  <c r="R30" i="24"/>
  <c r="R29" i="24"/>
  <c r="R28" i="24"/>
  <c r="R27" i="24"/>
  <c r="R26" i="24"/>
  <c r="R25" i="24"/>
  <c r="R24" i="24"/>
  <c r="R23" i="24"/>
  <c r="R22" i="24"/>
  <c r="R21" i="24"/>
  <c r="R20" i="24"/>
  <c r="R18" i="24"/>
  <c r="H20" i="24"/>
  <c r="I20" i="24"/>
  <c r="T20" i="24" l="1"/>
  <c r="AC111" i="26" l="1"/>
  <c r="O111" i="26"/>
  <c r="M111" i="26"/>
  <c r="AI110" i="26"/>
  <c r="AD110" i="26"/>
  <c r="T110" i="26"/>
  <c r="N110" i="26"/>
  <c r="J21" i="11"/>
  <c r="H10" i="11"/>
  <c r="G10" i="11"/>
  <c r="W18" i="11" s="1"/>
  <c r="U40" i="11"/>
  <c r="W40" i="11" s="1"/>
  <c r="J40" i="11"/>
  <c r="L40" i="11" s="1"/>
  <c r="U39" i="11"/>
  <c r="V39" i="11" s="1"/>
  <c r="J39" i="11"/>
  <c r="L39" i="11" s="1"/>
  <c r="U38" i="11"/>
  <c r="W38" i="11" s="1"/>
  <c r="J38" i="11"/>
  <c r="L38" i="11" s="1"/>
  <c r="U37" i="11"/>
  <c r="W37" i="11" s="1"/>
  <c r="J37" i="11"/>
  <c r="L37" i="11" s="1"/>
  <c r="U36" i="11"/>
  <c r="W36" i="11" s="1"/>
  <c r="J36" i="11"/>
  <c r="L36" i="11" s="1"/>
  <c r="U35" i="11"/>
  <c r="W35" i="11" s="1"/>
  <c r="J35" i="11"/>
  <c r="K35" i="11" s="1"/>
  <c r="U34" i="11"/>
  <c r="V34" i="11" s="1"/>
  <c r="J34" i="11"/>
  <c r="L34" i="11" s="1"/>
  <c r="U33" i="11"/>
  <c r="W33" i="11" s="1"/>
  <c r="J33" i="11"/>
  <c r="L33" i="11" s="1"/>
  <c r="U32" i="11"/>
  <c r="W32" i="11" s="1"/>
  <c r="J32" i="11"/>
  <c r="L32" i="11" s="1"/>
  <c r="U31" i="11"/>
  <c r="V31" i="11" s="1"/>
  <c r="J31" i="11"/>
  <c r="L31" i="11" s="1"/>
  <c r="U30" i="11"/>
  <c r="W30" i="11" s="1"/>
  <c r="J30" i="11"/>
  <c r="L30" i="11" s="1"/>
  <c r="U29" i="11"/>
  <c r="W29" i="11" s="1"/>
  <c r="J29" i="11"/>
  <c r="L29" i="11" s="1"/>
  <c r="U28" i="11"/>
  <c r="W28" i="11" s="1"/>
  <c r="J28" i="11"/>
  <c r="L28" i="11" s="1"/>
  <c r="U27" i="11"/>
  <c r="W27" i="11" s="1"/>
  <c r="J27" i="11"/>
  <c r="K27" i="11" s="1"/>
  <c r="U26" i="11"/>
  <c r="V26" i="11" s="1"/>
  <c r="J26" i="11"/>
  <c r="L26" i="11" s="1"/>
  <c r="U25" i="11"/>
  <c r="W25" i="11" s="1"/>
  <c r="J25" i="11"/>
  <c r="L25" i="11" s="1"/>
  <c r="U24" i="11"/>
  <c r="W24" i="11" s="1"/>
  <c r="J24" i="11"/>
  <c r="L24" i="11" s="1"/>
  <c r="U23" i="11"/>
  <c r="W23" i="11" s="1"/>
  <c r="J23" i="11"/>
  <c r="L23" i="11" s="1"/>
  <c r="U22" i="11"/>
  <c r="W22" i="11" s="1"/>
  <c r="J22" i="11"/>
  <c r="L22" i="11" s="1"/>
  <c r="U21" i="11"/>
  <c r="U19" i="11"/>
  <c r="V19" i="11" s="1"/>
  <c r="J19" i="11"/>
  <c r="L19" i="11" s="1"/>
  <c r="R32" i="25"/>
  <c r="Q32" i="25"/>
  <c r="H32" i="25"/>
  <c r="R31" i="25"/>
  <c r="Q31" i="25"/>
  <c r="H31" i="25"/>
  <c r="J31" i="25" s="1"/>
  <c r="R30" i="25"/>
  <c r="Q30" i="25"/>
  <c r="H30" i="25"/>
  <c r="R29" i="25"/>
  <c r="Q29" i="25"/>
  <c r="H29" i="25"/>
  <c r="R28" i="25"/>
  <c r="Q28" i="25"/>
  <c r="H28" i="25"/>
  <c r="W28" i="25" s="1"/>
  <c r="R27" i="25"/>
  <c r="Q27" i="25"/>
  <c r="W27" i="25" s="1"/>
  <c r="H27" i="25"/>
  <c r="J27" i="25" s="1"/>
  <c r="R26" i="25"/>
  <c r="Q26" i="25"/>
  <c r="H26" i="25"/>
  <c r="R25" i="25"/>
  <c r="Q25" i="25"/>
  <c r="H25" i="25"/>
  <c r="R24" i="25"/>
  <c r="Q24" i="25"/>
  <c r="H24" i="25"/>
  <c r="R23" i="25"/>
  <c r="Q23" i="25"/>
  <c r="H23" i="25"/>
  <c r="J23" i="25" s="1"/>
  <c r="R22" i="25"/>
  <c r="Q22" i="25"/>
  <c r="J22" i="25"/>
  <c r="H22" i="25"/>
  <c r="R21" i="25"/>
  <c r="Q21" i="25"/>
  <c r="H21" i="25"/>
  <c r="R20" i="25"/>
  <c r="Q20" i="25"/>
  <c r="H20" i="25"/>
  <c r="R19" i="25"/>
  <c r="Q19" i="25"/>
  <c r="H19" i="25"/>
  <c r="R18" i="25"/>
  <c r="Q18" i="25"/>
  <c r="H18" i="25"/>
  <c r="P17" i="25"/>
  <c r="O17" i="25"/>
  <c r="M17" i="25"/>
  <c r="G17" i="25"/>
  <c r="F17" i="25"/>
  <c r="D17" i="25"/>
  <c r="Q16" i="25"/>
  <c r="I16" i="25"/>
  <c r="R16" i="25" s="1"/>
  <c r="H16" i="25"/>
  <c r="X29" i="22"/>
  <c r="Y29" i="22" s="1"/>
  <c r="J29" i="22"/>
  <c r="K29" i="22" s="1"/>
  <c r="O29" i="22" s="1"/>
  <c r="X28" i="22"/>
  <c r="Y28" i="22" s="1"/>
  <c r="J28" i="22"/>
  <c r="K28" i="22" s="1"/>
  <c r="O28" i="22" s="1"/>
  <c r="X27" i="22"/>
  <c r="Y27" i="22" s="1"/>
  <c r="J27" i="22"/>
  <c r="K27" i="22" s="1"/>
  <c r="O27" i="22" s="1"/>
  <c r="X26" i="22"/>
  <c r="Y26" i="22" s="1"/>
  <c r="J26" i="22"/>
  <c r="K26" i="22" s="1"/>
  <c r="O26" i="22" s="1"/>
  <c r="X25" i="22"/>
  <c r="Y25" i="22" s="1"/>
  <c r="J25" i="22"/>
  <c r="K25" i="22" s="1"/>
  <c r="O25" i="22" s="1"/>
  <c r="X24" i="22"/>
  <c r="Y24" i="22" s="1"/>
  <c r="J24" i="22"/>
  <c r="K24" i="22" s="1"/>
  <c r="O24" i="22" s="1"/>
  <c r="X23" i="22"/>
  <c r="Y23" i="22" s="1"/>
  <c r="J23" i="22"/>
  <c r="K23" i="22" s="1"/>
  <c r="O23" i="22" s="1"/>
  <c r="X22" i="22"/>
  <c r="Y22" i="22" s="1"/>
  <c r="J22" i="22"/>
  <c r="K22" i="22" s="1"/>
  <c r="O22" i="22" s="1"/>
  <c r="X21" i="22"/>
  <c r="Y21" i="22" s="1"/>
  <c r="J21" i="22"/>
  <c r="K21" i="22" s="1"/>
  <c r="O21" i="22" s="1"/>
  <c r="X20" i="22"/>
  <c r="Y20" i="22" s="1"/>
  <c r="J20" i="22"/>
  <c r="K20" i="22" s="1"/>
  <c r="O20" i="22" s="1"/>
  <c r="O19" i="22" s="1"/>
  <c r="X18" i="22"/>
  <c r="Y18" i="22" s="1"/>
  <c r="J18" i="22"/>
  <c r="K18" i="22" s="1"/>
  <c r="O18" i="22" s="1"/>
  <c r="AB29" i="22"/>
  <c r="Z29" i="22"/>
  <c r="T29" i="22"/>
  <c r="F29" i="22"/>
  <c r="AB28" i="22"/>
  <c r="Z28" i="22"/>
  <c r="T28" i="22"/>
  <c r="F28" i="22"/>
  <c r="AB27" i="22"/>
  <c r="Z27" i="22"/>
  <c r="T27" i="22"/>
  <c r="F27" i="22"/>
  <c r="AB26" i="22"/>
  <c r="Z26" i="22"/>
  <c r="T26" i="22"/>
  <c r="F26" i="22"/>
  <c r="AB25" i="22"/>
  <c r="Z25" i="22"/>
  <c r="T25" i="22"/>
  <c r="F25" i="22"/>
  <c r="AB24" i="22"/>
  <c r="Z24" i="22"/>
  <c r="T24" i="22"/>
  <c r="F24" i="22"/>
  <c r="AB23" i="22"/>
  <c r="Z23" i="22"/>
  <c r="T23" i="22"/>
  <c r="F23" i="22"/>
  <c r="AB22" i="22"/>
  <c r="Z22" i="22"/>
  <c r="T22" i="22"/>
  <c r="F22" i="22"/>
  <c r="AB21" i="22"/>
  <c r="Z21" i="22"/>
  <c r="T21" i="22"/>
  <c r="F21" i="22"/>
  <c r="AB20" i="22"/>
  <c r="Z20" i="22"/>
  <c r="T20" i="22"/>
  <c r="F20" i="22"/>
  <c r="AB18" i="22"/>
  <c r="Z18" i="22"/>
  <c r="T18" i="22"/>
  <c r="F18" i="22"/>
  <c r="AZ34" i="24"/>
  <c r="AY34" i="24"/>
  <c r="AX34" i="24"/>
  <c r="AE34" i="24" s="1"/>
  <c r="AW34" i="24"/>
  <c r="AV34" i="24"/>
  <c r="AT34" i="24"/>
  <c r="AS34" i="24"/>
  <c r="V34" i="24" s="1"/>
  <c r="AR34" i="24"/>
  <c r="O34" i="24" s="1"/>
  <c r="AQ34" i="24"/>
  <c r="AP34" i="24"/>
  <c r="AZ33" i="24"/>
  <c r="BA33" i="24" s="1"/>
  <c r="AY33" i="24"/>
  <c r="AX33" i="24"/>
  <c r="AE33" i="24" s="1"/>
  <c r="AW33" i="24"/>
  <c r="AV33" i="24"/>
  <c r="AT33" i="24"/>
  <c r="AS33" i="24"/>
  <c r="V33" i="24" s="1"/>
  <c r="AR33" i="24"/>
  <c r="O33" i="24" s="1"/>
  <c r="AQ33" i="24"/>
  <c r="AP33" i="24"/>
  <c r="AZ32" i="24"/>
  <c r="BA32" i="24" s="1"/>
  <c r="AY32" i="24"/>
  <c r="AX32" i="24"/>
  <c r="AE32" i="24" s="1"/>
  <c r="AW32" i="24"/>
  <c r="AV32" i="24"/>
  <c r="AT32" i="24"/>
  <c r="S32" i="24" s="1"/>
  <c r="AD32" i="24" s="1"/>
  <c r="AS32" i="24"/>
  <c r="V32" i="24" s="1"/>
  <c r="AR32" i="24"/>
  <c r="O32" i="24" s="1"/>
  <c r="AQ32" i="24"/>
  <c r="AP32" i="24"/>
  <c r="AZ31" i="24"/>
  <c r="BA31" i="24" s="1"/>
  <c r="AY31" i="24"/>
  <c r="AX31" i="24"/>
  <c r="AE31" i="24" s="1"/>
  <c r="AW31" i="24"/>
  <c r="AV31" i="24"/>
  <c r="AT31" i="24"/>
  <c r="S31" i="24" s="1"/>
  <c r="AD31" i="24" s="1"/>
  <c r="AS31" i="24"/>
  <c r="V31" i="24" s="1"/>
  <c r="AR31" i="24"/>
  <c r="O31" i="24" s="1"/>
  <c r="AQ31" i="24"/>
  <c r="AP31" i="24"/>
  <c r="AZ30" i="24"/>
  <c r="BA30" i="24" s="1"/>
  <c r="AY30" i="24"/>
  <c r="AX30" i="24"/>
  <c r="AE30" i="24" s="1"/>
  <c r="AW30" i="24"/>
  <c r="AV30" i="24"/>
  <c r="AT30" i="24"/>
  <c r="AS30" i="24"/>
  <c r="V30" i="24" s="1"/>
  <c r="AR30" i="24"/>
  <c r="O30" i="24" s="1"/>
  <c r="AQ30" i="24"/>
  <c r="AP30" i="24"/>
  <c r="AZ29" i="24"/>
  <c r="BA29" i="24" s="1"/>
  <c r="AY29" i="24"/>
  <c r="AX29" i="24"/>
  <c r="AE29" i="24" s="1"/>
  <c r="AW29" i="24"/>
  <c r="AV29" i="24"/>
  <c r="AT29" i="24"/>
  <c r="AS29" i="24"/>
  <c r="V29" i="24" s="1"/>
  <c r="AR29" i="24"/>
  <c r="O29" i="24" s="1"/>
  <c r="AQ29" i="24"/>
  <c r="AP29" i="24"/>
  <c r="AZ28" i="24"/>
  <c r="BA28" i="24" s="1"/>
  <c r="AY28" i="24"/>
  <c r="AX28" i="24"/>
  <c r="AE28" i="24" s="1"/>
  <c r="AW28" i="24"/>
  <c r="AV28" i="24"/>
  <c r="AT28" i="24"/>
  <c r="S28" i="24" s="1"/>
  <c r="AD28" i="24" s="1"/>
  <c r="AS28" i="24"/>
  <c r="V28" i="24" s="1"/>
  <c r="AR28" i="24"/>
  <c r="O28" i="24" s="1"/>
  <c r="AQ28" i="24"/>
  <c r="AP28" i="24"/>
  <c r="AZ27" i="24"/>
  <c r="BA27" i="24" s="1"/>
  <c r="AY27" i="24"/>
  <c r="AX27" i="24"/>
  <c r="AE27" i="24" s="1"/>
  <c r="AW27" i="24"/>
  <c r="AV27" i="24"/>
  <c r="AT27" i="24"/>
  <c r="AS27" i="24"/>
  <c r="V27" i="24" s="1"/>
  <c r="AR27" i="24"/>
  <c r="O27" i="24" s="1"/>
  <c r="AQ27" i="24"/>
  <c r="AP27" i="24"/>
  <c r="AZ26" i="24"/>
  <c r="BA26" i="24" s="1"/>
  <c r="AY26" i="24"/>
  <c r="AX26" i="24"/>
  <c r="AE26" i="24" s="1"/>
  <c r="AW26" i="24"/>
  <c r="AV26" i="24"/>
  <c r="AT26" i="24"/>
  <c r="AS26" i="24"/>
  <c r="V26" i="24" s="1"/>
  <c r="AR26" i="24"/>
  <c r="O26" i="24" s="1"/>
  <c r="AQ26" i="24"/>
  <c r="AP26" i="24"/>
  <c r="AZ25" i="24"/>
  <c r="BA25" i="24" s="1"/>
  <c r="AY25" i="24"/>
  <c r="AX25" i="24"/>
  <c r="AE25" i="24" s="1"/>
  <c r="AW25" i="24"/>
  <c r="AV25" i="24"/>
  <c r="AT25" i="24"/>
  <c r="S25" i="24" s="1"/>
  <c r="AS25" i="24"/>
  <c r="V25" i="24" s="1"/>
  <c r="AR25" i="24"/>
  <c r="O25" i="24" s="1"/>
  <c r="AQ25" i="24"/>
  <c r="AP25" i="24"/>
  <c r="AZ24" i="24"/>
  <c r="BA24" i="24" s="1"/>
  <c r="AY24" i="24"/>
  <c r="AX24" i="24"/>
  <c r="AE24" i="24" s="1"/>
  <c r="AW24" i="24"/>
  <c r="AV24" i="24"/>
  <c r="AT24" i="24"/>
  <c r="AS24" i="24"/>
  <c r="V24" i="24" s="1"/>
  <c r="AR24" i="24"/>
  <c r="O24" i="24" s="1"/>
  <c r="AQ24" i="24"/>
  <c r="AP24" i="24"/>
  <c r="AZ23" i="24"/>
  <c r="BA23" i="24" s="1"/>
  <c r="AY23" i="24"/>
  <c r="AX23" i="24"/>
  <c r="AE23" i="24" s="1"/>
  <c r="AW23" i="24"/>
  <c r="AV23" i="24"/>
  <c r="AT23" i="24"/>
  <c r="AS23" i="24"/>
  <c r="V23" i="24" s="1"/>
  <c r="AR23" i="24"/>
  <c r="O23" i="24" s="1"/>
  <c r="AQ23" i="24"/>
  <c r="AP23" i="24"/>
  <c r="AZ22" i="24"/>
  <c r="BA22" i="24" s="1"/>
  <c r="AY22" i="24"/>
  <c r="AX22" i="24"/>
  <c r="AE22" i="24" s="1"/>
  <c r="AW22" i="24"/>
  <c r="AV22" i="24"/>
  <c r="AT22" i="24"/>
  <c r="AS22" i="24"/>
  <c r="V22" i="24" s="1"/>
  <c r="AR22" i="24"/>
  <c r="O22" i="24" s="1"/>
  <c r="AQ22" i="24"/>
  <c r="AP22" i="24"/>
  <c r="AZ21" i="24"/>
  <c r="BA21" i="24" s="1"/>
  <c r="AY21" i="24"/>
  <c r="AX21" i="24"/>
  <c r="AE21" i="24" s="1"/>
  <c r="AW21" i="24"/>
  <c r="AV21" i="24"/>
  <c r="AT21" i="24"/>
  <c r="AS21" i="24"/>
  <c r="V21" i="24" s="1"/>
  <c r="AR21" i="24"/>
  <c r="O21" i="24" s="1"/>
  <c r="AQ21" i="24"/>
  <c r="AP21" i="24"/>
  <c r="AZ20" i="24"/>
  <c r="BA20" i="24" s="1"/>
  <c r="AY20" i="24"/>
  <c r="AX20" i="24"/>
  <c r="AE20" i="24" s="1"/>
  <c r="AT20" i="24"/>
  <c r="S20" i="24" s="1"/>
  <c r="AS20" i="24"/>
  <c r="AR20" i="24"/>
  <c r="O20" i="24" s="1"/>
  <c r="AZ18" i="24"/>
  <c r="AY18" i="24"/>
  <c r="AX18" i="24"/>
  <c r="AE18" i="24" s="1"/>
  <c r="AT18" i="24"/>
  <c r="S18" i="24" s="1"/>
  <c r="AS18" i="24"/>
  <c r="AR18" i="24"/>
  <c r="BA34" i="24"/>
  <c r="AG34" i="24"/>
  <c r="AF34" i="24"/>
  <c r="I34" i="24"/>
  <c r="T34" i="24" s="1"/>
  <c r="H34" i="24"/>
  <c r="AG33" i="24"/>
  <c r="AF33" i="24"/>
  <c r="I33" i="24"/>
  <c r="T33" i="24" s="1"/>
  <c r="H33" i="24"/>
  <c r="AU32" i="24"/>
  <c r="AG32" i="24"/>
  <c r="AF32" i="24"/>
  <c r="I32" i="24"/>
  <c r="T32" i="24" s="1"/>
  <c r="H32" i="24"/>
  <c r="AG31" i="24"/>
  <c r="AF31" i="24"/>
  <c r="I31" i="24"/>
  <c r="T31" i="24" s="1"/>
  <c r="H31" i="24"/>
  <c r="AG30" i="24"/>
  <c r="AF30" i="24"/>
  <c r="I30" i="24"/>
  <c r="T30" i="24" s="1"/>
  <c r="H30" i="24"/>
  <c r="AG29" i="24"/>
  <c r="AF29" i="24"/>
  <c r="I29" i="24"/>
  <c r="T29" i="24" s="1"/>
  <c r="H29" i="24"/>
  <c r="AG28" i="24"/>
  <c r="AF28" i="24"/>
  <c r="I28" i="24"/>
  <c r="T28" i="24" s="1"/>
  <c r="H28" i="24"/>
  <c r="AG27" i="24"/>
  <c r="AF27" i="24"/>
  <c r="I27" i="24"/>
  <c r="T27" i="24" s="1"/>
  <c r="H27" i="24"/>
  <c r="AG26" i="24"/>
  <c r="AF26" i="24"/>
  <c r="I26" i="24"/>
  <c r="T26" i="24" s="1"/>
  <c r="H26" i="24"/>
  <c r="AG25" i="24"/>
  <c r="AF25" i="24"/>
  <c r="I25" i="24"/>
  <c r="T25" i="24" s="1"/>
  <c r="H25" i="24"/>
  <c r="AG24" i="24"/>
  <c r="AF24" i="24"/>
  <c r="I24" i="24"/>
  <c r="T24" i="24" s="1"/>
  <c r="H24" i="24"/>
  <c r="AG23" i="24"/>
  <c r="AF23" i="24"/>
  <c r="I23" i="24"/>
  <c r="T23" i="24" s="1"/>
  <c r="H23" i="24"/>
  <c r="AG22" i="24"/>
  <c r="AF22" i="24"/>
  <c r="I22" i="24"/>
  <c r="T22" i="24" s="1"/>
  <c r="H22" i="24"/>
  <c r="AG21" i="24"/>
  <c r="AF21" i="24"/>
  <c r="I21" i="24"/>
  <c r="T21" i="24" s="1"/>
  <c r="T19" i="24" s="1"/>
  <c r="H21" i="24"/>
  <c r="AG20" i="24"/>
  <c r="AF20" i="24"/>
  <c r="BA18" i="24"/>
  <c r="AU18" i="24"/>
  <c r="AG18" i="24"/>
  <c r="AF18" i="24"/>
  <c r="AC18" i="24"/>
  <c r="L18" i="24"/>
  <c r="I18" i="24"/>
  <c r="H18" i="24"/>
  <c r="T18" i="24" s="1"/>
  <c r="AI17" i="24"/>
  <c r="AD17" i="24"/>
  <c r="T17" i="24"/>
  <c r="N17" i="24"/>
  <c r="R9" i="24"/>
  <c r="Q9" i="24"/>
  <c r="P9" i="24"/>
  <c r="J10" i="23"/>
  <c r="AE42" i="23"/>
  <c r="AA42" i="23"/>
  <c r="F42" i="23"/>
  <c r="S42" i="23" s="1"/>
  <c r="AE41" i="23"/>
  <c r="AA41" i="23"/>
  <c r="F41" i="23"/>
  <c r="S41" i="23" s="1"/>
  <c r="AE40" i="23"/>
  <c r="AA40" i="23"/>
  <c r="F40" i="23"/>
  <c r="S40" i="23" s="1"/>
  <c r="AE39" i="23"/>
  <c r="AA39" i="23"/>
  <c r="F39" i="23"/>
  <c r="S39" i="23" s="1"/>
  <c r="AE38" i="23"/>
  <c r="AA38" i="23"/>
  <c r="F38" i="23"/>
  <c r="S38" i="23" s="1"/>
  <c r="AE37" i="23"/>
  <c r="AA37" i="23"/>
  <c r="F37" i="23"/>
  <c r="S37" i="23" s="1"/>
  <c r="AE36" i="23"/>
  <c r="AA36" i="23"/>
  <c r="F36" i="23"/>
  <c r="S36" i="23" s="1"/>
  <c r="AE35" i="23"/>
  <c r="AA35" i="23"/>
  <c r="F35" i="23"/>
  <c r="S35" i="23" s="1"/>
  <c r="AE34" i="23"/>
  <c r="AA34" i="23"/>
  <c r="F34" i="23"/>
  <c r="S34" i="23" s="1"/>
  <c r="AE33" i="23"/>
  <c r="AA33" i="23"/>
  <c r="F33" i="23"/>
  <c r="S33" i="23" s="1"/>
  <c r="AE32" i="23"/>
  <c r="AA32" i="23"/>
  <c r="F32" i="23"/>
  <c r="S32" i="23" s="1"/>
  <c r="AE31" i="23"/>
  <c r="AA31" i="23"/>
  <c r="F31" i="23"/>
  <c r="S31" i="23" s="1"/>
  <c r="AE30" i="23"/>
  <c r="AA30" i="23"/>
  <c r="F30" i="23"/>
  <c r="S30" i="23" s="1"/>
  <c r="AE29" i="23"/>
  <c r="AA29" i="23"/>
  <c r="F29" i="23"/>
  <c r="S29" i="23" s="1"/>
  <c r="AE28" i="23"/>
  <c r="AA28" i="23"/>
  <c r="F28" i="23"/>
  <c r="S28" i="23" s="1"/>
  <c r="AE27" i="23"/>
  <c r="AA27" i="23"/>
  <c r="F27" i="23"/>
  <c r="S27" i="23" s="1"/>
  <c r="AE26" i="23"/>
  <c r="AA26" i="23"/>
  <c r="F26" i="23"/>
  <c r="S26" i="23" s="1"/>
  <c r="AE25" i="23"/>
  <c r="AA25" i="23"/>
  <c r="F25" i="23"/>
  <c r="S25" i="23" s="1"/>
  <c r="AE24" i="23"/>
  <c r="AA24" i="23"/>
  <c r="F24" i="23"/>
  <c r="S24" i="23" s="1"/>
  <c r="AE23" i="23"/>
  <c r="AA23" i="23"/>
  <c r="F23" i="23"/>
  <c r="S23" i="23" s="1"/>
  <c r="AE21" i="23"/>
  <c r="AA21" i="23"/>
  <c r="F21" i="23"/>
  <c r="AA7" i="23"/>
  <c r="H10" i="23" s="1"/>
  <c r="AF26" i="23" l="1"/>
  <c r="AF34" i="23"/>
  <c r="AI34" i="23" s="1"/>
  <c r="AF42" i="23"/>
  <c r="AU31" i="24"/>
  <c r="AF30" i="23"/>
  <c r="AF38" i="23"/>
  <c r="M7" i="25"/>
  <c r="W29" i="25"/>
  <c r="S28" i="25"/>
  <c r="U22" i="24"/>
  <c r="AU24" i="24"/>
  <c r="S24" i="24"/>
  <c r="AD24" i="24" s="1"/>
  <c r="U26" i="24"/>
  <c r="U30" i="24"/>
  <c r="U34" i="24"/>
  <c r="AU21" i="24"/>
  <c r="S21" i="24"/>
  <c r="AD21" i="24" s="1"/>
  <c r="U23" i="24"/>
  <c r="U27" i="24"/>
  <c r="AU29" i="24"/>
  <c r="S29" i="24"/>
  <c r="AD29" i="24" s="1"/>
  <c r="U31" i="24"/>
  <c r="AU33" i="24"/>
  <c r="S33" i="24"/>
  <c r="AD33" i="24" s="1"/>
  <c r="AU22" i="24"/>
  <c r="S22" i="24"/>
  <c r="AD22" i="24" s="1"/>
  <c r="U24" i="24"/>
  <c r="AU26" i="24"/>
  <c r="S26" i="24"/>
  <c r="AD26" i="24" s="1"/>
  <c r="U28" i="24"/>
  <c r="AU30" i="24"/>
  <c r="S30" i="24"/>
  <c r="AD30" i="24" s="1"/>
  <c r="U32" i="24"/>
  <c r="AU34" i="24"/>
  <c r="S34" i="24"/>
  <c r="AD34" i="24" s="1"/>
  <c r="U21" i="24"/>
  <c r="AU23" i="24"/>
  <c r="S23" i="24"/>
  <c r="AD23" i="24" s="1"/>
  <c r="U25" i="24"/>
  <c r="AU27" i="24"/>
  <c r="S27" i="24"/>
  <c r="AD27" i="24" s="1"/>
  <c r="U29" i="24"/>
  <c r="U33" i="24"/>
  <c r="AF32" i="23"/>
  <c r="AF24" i="23"/>
  <c r="AI24" i="23" s="1"/>
  <c r="AF40" i="23"/>
  <c r="AI40" i="23" s="1"/>
  <c r="AF23" i="23"/>
  <c r="AI23" i="23" s="1"/>
  <c r="AF31" i="23"/>
  <c r="AI31" i="23" s="1"/>
  <c r="AG47" i="23"/>
  <c r="AG49" i="23"/>
  <c r="AG51" i="23"/>
  <c r="AG44" i="23"/>
  <c r="T52" i="23"/>
  <c r="AG43" i="23"/>
  <c r="AG46" i="23"/>
  <c r="T44" i="23"/>
  <c r="AG52" i="23"/>
  <c r="T46" i="23"/>
  <c r="AG45" i="23"/>
  <c r="T48" i="23"/>
  <c r="AG48" i="23"/>
  <c r="AG50" i="23"/>
  <c r="T50" i="23"/>
  <c r="T45" i="23"/>
  <c r="T49" i="23"/>
  <c r="T51" i="23"/>
  <c r="T43" i="23"/>
  <c r="T47" i="23"/>
  <c r="S22" i="25"/>
  <c r="U22" i="25" s="1"/>
  <c r="W30" i="25"/>
  <c r="W24" i="25"/>
  <c r="S26" i="25"/>
  <c r="W32" i="25"/>
  <c r="W22" i="25"/>
  <c r="W20" i="25"/>
  <c r="W25" i="25"/>
  <c r="S30" i="25"/>
  <c r="W21" i="25"/>
  <c r="W26" i="25"/>
  <c r="S19" i="25"/>
  <c r="S24" i="25"/>
  <c r="S32" i="25"/>
  <c r="S20" i="25"/>
  <c r="J30" i="25"/>
  <c r="W23" i="25"/>
  <c r="J26" i="25"/>
  <c r="W31" i="25"/>
  <c r="AC21" i="22"/>
  <c r="AE21" i="22" s="1"/>
  <c r="AC22" i="22"/>
  <c r="AE22" i="22" s="1"/>
  <c r="AC26" i="22"/>
  <c r="AE26" i="22" s="1"/>
  <c r="AK32" i="24"/>
  <c r="AN32" i="24" s="1"/>
  <c r="AD25" i="24"/>
  <c r="AK21" i="24"/>
  <c r="AN21" i="24" s="1"/>
  <c r="AK25" i="24"/>
  <c r="AN25" i="24" s="1"/>
  <c r="AK31" i="24"/>
  <c r="AN31" i="24" s="1"/>
  <c r="AK30" i="24"/>
  <c r="AN30" i="24" s="1"/>
  <c r="AF39" i="23"/>
  <c r="AI39" i="23" s="1"/>
  <c r="S22" i="23"/>
  <c r="G4" i="23" s="1"/>
  <c r="Z40" i="11"/>
  <c r="K38" i="11"/>
  <c r="Z36" i="11"/>
  <c r="V24" i="11"/>
  <c r="Z25" i="11"/>
  <c r="AF27" i="23"/>
  <c r="AI27" i="23" s="1"/>
  <c r="AF35" i="23"/>
  <c r="AI35" i="23" s="1"/>
  <c r="AC18" i="22"/>
  <c r="AE18" i="22" s="1"/>
  <c r="AC23" i="22"/>
  <c r="AE23" i="22" s="1"/>
  <c r="W19" i="11"/>
  <c r="Z19" i="11" s="1"/>
  <c r="V32" i="11"/>
  <c r="W19" i="25"/>
  <c r="K30" i="11"/>
  <c r="T21" i="23"/>
  <c r="AF25" i="23"/>
  <c r="AI25" i="23" s="1"/>
  <c r="AF33" i="23"/>
  <c r="AI33" i="23" s="1"/>
  <c r="AF41" i="23"/>
  <c r="AI41" i="23" s="1"/>
  <c r="AC24" i="22"/>
  <c r="AE24" i="22" s="1"/>
  <c r="AC28" i="22"/>
  <c r="AE28" i="22" s="1"/>
  <c r="J19" i="25"/>
  <c r="S21" i="25"/>
  <c r="S25" i="25"/>
  <c r="S29" i="25"/>
  <c r="L27" i="11"/>
  <c r="Z27" i="11" s="1"/>
  <c r="Z37" i="11"/>
  <c r="AF28" i="23"/>
  <c r="AI28" i="23" s="1"/>
  <c r="AF36" i="23"/>
  <c r="AI36" i="23" s="1"/>
  <c r="Z30" i="11"/>
  <c r="AC27" i="22"/>
  <c r="AE27" i="22" s="1"/>
  <c r="AC25" i="22"/>
  <c r="AE25" i="22" s="1"/>
  <c r="AC29" i="22"/>
  <c r="AE29" i="22" s="1"/>
  <c r="W16" i="25"/>
  <c r="AF29" i="23"/>
  <c r="AI29" i="23" s="1"/>
  <c r="AF37" i="23"/>
  <c r="AI37" i="23" s="1"/>
  <c r="Z29" i="11"/>
  <c r="L35" i="11"/>
  <c r="Z35" i="11" s="1"/>
  <c r="Z24" i="11"/>
  <c r="W26" i="11"/>
  <c r="Z26" i="11" s="1"/>
  <c r="Z32" i="11"/>
  <c r="W34" i="11"/>
  <c r="Z34" i="11" s="1"/>
  <c r="V40" i="11"/>
  <c r="W31" i="11"/>
  <c r="Z31" i="11" s="1"/>
  <c r="V30" i="11"/>
  <c r="V23" i="11"/>
  <c r="W39" i="11"/>
  <c r="Z39" i="11" s="1"/>
  <c r="J20" i="11"/>
  <c r="K26" i="11"/>
  <c r="Y26" i="11" s="1"/>
  <c r="K28" i="11"/>
  <c r="Z38" i="11"/>
  <c r="K34" i="11"/>
  <c r="Y34" i="11" s="1"/>
  <c r="K36" i="11"/>
  <c r="W18" i="25"/>
  <c r="N7" i="25"/>
  <c r="J18" i="25"/>
  <c r="Z23" i="11"/>
  <c r="V22" i="11"/>
  <c r="U20" i="11"/>
  <c r="K22" i="11"/>
  <c r="Z22" i="11"/>
  <c r="AH34" i="24"/>
  <c r="O18" i="24"/>
  <c r="AH22" i="24"/>
  <c r="AH29" i="24"/>
  <c r="AI29" i="24" s="1"/>
  <c r="AK29" i="24" s="1"/>
  <c r="AN29" i="24" s="1"/>
  <c r="AH31" i="24"/>
  <c r="AI31" i="24" s="1"/>
  <c r="AH24" i="24"/>
  <c r="AH30" i="24"/>
  <c r="AH25" i="24"/>
  <c r="AH26" i="24"/>
  <c r="AI26" i="24" s="1"/>
  <c r="AK26" i="24" s="1"/>
  <c r="AN26" i="24" s="1"/>
  <c r="AH33" i="24"/>
  <c r="AH27" i="24"/>
  <c r="AH32" i="24"/>
  <c r="AI32" i="24" s="1"/>
  <c r="AU20" i="24"/>
  <c r="W30" i="24"/>
  <c r="AH21" i="24"/>
  <c r="W27" i="24"/>
  <c r="W28" i="24"/>
  <c r="AH18" i="24"/>
  <c r="AH23" i="24"/>
  <c r="AI23" i="24" s="1"/>
  <c r="AK23" i="24" s="1"/>
  <c r="AN23" i="24" s="1"/>
  <c r="W24" i="24"/>
  <c r="AH28" i="24"/>
  <c r="AI28" i="24" s="1"/>
  <c r="AL28" i="24" s="1"/>
  <c r="W25" i="24"/>
  <c r="W31" i="24"/>
  <c r="V20" i="24"/>
  <c r="V19" i="24" s="1"/>
  <c r="G5" i="24" s="1"/>
  <c r="S18" i="25"/>
  <c r="Q18" i="11"/>
  <c r="Z28" i="11"/>
  <c r="Z33" i="11"/>
  <c r="Z18" i="11"/>
  <c r="V21" i="11"/>
  <c r="K25" i="11"/>
  <c r="V29" i="11"/>
  <c r="K33" i="11"/>
  <c r="V37" i="11"/>
  <c r="W21" i="11"/>
  <c r="K19" i="11"/>
  <c r="K23" i="11"/>
  <c r="V27" i="11"/>
  <c r="Y27" i="11" s="1"/>
  <c r="K31" i="11"/>
  <c r="Y31" i="11" s="1"/>
  <c r="V35" i="11"/>
  <c r="Y35" i="11" s="1"/>
  <c r="K39" i="11"/>
  <c r="Y39" i="11" s="1"/>
  <c r="V38" i="11"/>
  <c r="F18" i="11"/>
  <c r="K21" i="11"/>
  <c r="V25" i="11"/>
  <c r="K29" i="11"/>
  <c r="V33" i="11"/>
  <c r="K37" i="11"/>
  <c r="L18" i="11"/>
  <c r="L21" i="11"/>
  <c r="K24" i="11"/>
  <c r="V28" i="11"/>
  <c r="K32" i="11"/>
  <c r="V36" i="11"/>
  <c r="K40" i="11"/>
  <c r="F5" i="11"/>
  <c r="S16" i="25"/>
  <c r="J20" i="25"/>
  <c r="J24" i="25"/>
  <c r="J28" i="25"/>
  <c r="J32" i="25"/>
  <c r="J21" i="25"/>
  <c r="S23" i="25"/>
  <c r="J25" i="25"/>
  <c r="S27" i="25"/>
  <c r="J29" i="25"/>
  <c r="S31" i="25"/>
  <c r="J16" i="25"/>
  <c r="N7" i="22"/>
  <c r="O7" i="22" s="1"/>
  <c r="AC20" i="22"/>
  <c r="G4" i="22"/>
  <c r="S7" i="24"/>
  <c r="AH20" i="24"/>
  <c r="AU25" i="24"/>
  <c r="W29" i="24"/>
  <c r="W22" i="24"/>
  <c r="W33" i="24"/>
  <c r="W21" i="24"/>
  <c r="AD18" i="24"/>
  <c r="W32" i="24"/>
  <c r="W20" i="24"/>
  <c r="W26" i="24"/>
  <c r="W34" i="24"/>
  <c r="W23" i="24"/>
  <c r="AU28" i="24"/>
  <c r="Q8" i="23"/>
  <c r="R8" i="23"/>
  <c r="AI30" i="23"/>
  <c r="AI38" i="23"/>
  <c r="AG21" i="23"/>
  <c r="AF21" i="23"/>
  <c r="AI26" i="23"/>
  <c r="AI42" i="23"/>
  <c r="AG41" i="23"/>
  <c r="AG39" i="23"/>
  <c r="AG37" i="23"/>
  <c r="AG35" i="23"/>
  <c r="AG33" i="23"/>
  <c r="AG31" i="23"/>
  <c r="AG29" i="23"/>
  <c r="AG27" i="23"/>
  <c r="AG25" i="23"/>
  <c r="AG23" i="23"/>
  <c r="T42" i="23"/>
  <c r="T40" i="23"/>
  <c r="T38" i="23"/>
  <c r="T36" i="23"/>
  <c r="T34" i="23"/>
  <c r="T32" i="23"/>
  <c r="T30" i="23"/>
  <c r="T28" i="23"/>
  <c r="T26" i="23"/>
  <c r="T24" i="23"/>
  <c r="AG42" i="23"/>
  <c r="AG40" i="23"/>
  <c r="AG38" i="23"/>
  <c r="AG36" i="23"/>
  <c r="AG34" i="23"/>
  <c r="AG32" i="23"/>
  <c r="AG30" i="23"/>
  <c r="AG28" i="23"/>
  <c r="AG26" i="23"/>
  <c r="AG24" i="23"/>
  <c r="T41" i="23"/>
  <c r="T39" i="23"/>
  <c r="T37" i="23"/>
  <c r="T35" i="23"/>
  <c r="T33" i="23"/>
  <c r="T31" i="23"/>
  <c r="T29" i="23"/>
  <c r="T27" i="23"/>
  <c r="T25" i="23"/>
  <c r="T23" i="23"/>
  <c r="AI32" i="23"/>
  <c r="S21" i="23"/>
  <c r="Z39" i="9"/>
  <c r="W39" i="9"/>
  <c r="F39" i="9"/>
  <c r="Q39" i="9" s="1"/>
  <c r="Z38" i="9"/>
  <c r="W38" i="9"/>
  <c r="F38" i="9"/>
  <c r="Q38" i="9" s="1"/>
  <c r="Z37" i="9"/>
  <c r="W37" i="9"/>
  <c r="F37" i="9"/>
  <c r="Q37" i="9" s="1"/>
  <c r="Z36" i="9"/>
  <c r="W36" i="9"/>
  <c r="F36" i="9"/>
  <c r="Q36" i="9" s="1"/>
  <c r="Z35" i="9"/>
  <c r="W35" i="9"/>
  <c r="F35" i="9"/>
  <c r="Q35" i="9" s="1"/>
  <c r="Z34" i="9"/>
  <c r="W34" i="9"/>
  <c r="F34" i="9"/>
  <c r="Q34" i="9" s="1"/>
  <c r="Z33" i="9"/>
  <c r="W33" i="9"/>
  <c r="F33" i="9"/>
  <c r="Q33" i="9" s="1"/>
  <c r="Z32" i="9"/>
  <c r="W32" i="9"/>
  <c r="F32" i="9"/>
  <c r="Q32" i="9" s="1"/>
  <c r="Z31" i="9"/>
  <c r="W31" i="9"/>
  <c r="F31" i="9"/>
  <c r="Q31" i="9" s="1"/>
  <c r="Z30" i="9"/>
  <c r="W30" i="9"/>
  <c r="F30" i="9"/>
  <c r="Q30" i="9" s="1"/>
  <c r="Z29" i="9"/>
  <c r="W29" i="9"/>
  <c r="AA29" i="9" s="1"/>
  <c r="F29" i="9"/>
  <c r="Q29" i="9" s="1"/>
  <c r="Z28" i="9"/>
  <c r="W28" i="9"/>
  <c r="F28" i="9"/>
  <c r="Q28" i="9" s="1"/>
  <c r="Z27" i="9"/>
  <c r="W27" i="9"/>
  <c r="F27" i="9"/>
  <c r="Q27" i="9" s="1"/>
  <c r="Z26" i="9"/>
  <c r="W26" i="9"/>
  <c r="F26" i="9"/>
  <c r="Q26" i="9" s="1"/>
  <c r="Z25" i="9"/>
  <c r="W25" i="9"/>
  <c r="F25" i="9"/>
  <c r="Q25" i="9" s="1"/>
  <c r="Z24" i="9"/>
  <c r="W24" i="9"/>
  <c r="AA24" i="9" s="1"/>
  <c r="F24" i="9"/>
  <c r="Q24" i="9" s="1"/>
  <c r="Z23" i="9"/>
  <c r="W23" i="9"/>
  <c r="F23" i="9"/>
  <c r="Q23" i="9" s="1"/>
  <c r="Z22" i="9"/>
  <c r="AA22" i="9" s="1"/>
  <c r="F22" i="9"/>
  <c r="Q22" i="9" s="1"/>
  <c r="Z21" i="9"/>
  <c r="W21" i="9"/>
  <c r="F21" i="9"/>
  <c r="Q21" i="9" s="1"/>
  <c r="Z20" i="9"/>
  <c r="W20" i="9"/>
  <c r="F20" i="9"/>
  <c r="Q20" i="9" s="1"/>
  <c r="Z18" i="9"/>
  <c r="W18" i="9"/>
  <c r="F18" i="9"/>
  <c r="D34" i="14"/>
  <c r="D25" i="14"/>
  <c r="D40" i="14"/>
  <c r="U26" i="25" l="1"/>
  <c r="AJ21" i="23"/>
  <c r="U30" i="25"/>
  <c r="AC19" i="22"/>
  <c r="H4" i="22" s="1"/>
  <c r="AI25" i="24"/>
  <c r="AJ25" i="24" s="1"/>
  <c r="AM25" i="24" s="1"/>
  <c r="AI34" i="24"/>
  <c r="AK34" i="24" s="1"/>
  <c r="AN34" i="24" s="1"/>
  <c r="AI22" i="24"/>
  <c r="AJ22" i="24" s="1"/>
  <c r="AI21" i="24"/>
  <c r="AL21" i="24" s="1"/>
  <c r="AI30" i="24"/>
  <c r="AJ30" i="24" s="1"/>
  <c r="AM30" i="24" s="1"/>
  <c r="S19" i="24"/>
  <c r="AI24" i="24"/>
  <c r="AL24" i="24" s="1"/>
  <c r="AI33" i="24"/>
  <c r="AK33" i="24" s="1"/>
  <c r="AN33" i="24" s="1"/>
  <c r="AA27" i="9"/>
  <c r="AC27" i="9" s="1"/>
  <c r="AA33" i="9"/>
  <c r="AJ45" i="23"/>
  <c r="AJ44" i="23"/>
  <c r="AJ50" i="23"/>
  <c r="AJ52" i="23"/>
  <c r="AJ47" i="23"/>
  <c r="AJ48" i="23"/>
  <c r="AJ43" i="23"/>
  <c r="AJ51" i="23"/>
  <c r="AJ46" i="23"/>
  <c r="AJ49" i="23"/>
  <c r="AA18" i="9"/>
  <c r="AA32" i="9"/>
  <c r="AC32" i="9" s="1"/>
  <c r="AA30" i="9"/>
  <c r="AC30" i="9" s="1"/>
  <c r="AA35" i="9"/>
  <c r="AC35" i="9" s="1"/>
  <c r="Q19" i="9"/>
  <c r="G4" i="9" s="1"/>
  <c r="AA36" i="9"/>
  <c r="AC36" i="9" s="1"/>
  <c r="Q18" i="9"/>
  <c r="AA26" i="9"/>
  <c r="AC26" i="9" s="1"/>
  <c r="U19" i="25"/>
  <c r="AK22" i="24"/>
  <c r="AN22" i="24" s="1"/>
  <c r="AK28" i="24"/>
  <c r="AN28" i="24" s="1"/>
  <c r="AK24" i="24"/>
  <c r="AN24" i="24" s="1"/>
  <c r="AI27" i="24"/>
  <c r="AJ27" i="24" s="1"/>
  <c r="AM27" i="24" s="1"/>
  <c r="AF22" i="23"/>
  <c r="H4" i="23" s="1"/>
  <c r="AG22" i="23"/>
  <c r="H5" i="23" s="1"/>
  <c r="AI22" i="23"/>
  <c r="T22" i="23"/>
  <c r="G5" i="23" s="1"/>
  <c r="AA38" i="9"/>
  <c r="AC38" i="9" s="1"/>
  <c r="Y32" i="11"/>
  <c r="Y23" i="11"/>
  <c r="Y24" i="11"/>
  <c r="Y29" i="11"/>
  <c r="Y22" i="11"/>
  <c r="Y30" i="11"/>
  <c r="AA39" i="9"/>
  <c r="AC39" i="9" s="1"/>
  <c r="AA25" i="9"/>
  <c r="AC25" i="9" s="1"/>
  <c r="AA31" i="9"/>
  <c r="AC31" i="9" s="1"/>
  <c r="S7" i="23"/>
  <c r="W17" i="25"/>
  <c r="AA34" i="9"/>
  <c r="AC34" i="9" s="1"/>
  <c r="AA28" i="9"/>
  <c r="AC28" i="9" s="1"/>
  <c r="AA37" i="9"/>
  <c r="AC37" i="9" s="1"/>
  <c r="U18" i="25"/>
  <c r="W20" i="11"/>
  <c r="H5" i="11" s="1"/>
  <c r="Y37" i="11"/>
  <c r="Y40" i="11"/>
  <c r="AA23" i="9"/>
  <c r="AC23" i="9" s="1"/>
  <c r="AA21" i="9"/>
  <c r="AC21" i="9" s="1"/>
  <c r="AL31" i="24"/>
  <c r="AJ31" i="24"/>
  <c r="AL29" i="24"/>
  <c r="AJ29" i="24"/>
  <c r="AM29" i="24" s="1"/>
  <c r="W18" i="24"/>
  <c r="AI18" i="24"/>
  <c r="AK18" i="24" s="1"/>
  <c r="V18" i="24"/>
  <c r="AL22" i="24"/>
  <c r="AJ28" i="24"/>
  <c r="AM28" i="24" s="1"/>
  <c r="AD20" i="24"/>
  <c r="AI20" i="24" s="1"/>
  <c r="AJ21" i="24"/>
  <c r="AM21" i="24" s="1"/>
  <c r="AL23" i="24"/>
  <c r="AJ23" i="24"/>
  <c r="AM23" i="24" s="1"/>
  <c r="AA20" i="9"/>
  <c r="Y19" i="11"/>
  <c r="Y33" i="11"/>
  <c r="Y38" i="11"/>
  <c r="Z21" i="11"/>
  <c r="Z20" i="11" s="1"/>
  <c r="L20" i="11"/>
  <c r="G5" i="11" s="1"/>
  <c r="Y36" i="11"/>
  <c r="Y21" i="11"/>
  <c r="K20" i="11"/>
  <c r="G4" i="11" s="1"/>
  <c r="Y25" i="11"/>
  <c r="V20" i="11"/>
  <c r="H4" i="11" s="1"/>
  <c r="Y28" i="11"/>
  <c r="U23" i="25"/>
  <c r="U20" i="25"/>
  <c r="U16" i="25"/>
  <c r="U31" i="25"/>
  <c r="U29" i="25"/>
  <c r="J17" i="25"/>
  <c r="G4" i="25" s="1"/>
  <c r="U27" i="25"/>
  <c r="U32" i="25"/>
  <c r="U28" i="25"/>
  <c r="U21" i="25"/>
  <c r="U25" i="25"/>
  <c r="U24" i="25"/>
  <c r="S17" i="25"/>
  <c r="H4" i="25" s="1"/>
  <c r="G7" i="22"/>
  <c r="G6" i="22"/>
  <c r="AE20" i="22"/>
  <c r="AE19" i="22" s="1"/>
  <c r="AJ34" i="24"/>
  <c r="AM34" i="24" s="1"/>
  <c r="AL34" i="24"/>
  <c r="AJ26" i="24"/>
  <c r="AM26" i="24" s="1"/>
  <c r="AL26" i="24"/>
  <c r="W19" i="24"/>
  <c r="G6" i="24" s="1"/>
  <c r="AM31" i="24"/>
  <c r="AL32" i="24"/>
  <c r="AJ32" i="24"/>
  <c r="AM32" i="24" s="1"/>
  <c r="AM22" i="24"/>
  <c r="AJ25" i="23"/>
  <c r="AJ34" i="23"/>
  <c r="AJ41" i="23"/>
  <c r="AJ27" i="23"/>
  <c r="AJ36" i="23"/>
  <c r="AJ31" i="23"/>
  <c r="AJ38" i="23"/>
  <c r="AI21" i="23"/>
  <c r="AJ33" i="23"/>
  <c r="AJ42" i="23"/>
  <c r="AJ35" i="23"/>
  <c r="AJ28" i="23"/>
  <c r="AJ24" i="23"/>
  <c r="AJ37" i="23"/>
  <c r="AJ30" i="23"/>
  <c r="AJ29" i="23"/>
  <c r="AJ40" i="23"/>
  <c r="AJ26" i="23"/>
  <c r="AJ23" i="23"/>
  <c r="AJ39" i="23"/>
  <c r="AJ32" i="23"/>
  <c r="AC24" i="9"/>
  <c r="AC33" i="9"/>
  <c r="AC22" i="9"/>
  <c r="AC29" i="9"/>
  <c r="D35" i="14"/>
  <c r="E25" i="14"/>
  <c r="E47" i="14"/>
  <c r="D47" i="14"/>
  <c r="D18" i="14"/>
  <c r="E26" i="14"/>
  <c r="D42" i="14"/>
  <c r="D43" i="14"/>
  <c r="E40" i="14"/>
  <c r="D26" i="14"/>
  <c r="AL25" i="24" l="1"/>
  <c r="AJ33" i="24"/>
  <c r="AM33" i="24" s="1"/>
  <c r="I4" i="23"/>
  <c r="J4" i="23" s="1"/>
  <c r="AL30" i="24"/>
  <c r="AL33" i="24"/>
  <c r="AJ24" i="24"/>
  <c r="AM24" i="24" s="1"/>
  <c r="AK20" i="24"/>
  <c r="AN20" i="24" s="1"/>
  <c r="AI19" i="24"/>
  <c r="G8" i="23"/>
  <c r="I5" i="23"/>
  <c r="G7" i="23"/>
  <c r="AC18" i="9"/>
  <c r="AA19" i="9"/>
  <c r="H4" i="9" s="1"/>
  <c r="AL27" i="24"/>
  <c r="AK27" i="24"/>
  <c r="AN27" i="24" s="1"/>
  <c r="AJ22" i="23"/>
  <c r="U17" i="25"/>
  <c r="Y20" i="11"/>
  <c r="H8" i="11"/>
  <c r="G8" i="11"/>
  <c r="AL18" i="24"/>
  <c r="AN18" i="24"/>
  <c r="AL20" i="24"/>
  <c r="AC20" i="9"/>
  <c r="AC19" i="9" s="1"/>
  <c r="G7" i="9"/>
  <c r="G6" i="9"/>
  <c r="H7" i="25"/>
  <c r="H6" i="25"/>
  <c r="G7" i="25"/>
  <c r="G6" i="25"/>
  <c r="H7" i="11"/>
  <c r="G7" i="11"/>
  <c r="I5" i="11"/>
  <c r="J5" i="11" s="1"/>
  <c r="I4" i="11"/>
  <c r="J4" i="11" s="1"/>
  <c r="I4" i="25"/>
  <c r="H7" i="22"/>
  <c r="H6" i="22"/>
  <c r="I4" i="22"/>
  <c r="H8" i="23"/>
  <c r="H7" i="23"/>
  <c r="S7" i="9"/>
  <c r="E42" i="14"/>
  <c r="E29" i="14"/>
  <c r="F40" i="14"/>
  <c r="F47" i="14"/>
  <c r="D50" i="14"/>
  <c r="G25" i="14"/>
  <c r="F25" i="14"/>
  <c r="E49" i="14"/>
  <c r="D28" i="14"/>
  <c r="D20" i="14"/>
  <c r="E43" i="14"/>
  <c r="E50" i="14"/>
  <c r="F26" i="14"/>
  <c r="E18" i="14"/>
  <c r="D21" i="14"/>
  <c r="D29" i="14"/>
  <c r="E28" i="14"/>
  <c r="D49" i="14"/>
  <c r="H7" i="9" l="1"/>
  <c r="I7" i="9" s="1"/>
  <c r="J4" i="22"/>
  <c r="I7" i="22"/>
  <c r="J4" i="25"/>
  <c r="J5" i="23"/>
  <c r="AL19" i="24"/>
  <c r="H6" i="24" s="1"/>
  <c r="AK19" i="24"/>
  <c r="H5" i="24" s="1"/>
  <c r="AN19" i="24"/>
  <c r="I7" i="23"/>
  <c r="I8" i="23"/>
  <c r="I7" i="25"/>
  <c r="I4" i="9"/>
  <c r="H6" i="9"/>
  <c r="I6" i="25"/>
  <c r="I7" i="11"/>
  <c r="J7" i="11" s="1"/>
  <c r="I8" i="11"/>
  <c r="J8" i="11" s="1"/>
  <c r="I6" i="22"/>
  <c r="F50" i="14"/>
  <c r="E35" i="14"/>
  <c r="E34" i="14"/>
  <c r="F49" i="14"/>
  <c r="E20" i="14"/>
  <c r="F18" i="14"/>
  <c r="G47" i="14"/>
  <c r="G40" i="14"/>
  <c r="F42" i="14"/>
  <c r="F29" i="14"/>
  <c r="F43" i="14"/>
  <c r="F21" i="14"/>
  <c r="E21" i="14"/>
  <c r="G26" i="14"/>
  <c r="F28" i="14"/>
  <c r="J7" i="9" l="1"/>
  <c r="J4" i="9"/>
  <c r="I6" i="24"/>
  <c r="J6" i="24" s="1"/>
  <c r="J7" i="22"/>
  <c r="J6" i="22"/>
  <c r="J6" i="25"/>
  <c r="J7" i="25"/>
  <c r="J7" i="23"/>
  <c r="J8" i="23"/>
  <c r="I6" i="9"/>
  <c r="I5" i="24"/>
  <c r="I30" i="4"/>
  <c r="H30" i="4"/>
  <c r="D30" i="4"/>
  <c r="I29" i="4"/>
  <c r="H29" i="4"/>
  <c r="D29" i="4"/>
  <c r="I28" i="4"/>
  <c r="H28" i="4"/>
  <c r="D28" i="4"/>
  <c r="I27" i="4"/>
  <c r="H27" i="4"/>
  <c r="D27" i="4"/>
  <c r="I26" i="4"/>
  <c r="H26" i="4"/>
  <c r="D26" i="4"/>
  <c r="I25" i="4"/>
  <c r="G10" i="23" s="1"/>
  <c r="H25" i="4"/>
  <c r="D25" i="4"/>
  <c r="I24" i="4"/>
  <c r="H24" i="4"/>
  <c r="D24" i="4"/>
  <c r="I23" i="4"/>
  <c r="H23" i="4"/>
  <c r="D23" i="4"/>
  <c r="I22" i="4"/>
  <c r="H22" i="4"/>
  <c r="D22" i="4"/>
  <c r="I21" i="4"/>
  <c r="H21" i="4"/>
  <c r="D21" i="4"/>
  <c r="I20" i="4"/>
  <c r="H20" i="4"/>
  <c r="D20" i="4"/>
  <c r="I19" i="4"/>
  <c r="H19" i="4"/>
  <c r="D19" i="4"/>
  <c r="I18" i="4"/>
  <c r="H18" i="4"/>
  <c r="D18" i="4"/>
  <c r="I17" i="4"/>
  <c r="H17" i="4"/>
  <c r="D17" i="4"/>
  <c r="I16" i="4"/>
  <c r="H16" i="4"/>
  <c r="D16" i="4"/>
  <c r="I15" i="4"/>
  <c r="H15" i="4"/>
  <c r="AB6" i="23" s="1"/>
  <c r="D15" i="4"/>
  <c r="I14" i="4"/>
  <c r="H14" i="4"/>
  <c r="D14" i="4"/>
  <c r="I13" i="4"/>
  <c r="H13" i="4"/>
  <c r="D13" i="4"/>
  <c r="I12" i="4"/>
  <c r="H12" i="4"/>
  <c r="D12" i="4"/>
  <c r="I11" i="4"/>
  <c r="H11" i="4"/>
  <c r="D11" i="4"/>
  <c r="I10" i="4"/>
  <c r="H10" i="4"/>
  <c r="D10" i="4"/>
  <c r="I9" i="4"/>
  <c r="H9" i="4"/>
  <c r="D9" i="4"/>
  <c r="I8" i="4"/>
  <c r="H8" i="4"/>
  <c r="D8" i="4"/>
  <c r="I7" i="4"/>
  <c r="F10" i="11" s="1"/>
  <c r="H7" i="4"/>
  <c r="D7" i="4"/>
  <c r="I6" i="4"/>
  <c r="H6" i="4"/>
  <c r="D6" i="4"/>
  <c r="I5" i="4"/>
  <c r="H5" i="4"/>
  <c r="D5" i="4"/>
  <c r="I4" i="4"/>
  <c r="H4" i="4"/>
  <c r="D4" i="4"/>
  <c r="I3" i="4"/>
  <c r="H3" i="4"/>
  <c r="D3" i="4"/>
  <c r="Q67" i="8"/>
  <c r="P67" i="8"/>
  <c r="J67" i="8"/>
  <c r="K67" i="8" s="1"/>
  <c r="Q66" i="8"/>
  <c r="P66" i="8"/>
  <c r="J66" i="8"/>
  <c r="K66" i="8" s="1"/>
  <c r="Q65" i="8"/>
  <c r="P65" i="8"/>
  <c r="J65" i="8"/>
  <c r="K65" i="8" s="1"/>
  <c r="Q64" i="8"/>
  <c r="P64" i="8"/>
  <c r="J64" i="8"/>
  <c r="K64" i="8" s="1"/>
  <c r="Q63" i="8"/>
  <c r="P63" i="8"/>
  <c r="J63" i="8"/>
  <c r="K63" i="8" s="1"/>
  <c r="Q62" i="8"/>
  <c r="P62" i="8"/>
  <c r="J62" i="8"/>
  <c r="K62" i="8" s="1"/>
  <c r="Q61" i="8"/>
  <c r="P61" i="8"/>
  <c r="J61" i="8"/>
  <c r="K61" i="8" s="1"/>
  <c r="Q60" i="8"/>
  <c r="P60" i="8"/>
  <c r="J60" i="8"/>
  <c r="K60" i="8" s="1"/>
  <c r="Q59" i="8"/>
  <c r="P59" i="8"/>
  <c r="J59" i="8"/>
  <c r="K59" i="8" s="1"/>
  <c r="Q58" i="8"/>
  <c r="P58" i="8"/>
  <c r="J58" i="8"/>
  <c r="K58" i="8" s="1"/>
  <c r="Q57" i="8"/>
  <c r="P57" i="8"/>
  <c r="J57" i="8"/>
  <c r="K57" i="8" s="1"/>
  <c r="Q56" i="8"/>
  <c r="P56" i="8"/>
  <c r="J56" i="8"/>
  <c r="K56" i="8" s="1"/>
  <c r="Q55" i="8"/>
  <c r="P55" i="8"/>
  <c r="J55" i="8"/>
  <c r="K55" i="8" s="1"/>
  <c r="Q54" i="8"/>
  <c r="P54" i="8"/>
  <c r="J54" i="8"/>
  <c r="K54" i="8" s="1"/>
  <c r="Q53" i="8"/>
  <c r="T53" i="8" s="1"/>
  <c r="U53" i="8" s="1"/>
  <c r="P53" i="8"/>
  <c r="J53" i="8"/>
  <c r="K53" i="8" s="1"/>
  <c r="Q52" i="8"/>
  <c r="P52" i="8"/>
  <c r="J52" i="8"/>
  <c r="K52" i="8" s="1"/>
  <c r="Q51" i="8"/>
  <c r="P51" i="8"/>
  <c r="J51" i="8"/>
  <c r="K51" i="8" s="1"/>
  <c r="Q50" i="8"/>
  <c r="P50" i="8"/>
  <c r="J50" i="8"/>
  <c r="K50" i="8" s="1"/>
  <c r="Q49" i="8"/>
  <c r="P49" i="8"/>
  <c r="J49" i="8"/>
  <c r="K49" i="8" s="1"/>
  <c r="Q48" i="8"/>
  <c r="P48" i="8"/>
  <c r="J48" i="8"/>
  <c r="K48" i="8" s="1"/>
  <c r="Q47" i="8"/>
  <c r="P47" i="8"/>
  <c r="J47" i="8"/>
  <c r="K47" i="8" s="1"/>
  <c r="Q46" i="8"/>
  <c r="P46" i="8"/>
  <c r="J46" i="8"/>
  <c r="K46" i="8" s="1"/>
  <c r="Q45" i="8"/>
  <c r="P45" i="8"/>
  <c r="J45" i="8"/>
  <c r="K45" i="8" s="1"/>
  <c r="Q44" i="8"/>
  <c r="P44" i="8"/>
  <c r="J44" i="8"/>
  <c r="K44" i="8" s="1"/>
  <c r="Q43" i="8"/>
  <c r="P43" i="8"/>
  <c r="J43" i="8"/>
  <c r="K43" i="8" s="1"/>
  <c r="Q42" i="8"/>
  <c r="P42" i="8"/>
  <c r="J42" i="8"/>
  <c r="K42" i="8" s="1"/>
  <c r="Q41" i="8"/>
  <c r="P41" i="8"/>
  <c r="J41" i="8"/>
  <c r="K41" i="8" s="1"/>
  <c r="Q40" i="8"/>
  <c r="P40" i="8"/>
  <c r="J40" i="8"/>
  <c r="K40" i="8" s="1"/>
  <c r="Q39" i="8"/>
  <c r="P39" i="8"/>
  <c r="J39" i="8"/>
  <c r="K39" i="8" s="1"/>
  <c r="Q38" i="8"/>
  <c r="P38" i="8"/>
  <c r="J38" i="8"/>
  <c r="K38" i="8" s="1"/>
  <c r="Q37" i="8"/>
  <c r="P37" i="8"/>
  <c r="J37" i="8"/>
  <c r="K37" i="8" s="1"/>
  <c r="Q36" i="8"/>
  <c r="P36" i="8"/>
  <c r="J36" i="8"/>
  <c r="K36" i="8" s="1"/>
  <c r="Q35" i="8"/>
  <c r="P35" i="8"/>
  <c r="J35" i="8"/>
  <c r="K35" i="8" s="1"/>
  <c r="Q34" i="8"/>
  <c r="P34" i="8"/>
  <c r="J34" i="8"/>
  <c r="K34" i="8" s="1"/>
  <c r="Q33" i="8"/>
  <c r="P33" i="8"/>
  <c r="J33" i="8"/>
  <c r="K33" i="8" s="1"/>
  <c r="Q32" i="8"/>
  <c r="P32" i="8"/>
  <c r="J32" i="8"/>
  <c r="K32" i="8" s="1"/>
  <c r="Q31" i="8"/>
  <c r="P31" i="8"/>
  <c r="J31" i="8"/>
  <c r="K31" i="8" s="1"/>
  <c r="Q30" i="8"/>
  <c r="P30" i="8"/>
  <c r="J30" i="8"/>
  <c r="K30" i="8" s="1"/>
  <c r="Q29" i="8"/>
  <c r="P29" i="8"/>
  <c r="J29" i="8"/>
  <c r="K29" i="8" s="1"/>
  <c r="Q28" i="8"/>
  <c r="P28" i="8"/>
  <c r="J28" i="8"/>
  <c r="K28" i="8" s="1"/>
  <c r="Q27" i="8"/>
  <c r="P27" i="8"/>
  <c r="J27" i="8"/>
  <c r="K27" i="8" s="1"/>
  <c r="Q26" i="8"/>
  <c r="P26" i="8"/>
  <c r="J26" i="8"/>
  <c r="K26" i="8" s="1"/>
  <c r="Q25" i="8"/>
  <c r="P25" i="8"/>
  <c r="J25" i="8"/>
  <c r="K25" i="8" s="1"/>
  <c r="Q24" i="8"/>
  <c r="P24" i="8"/>
  <c r="J24" i="8"/>
  <c r="K24" i="8" s="1"/>
  <c r="Q23" i="8"/>
  <c r="P23" i="8"/>
  <c r="J23" i="8"/>
  <c r="K23" i="8" s="1"/>
  <c r="Q22" i="8"/>
  <c r="P22" i="8"/>
  <c r="J22" i="8"/>
  <c r="K22" i="8" s="1"/>
  <c r="Q21" i="8"/>
  <c r="P21" i="8"/>
  <c r="J21" i="8"/>
  <c r="K21" i="8" s="1"/>
  <c r="Q20" i="8"/>
  <c r="P20" i="8"/>
  <c r="J20" i="8"/>
  <c r="K20" i="8" s="1"/>
  <c r="Q19" i="8"/>
  <c r="P19" i="8"/>
  <c r="J19" i="8"/>
  <c r="K19" i="8" s="1"/>
  <c r="Q18" i="8"/>
  <c r="P18" i="8"/>
  <c r="K18" i="8"/>
  <c r="Q16" i="8"/>
  <c r="P16" i="8"/>
  <c r="J16" i="8"/>
  <c r="K16" i="8" s="1"/>
  <c r="G42" i="14"/>
  <c r="G49" i="14"/>
  <c r="G29" i="14"/>
  <c r="G35" i="14"/>
  <c r="G28" i="14"/>
  <c r="F34" i="14"/>
  <c r="G21" i="14"/>
  <c r="G43" i="14"/>
  <c r="F35" i="14"/>
  <c r="G50" i="14"/>
  <c r="G18" i="14"/>
  <c r="F20" i="14"/>
  <c r="E10" i="11" l="1"/>
  <c r="P32" i="22"/>
  <c r="P34" i="22"/>
  <c r="AF34" i="22" s="1"/>
  <c r="P30" i="22"/>
  <c r="P31" i="22"/>
  <c r="L86" i="8"/>
  <c r="P33" i="22"/>
  <c r="AF33" i="22" s="1"/>
  <c r="V72" i="8"/>
  <c r="V76" i="8"/>
  <c r="L152" i="8"/>
  <c r="V185" i="8"/>
  <c r="L101" i="8"/>
  <c r="L106" i="8"/>
  <c r="V288" i="8"/>
  <c r="L149" i="8"/>
  <c r="X149" i="8" s="1"/>
  <c r="L93" i="8"/>
  <c r="R48" i="9"/>
  <c r="L182" i="8"/>
  <c r="L317" i="8"/>
  <c r="L309" i="8"/>
  <c r="R46" i="9"/>
  <c r="L117" i="8"/>
  <c r="L280" i="8"/>
  <c r="X280" i="8" s="1"/>
  <c r="L145" i="8"/>
  <c r="L154" i="8"/>
  <c r="L109" i="8"/>
  <c r="R47" i="9"/>
  <c r="AD47" i="9" s="1"/>
  <c r="L305" i="8"/>
  <c r="L272" i="8"/>
  <c r="L296" i="8"/>
  <c r="X296" i="8" s="1"/>
  <c r="L221" i="8"/>
  <c r="L237" i="8"/>
  <c r="L287" i="8"/>
  <c r="L252" i="8"/>
  <c r="X252" i="8" s="1"/>
  <c r="L220" i="8"/>
  <c r="L156" i="8"/>
  <c r="L192" i="8"/>
  <c r="L157" i="8"/>
  <c r="X157" i="8" s="1"/>
  <c r="L210" i="8"/>
  <c r="X210" i="8" s="1"/>
  <c r="L168" i="8"/>
  <c r="L137" i="8"/>
  <c r="L204" i="8"/>
  <c r="L124" i="8"/>
  <c r="L74" i="8"/>
  <c r="L222" i="8"/>
  <c r="L248" i="8"/>
  <c r="X248" i="8" s="1"/>
  <c r="V261" i="8"/>
  <c r="L177" i="8"/>
  <c r="L91" i="8"/>
  <c r="L96" i="8"/>
  <c r="X96" i="8" s="1"/>
  <c r="V251" i="8"/>
  <c r="L297" i="8"/>
  <c r="V263" i="8"/>
  <c r="L279" i="8"/>
  <c r="X279" i="8" s="1"/>
  <c r="L139" i="8"/>
  <c r="V81" i="8"/>
  <c r="L271" i="8"/>
  <c r="V143" i="8"/>
  <c r="L300" i="8"/>
  <c r="AD30" i="22"/>
  <c r="L159" i="8"/>
  <c r="L133" i="8"/>
  <c r="L304" i="8"/>
  <c r="V266" i="8"/>
  <c r="L215" i="8"/>
  <c r="V111" i="8"/>
  <c r="L259" i="8"/>
  <c r="V309" i="8"/>
  <c r="V110" i="8"/>
  <c r="R45" i="9"/>
  <c r="L196" i="8"/>
  <c r="L281" i="8"/>
  <c r="L261" i="8"/>
  <c r="L226" i="8"/>
  <c r="L278" i="8"/>
  <c r="L233" i="8"/>
  <c r="L274" i="8"/>
  <c r="L246" i="8"/>
  <c r="X246" i="8" s="1"/>
  <c r="L219" i="8"/>
  <c r="X219" i="8" s="1"/>
  <c r="L181" i="8"/>
  <c r="L151" i="8"/>
  <c r="L200" i="8"/>
  <c r="X200" i="8" s="1"/>
  <c r="L77" i="8"/>
  <c r="X77" i="8" s="1"/>
  <c r="V265" i="8"/>
  <c r="L263" i="8"/>
  <c r="X263" i="8" s="1"/>
  <c r="V294" i="8"/>
  <c r="L195" i="8"/>
  <c r="L134" i="8"/>
  <c r="V296" i="8"/>
  <c r="V226" i="8"/>
  <c r="V246" i="8"/>
  <c r="L141" i="8"/>
  <c r="V199" i="8"/>
  <c r="V141" i="8"/>
  <c r="L203" i="8"/>
  <c r="L125" i="8"/>
  <c r="L267" i="8"/>
  <c r="V201" i="8"/>
  <c r="L198" i="8"/>
  <c r="L102" i="8"/>
  <c r="V245" i="8"/>
  <c r="L235" i="8"/>
  <c r="X235" i="8" s="1"/>
  <c r="L303" i="8"/>
  <c r="L307" i="8"/>
  <c r="R40" i="9"/>
  <c r="L165" i="8"/>
  <c r="L288" i="8"/>
  <c r="L130" i="8"/>
  <c r="L126" i="8"/>
  <c r="L308" i="8"/>
  <c r="X308" i="8" s="1"/>
  <c r="L312" i="8"/>
  <c r="X312" i="8" s="1"/>
  <c r="L273" i="8"/>
  <c r="L302" i="8"/>
  <c r="L269" i="8"/>
  <c r="L234" i="8"/>
  <c r="X234" i="8" s="1"/>
  <c r="L238" i="8"/>
  <c r="L253" i="8"/>
  <c r="X253" i="8" s="1"/>
  <c r="L244" i="8"/>
  <c r="X244" i="8" s="1"/>
  <c r="L290" i="8"/>
  <c r="X290" i="8" s="1"/>
  <c r="L147" i="8"/>
  <c r="L161" i="8"/>
  <c r="L209" i="8"/>
  <c r="V117" i="8"/>
  <c r="L206" i="8"/>
  <c r="L104" i="8"/>
  <c r="L105" i="8"/>
  <c r="X105" i="8" s="1"/>
  <c r="L175" i="8"/>
  <c r="X175" i="8" s="1"/>
  <c r="L71" i="8"/>
  <c r="L84" i="8"/>
  <c r="L207" i="8"/>
  <c r="L155" i="8"/>
  <c r="V253" i="8"/>
  <c r="V180" i="8"/>
  <c r="L113" i="8"/>
  <c r="V274" i="8"/>
  <c r="L211" i="8"/>
  <c r="L186" i="8"/>
  <c r="L128" i="8"/>
  <c r="V242" i="8"/>
  <c r="L118" i="8"/>
  <c r="L112" i="8"/>
  <c r="L247" i="8"/>
  <c r="X247" i="8" s="1"/>
  <c r="V100" i="8"/>
  <c r="V173" i="8"/>
  <c r="L97" i="8"/>
  <c r="V235" i="8"/>
  <c r="L150" i="8"/>
  <c r="L292" i="8"/>
  <c r="R44" i="9"/>
  <c r="L114" i="8"/>
  <c r="X114" i="8" s="1"/>
  <c r="L146" i="8"/>
  <c r="X146" i="8" s="1"/>
  <c r="L276" i="8"/>
  <c r="L225" i="8"/>
  <c r="X225" i="8" s="1"/>
  <c r="L285" i="8"/>
  <c r="X285" i="8" s="1"/>
  <c r="L299" i="8"/>
  <c r="L289" i="8"/>
  <c r="L270" i="8"/>
  <c r="L218" i="8"/>
  <c r="X218" i="8" s="1"/>
  <c r="L240" i="8"/>
  <c r="X240" i="8" s="1"/>
  <c r="L173" i="8"/>
  <c r="X173" i="8" s="1"/>
  <c r="L131" i="8"/>
  <c r="L202" i="8"/>
  <c r="L80" i="8"/>
  <c r="L140" i="8"/>
  <c r="L85" i="8"/>
  <c r="L185" i="8"/>
  <c r="X185" i="8" s="1"/>
  <c r="L72" i="8"/>
  <c r="X72" i="8" s="1"/>
  <c r="L83" i="8"/>
  <c r="L81" i="8"/>
  <c r="X81" i="8" s="1"/>
  <c r="V153" i="8"/>
  <c r="V124" i="8"/>
  <c r="L251" i="8"/>
  <c r="V219" i="8"/>
  <c r="L111" i="8"/>
  <c r="X111" i="8" s="1"/>
  <c r="V204" i="8"/>
  <c r="L187" i="8"/>
  <c r="L144" i="8"/>
  <c r="L174" i="8"/>
  <c r="L231" i="8"/>
  <c r="X231" i="8" s="1"/>
  <c r="V313" i="8"/>
  <c r="L171" i="8"/>
  <c r="L90" i="8"/>
  <c r="L223" i="8"/>
  <c r="X223" i="8" s="1"/>
  <c r="V194" i="8"/>
  <c r="L283" i="8"/>
  <c r="X283" i="8" s="1"/>
  <c r="L158" i="8"/>
  <c r="L87" i="8"/>
  <c r="AB42" i="9"/>
  <c r="V73" i="8"/>
  <c r="L178" i="8"/>
  <c r="R49" i="9"/>
  <c r="AD49" i="9" s="1"/>
  <c r="L316" i="8"/>
  <c r="L291" i="8"/>
  <c r="X291" i="8" s="1"/>
  <c r="L294" i="8"/>
  <c r="L286" i="8"/>
  <c r="L266" i="8"/>
  <c r="X266" i="8" s="1"/>
  <c r="L264" i="8"/>
  <c r="L232" i="8"/>
  <c r="L160" i="8"/>
  <c r="X160" i="8" s="1"/>
  <c r="L201" i="8"/>
  <c r="L92" i="8"/>
  <c r="L216" i="8"/>
  <c r="X216" i="8" s="1"/>
  <c r="L135" i="8"/>
  <c r="L78" i="8"/>
  <c r="L73" i="8"/>
  <c r="X73" i="8" s="1"/>
  <c r="L68" i="8"/>
  <c r="X68" i="8" s="1"/>
  <c r="L275" i="8"/>
  <c r="X275" i="8" s="1"/>
  <c r="V96" i="8"/>
  <c r="L98" i="8"/>
  <c r="V301" i="8"/>
  <c r="L167" i="8"/>
  <c r="L190" i="8"/>
  <c r="V107" i="8"/>
  <c r="L110" i="8"/>
  <c r="X110" i="8" s="1"/>
  <c r="V191" i="8"/>
  <c r="L100" i="8"/>
  <c r="L301" i="8"/>
  <c r="L191" i="8"/>
  <c r="L94" i="8"/>
  <c r="L315" i="8"/>
  <c r="L229" i="8"/>
  <c r="L230" i="8"/>
  <c r="X230" i="8" s="1"/>
  <c r="L242" i="8"/>
  <c r="X242" i="8" s="1"/>
  <c r="L268" i="8"/>
  <c r="X268" i="8" s="1"/>
  <c r="L153" i="8"/>
  <c r="L205" i="8"/>
  <c r="L197" i="8"/>
  <c r="X197" i="8" s="1"/>
  <c r="L75" i="8"/>
  <c r="L76" i="8"/>
  <c r="X76" i="8" s="1"/>
  <c r="L260" i="8"/>
  <c r="X260" i="8" s="1"/>
  <c r="L189" i="8"/>
  <c r="X189" i="8" s="1"/>
  <c r="L115" i="8"/>
  <c r="L108" i="8"/>
  <c r="V170" i="8"/>
  <c r="L212" i="8"/>
  <c r="X212" i="8" s="1"/>
  <c r="L136" i="8"/>
  <c r="AD31" i="22"/>
  <c r="L163" i="8"/>
  <c r="R42" i="9"/>
  <c r="AD42" i="9" s="1"/>
  <c r="L214" i="8"/>
  <c r="L129" i="8"/>
  <c r="X129" i="8" s="1"/>
  <c r="L99" i="8"/>
  <c r="L70" i="8"/>
  <c r="L199" i="8"/>
  <c r="X199" i="8" s="1"/>
  <c r="L162" i="8"/>
  <c r="L164" i="8"/>
  <c r="V196" i="8"/>
  <c r="L166" i="8"/>
  <c r="V308" i="8"/>
  <c r="V287" i="8"/>
  <c r="L183" i="8"/>
  <c r="L142" i="8"/>
  <c r="L306" i="8"/>
  <c r="L132" i="8"/>
  <c r="L313" i="8"/>
  <c r="X313" i="8" s="1"/>
  <c r="L262" i="8"/>
  <c r="L172" i="8"/>
  <c r="L69" i="8"/>
  <c r="X69" i="8" s="1"/>
  <c r="L103" i="8"/>
  <c r="X103" i="8" s="1"/>
  <c r="L79" i="8"/>
  <c r="V104" i="8"/>
  <c r="AD33" i="22"/>
  <c r="L311" i="8"/>
  <c r="V105" i="8"/>
  <c r="L138" i="8"/>
  <c r="L255" i="8"/>
  <c r="V230" i="8"/>
  <c r="L148" i="8"/>
  <c r="L127" i="8"/>
  <c r="L243" i="8"/>
  <c r="L284" i="8"/>
  <c r="L265" i="8"/>
  <c r="X265" i="8" s="1"/>
  <c r="L298" i="8"/>
  <c r="L256" i="8"/>
  <c r="X256" i="8" s="1"/>
  <c r="L169" i="8"/>
  <c r="X169" i="8" s="1"/>
  <c r="L227" i="8"/>
  <c r="AD34" i="22"/>
  <c r="L277" i="8"/>
  <c r="L249" i="8"/>
  <c r="X249" i="8" s="1"/>
  <c r="L258" i="8"/>
  <c r="L119" i="8"/>
  <c r="L180" i="8"/>
  <c r="X180" i="8" s="1"/>
  <c r="L121" i="8"/>
  <c r="L176" i="8"/>
  <c r="V157" i="8"/>
  <c r="L179" i="8"/>
  <c r="V238" i="8"/>
  <c r="L239" i="8"/>
  <c r="V231" i="8"/>
  <c r="AD32" i="22"/>
  <c r="AF32" i="22" s="1"/>
  <c r="L122" i="8"/>
  <c r="L314" i="8"/>
  <c r="L282" i="8"/>
  <c r="L257" i="8"/>
  <c r="X257" i="8" s="1"/>
  <c r="L293" i="8"/>
  <c r="X293" i="8" s="1"/>
  <c r="L236" i="8"/>
  <c r="L188" i="8"/>
  <c r="X188" i="8" s="1"/>
  <c r="L193" i="8"/>
  <c r="X193" i="8" s="1"/>
  <c r="L89" i="8"/>
  <c r="X89" i="8" s="1"/>
  <c r="L208" i="8"/>
  <c r="L120" i="8"/>
  <c r="L107" i="8"/>
  <c r="X107" i="8" s="1"/>
  <c r="L170" i="8"/>
  <c r="R43" i="9"/>
  <c r="L254" i="8"/>
  <c r="L241" i="8"/>
  <c r="L228" i="8"/>
  <c r="L88" i="8"/>
  <c r="L213" i="8"/>
  <c r="L184" i="8"/>
  <c r="L250" i="8"/>
  <c r="X250" i="8" s="1"/>
  <c r="V249" i="8"/>
  <c r="V151" i="8"/>
  <c r="V218" i="8"/>
  <c r="V182" i="8"/>
  <c r="L143" i="8"/>
  <c r="V136" i="8"/>
  <c r="R41" i="9"/>
  <c r="L310" i="8"/>
  <c r="X310" i="8" s="1"/>
  <c r="L295" i="8"/>
  <c r="L245" i="8"/>
  <c r="X245" i="8" s="1"/>
  <c r="L224" i="8"/>
  <c r="L82" i="8"/>
  <c r="X82" i="8" s="1"/>
  <c r="L116" i="8"/>
  <c r="L123" i="8"/>
  <c r="V224" i="8"/>
  <c r="V119" i="8"/>
  <c r="L194" i="8"/>
  <c r="X194" i="8" s="1"/>
  <c r="L217" i="8"/>
  <c r="L95" i="8"/>
  <c r="V85" i="8"/>
  <c r="V268" i="8"/>
  <c r="V94" i="8"/>
  <c r="V74" i="8"/>
  <c r="V137" i="8"/>
  <c r="V311" i="8"/>
  <c r="V192" i="8"/>
  <c r="V269" i="8"/>
  <c r="V139" i="8"/>
  <c r="V283" i="8"/>
  <c r="V128" i="8"/>
  <c r="V275" i="8"/>
  <c r="V98" i="8"/>
  <c r="X98" i="8" s="1"/>
  <c r="AB46" i="9"/>
  <c r="AD46" i="9" s="1"/>
  <c r="V282" i="8"/>
  <c r="V189" i="8"/>
  <c r="V140" i="8"/>
  <c r="V88" i="8"/>
  <c r="V208" i="8"/>
  <c r="V217" i="8"/>
  <c r="V229" i="8"/>
  <c r="V184" i="8"/>
  <c r="V244" i="8"/>
  <c r="V257" i="8"/>
  <c r="V306" i="8"/>
  <c r="V145" i="8"/>
  <c r="X145" i="8" s="1"/>
  <c r="V113" i="8"/>
  <c r="V304" i="8"/>
  <c r="V258" i="8"/>
  <c r="V129" i="8"/>
  <c r="V297" i="8"/>
  <c r="X297" i="8" s="1"/>
  <c r="V112" i="8"/>
  <c r="V175" i="8"/>
  <c r="V90" i="8"/>
  <c r="V82" i="8"/>
  <c r="V298" i="8"/>
  <c r="V115" i="8"/>
  <c r="V234" i="8"/>
  <c r="V172" i="8"/>
  <c r="V179" i="8"/>
  <c r="V255" i="8"/>
  <c r="V285" i="8"/>
  <c r="V310" i="8"/>
  <c r="AB49" i="9"/>
  <c r="AB40" i="9"/>
  <c r="V252" i="8"/>
  <c r="AB48" i="9"/>
  <c r="AD48" i="9" s="1"/>
  <c r="V95" i="8"/>
  <c r="X95" i="8" s="1"/>
  <c r="V147" i="8"/>
  <c r="V169" i="8"/>
  <c r="V188" i="8"/>
  <c r="AB43" i="9"/>
  <c r="V156" i="8"/>
  <c r="V206" i="8"/>
  <c r="V307" i="8"/>
  <c r="X307" i="8" s="1"/>
  <c r="V203" i="8"/>
  <c r="V150" i="8"/>
  <c r="X150" i="8" s="1"/>
  <c r="V200" i="8"/>
  <c r="V164" i="8"/>
  <c r="AB45" i="9"/>
  <c r="V70" i="8"/>
  <c r="V240" i="8"/>
  <c r="V314" i="8"/>
  <c r="V138" i="8"/>
  <c r="X138" i="8" s="1"/>
  <c r="V271" i="8"/>
  <c r="V300" i="8"/>
  <c r="V267" i="8"/>
  <c r="V99" i="8"/>
  <c r="V171" i="8"/>
  <c r="V276" i="8"/>
  <c r="V256" i="8"/>
  <c r="V162" i="8"/>
  <c r="V186" i="8"/>
  <c r="X186" i="8" s="1"/>
  <c r="V225" i="8"/>
  <c r="V103" i="8"/>
  <c r="V165" i="8"/>
  <c r="V284" i="8"/>
  <c r="V108" i="8"/>
  <c r="V148" i="8"/>
  <c r="V106" i="8"/>
  <c r="X106" i="8" s="1"/>
  <c r="V228" i="8"/>
  <c r="V181" i="8"/>
  <c r="V302" i="8"/>
  <c r="V159" i="8"/>
  <c r="V277" i="8"/>
  <c r="V303" i="8"/>
  <c r="V69" i="8"/>
  <c r="V295" i="8"/>
  <c r="V272" i="8"/>
  <c r="V83" i="8"/>
  <c r="V154" i="8"/>
  <c r="V222" i="8"/>
  <c r="V152" i="8"/>
  <c r="X152" i="8" s="1"/>
  <c r="AB44" i="9"/>
  <c r="V289" i="8"/>
  <c r="V125" i="8"/>
  <c r="X125" i="8" s="1"/>
  <c r="V68" i="8"/>
  <c r="V247" i="8"/>
  <c r="V131" i="8"/>
  <c r="AB41" i="9"/>
  <c r="V232" i="8"/>
  <c r="V144" i="8"/>
  <c r="V178" i="8"/>
  <c r="V158" i="8"/>
  <c r="X158" i="8" s="1"/>
  <c r="V91" i="8"/>
  <c r="X91" i="8" s="1"/>
  <c r="V223" i="8"/>
  <c r="V250" i="8"/>
  <c r="V280" i="8"/>
  <c r="V135" i="8"/>
  <c r="V315" i="8"/>
  <c r="X315" i="8" s="1"/>
  <c r="V248" i="8"/>
  <c r="V262" i="8"/>
  <c r="V241" i="8"/>
  <c r="V71" i="8"/>
  <c r="V84" i="8"/>
  <c r="V160" i="8"/>
  <c r="V168" i="8"/>
  <c r="V183" i="8"/>
  <c r="V281" i="8"/>
  <c r="V278" i="8"/>
  <c r="V177" i="8"/>
  <c r="V114" i="8"/>
  <c r="V127" i="8"/>
  <c r="V132" i="8"/>
  <c r="V167" i="8"/>
  <c r="V187" i="8"/>
  <c r="X187" i="8" s="1"/>
  <c r="V237" i="8"/>
  <c r="V209" i="8"/>
  <c r="V102" i="8"/>
  <c r="X102" i="8" s="1"/>
  <c r="V312" i="8"/>
  <c r="V212" i="8"/>
  <c r="V75" i="8"/>
  <c r="V190" i="8"/>
  <c r="X190" i="8" s="1"/>
  <c r="V89" i="8"/>
  <c r="V79" i="8"/>
  <c r="V254" i="8"/>
  <c r="V86" i="8"/>
  <c r="V77" i="8"/>
  <c r="V122" i="8"/>
  <c r="V293" i="8"/>
  <c r="V215" i="8"/>
  <c r="V195" i="8"/>
  <c r="V227" i="8"/>
  <c r="V214" i="8"/>
  <c r="V220" i="8"/>
  <c r="V316" i="8"/>
  <c r="V120" i="8"/>
  <c r="V176" i="8"/>
  <c r="X176" i="8" s="1"/>
  <c r="V221" i="8"/>
  <c r="V97" i="8"/>
  <c r="X97" i="8" s="1"/>
  <c r="V213" i="8"/>
  <c r="V260" i="8"/>
  <c r="V133" i="8"/>
  <c r="V118" i="8"/>
  <c r="AB47" i="9"/>
  <c r="V236" i="8"/>
  <c r="V286" i="8"/>
  <c r="V78" i="8"/>
  <c r="V142" i="8"/>
  <c r="V80" i="8"/>
  <c r="V146" i="8"/>
  <c r="V155" i="8"/>
  <c r="V193" i="8"/>
  <c r="V87" i="8"/>
  <c r="X87" i="8" s="1"/>
  <c r="V259" i="8"/>
  <c r="V270" i="8"/>
  <c r="V207" i="8"/>
  <c r="X207" i="8" s="1"/>
  <c r="V305" i="8"/>
  <c r="X305" i="8" s="1"/>
  <c r="V205" i="8"/>
  <c r="V134" i="8"/>
  <c r="X134" i="8" s="1"/>
  <c r="V210" i="8"/>
  <c r="V299" i="8"/>
  <c r="V101" i="8"/>
  <c r="X101" i="8" s="1"/>
  <c r="V126" i="8"/>
  <c r="V149" i="8"/>
  <c r="V273" i="8"/>
  <c r="V130" i="8"/>
  <c r="V197" i="8"/>
  <c r="V264" i="8"/>
  <c r="V121" i="8"/>
  <c r="V163" i="8"/>
  <c r="X163" i="8" s="1"/>
  <c r="V166" i="8"/>
  <c r="V292" i="8"/>
  <c r="X292" i="8" s="1"/>
  <c r="V123" i="8"/>
  <c r="V174" i="8"/>
  <c r="V116" i="8"/>
  <c r="X116" i="8" s="1"/>
  <c r="V317" i="8"/>
  <c r="V243" i="8"/>
  <c r="V198" i="8"/>
  <c r="X198" i="8" s="1"/>
  <c r="V239" i="8"/>
  <c r="V290" i="8"/>
  <c r="V161" i="8"/>
  <c r="V202" i="8"/>
  <c r="V291" i="8"/>
  <c r="V216" i="8"/>
  <c r="V233" i="8"/>
  <c r="V93" i="8"/>
  <c r="X93" i="8" s="1"/>
  <c r="V92" i="8"/>
  <c r="V279" i="8"/>
  <c r="V211" i="8"/>
  <c r="X211" i="8" s="1"/>
  <c r="V109" i="8"/>
  <c r="AH49" i="23"/>
  <c r="U46" i="23"/>
  <c r="AH50" i="23"/>
  <c r="U45" i="23"/>
  <c r="AK45" i="23" s="1"/>
  <c r="U47" i="23"/>
  <c r="AK47" i="23" s="1"/>
  <c r="AH43" i="23"/>
  <c r="AH52" i="23"/>
  <c r="U52" i="23"/>
  <c r="AK52" i="23" s="1"/>
  <c r="AH48" i="23"/>
  <c r="AH47" i="23"/>
  <c r="U44" i="23"/>
  <c r="AK44" i="23" s="1"/>
  <c r="U48" i="23"/>
  <c r="AK48" i="23" s="1"/>
  <c r="U49" i="23"/>
  <c r="AK49" i="23" s="1"/>
  <c r="AH44" i="23"/>
  <c r="AH45" i="23"/>
  <c r="AH46" i="23"/>
  <c r="U50" i="23"/>
  <c r="U43" i="23"/>
  <c r="AH51" i="23"/>
  <c r="U51" i="23"/>
  <c r="AK51" i="23" s="1"/>
  <c r="J5" i="24"/>
  <c r="J6" i="9"/>
  <c r="T19" i="8"/>
  <c r="U19" i="8" s="1"/>
  <c r="W19" i="8" s="1"/>
  <c r="T27" i="8"/>
  <c r="U27" i="8" s="1"/>
  <c r="W27" i="8" s="1"/>
  <c r="T35" i="8"/>
  <c r="U35" i="8" s="1"/>
  <c r="T43" i="8"/>
  <c r="U43" i="8" s="1"/>
  <c r="T51" i="8"/>
  <c r="U51" i="8" s="1"/>
  <c r="V51" i="8" s="1"/>
  <c r="T59" i="8"/>
  <c r="U59" i="8" s="1"/>
  <c r="W59" i="8" s="1"/>
  <c r="T65" i="8"/>
  <c r="U65" i="8" s="1"/>
  <c r="W65" i="8" s="1"/>
  <c r="K17" i="8"/>
  <c r="G4" i="8" s="1"/>
  <c r="T32" i="8"/>
  <c r="U32" i="8" s="1"/>
  <c r="W32" i="8" s="1"/>
  <c r="T40" i="8"/>
  <c r="U40" i="8" s="1"/>
  <c r="T38" i="8"/>
  <c r="U38" i="8" s="1"/>
  <c r="T46" i="8"/>
  <c r="U46" i="8" s="1"/>
  <c r="V46" i="8" s="1"/>
  <c r="T57" i="8"/>
  <c r="U57" i="8" s="1"/>
  <c r="W57" i="8" s="1"/>
  <c r="T36" i="8"/>
  <c r="U36" i="8" s="1"/>
  <c r="V36" i="8" s="1"/>
  <c r="T44" i="8"/>
  <c r="U44" i="8" s="1"/>
  <c r="V44" i="8" s="1"/>
  <c r="T47" i="8"/>
  <c r="U47" i="8" s="1"/>
  <c r="V47" i="8" s="1"/>
  <c r="T26" i="8"/>
  <c r="U26" i="8" s="1"/>
  <c r="V26" i="8" s="1"/>
  <c r="T29" i="8"/>
  <c r="U29" i="8" s="1"/>
  <c r="W29" i="8" s="1"/>
  <c r="T34" i="8"/>
  <c r="U34" i="8" s="1"/>
  <c r="T37" i="8"/>
  <c r="U37" i="8" s="1"/>
  <c r="W37" i="8" s="1"/>
  <c r="T42" i="8"/>
  <c r="U42" i="8" s="1"/>
  <c r="W42" i="8" s="1"/>
  <c r="T45" i="8"/>
  <c r="U45" i="8" s="1"/>
  <c r="V45" i="8" s="1"/>
  <c r="T66" i="8"/>
  <c r="U66" i="8" s="1"/>
  <c r="V66" i="8" s="1"/>
  <c r="T20" i="8"/>
  <c r="U20" i="8" s="1"/>
  <c r="W20" i="8" s="1"/>
  <c r="T22" i="8"/>
  <c r="U22" i="8" s="1"/>
  <c r="W22" i="8" s="1"/>
  <c r="T25" i="8"/>
  <c r="U25" i="8" s="1"/>
  <c r="W25" i="8" s="1"/>
  <c r="T39" i="8"/>
  <c r="U39" i="8" s="1"/>
  <c r="V39" i="8" s="1"/>
  <c r="T52" i="8"/>
  <c r="U52" i="8" s="1"/>
  <c r="W52" i="8" s="1"/>
  <c r="T60" i="8"/>
  <c r="U60" i="8" s="1"/>
  <c r="V60" i="8" s="1"/>
  <c r="T67" i="8"/>
  <c r="U67" i="8" s="1"/>
  <c r="V67" i="8" s="1"/>
  <c r="T50" i="8"/>
  <c r="U50" i="8" s="1"/>
  <c r="W50" i="8" s="1"/>
  <c r="T55" i="8"/>
  <c r="U55" i="8" s="1"/>
  <c r="V55" i="8" s="1"/>
  <c r="T31" i="8"/>
  <c r="U31" i="8" s="1"/>
  <c r="W31" i="8" s="1"/>
  <c r="T49" i="8"/>
  <c r="U49" i="8" s="1"/>
  <c r="V49" i="8" s="1"/>
  <c r="T16" i="8"/>
  <c r="U16" i="8" s="1"/>
  <c r="W16" i="8" s="1"/>
  <c r="T23" i="8"/>
  <c r="U23" i="8" s="1"/>
  <c r="V23" i="8" s="1"/>
  <c r="T28" i="8"/>
  <c r="U28" i="8" s="1"/>
  <c r="W28" i="8" s="1"/>
  <c r="T30" i="8"/>
  <c r="U30" i="8" s="1"/>
  <c r="W30" i="8" s="1"/>
  <c r="T48" i="8"/>
  <c r="U48" i="8" s="1"/>
  <c r="W48" i="8" s="1"/>
  <c r="T58" i="8"/>
  <c r="U58" i="8" s="1"/>
  <c r="V58" i="8" s="1"/>
  <c r="T63" i="8"/>
  <c r="U63" i="8" s="1"/>
  <c r="T21" i="8"/>
  <c r="U21" i="8" s="1"/>
  <c r="V21" i="8" s="1"/>
  <c r="T33" i="8"/>
  <c r="U33" i="8" s="1"/>
  <c r="W33" i="8" s="1"/>
  <c r="T56" i="8"/>
  <c r="U56" i="8" s="1"/>
  <c r="W56" i="8" s="1"/>
  <c r="T61" i="8"/>
  <c r="U61" i="8" s="1"/>
  <c r="V61" i="8" s="1"/>
  <c r="F10" i="23"/>
  <c r="AB4" i="23"/>
  <c r="AB5" i="23" s="1"/>
  <c r="AW18" i="24"/>
  <c r="AW20" i="24"/>
  <c r="AQ20" i="24"/>
  <c r="AQ18" i="24"/>
  <c r="T54" i="8"/>
  <c r="U54" i="8" s="1"/>
  <c r="V54" i="8" s="1"/>
  <c r="T62" i="8"/>
  <c r="U62" i="8" s="1"/>
  <c r="V62" i="8" s="1"/>
  <c r="T24" i="8"/>
  <c r="U24" i="8" s="1"/>
  <c r="V24" i="8" s="1"/>
  <c r="T41" i="8"/>
  <c r="U41" i="8" s="1"/>
  <c r="V41" i="8" s="1"/>
  <c r="T64" i="8"/>
  <c r="U64" i="8" s="1"/>
  <c r="V64" i="8" s="1"/>
  <c r="X33" i="11"/>
  <c r="X25" i="11"/>
  <c r="K29" i="25"/>
  <c r="K25" i="25"/>
  <c r="K21" i="25"/>
  <c r="AP20" i="24"/>
  <c r="U20" i="24" s="1"/>
  <c r="V38" i="8"/>
  <c r="V34" i="8"/>
  <c r="X40" i="11"/>
  <c r="X32" i="11"/>
  <c r="X24" i="11"/>
  <c r="T32" i="25"/>
  <c r="T28" i="25"/>
  <c r="T24" i="25"/>
  <c r="T20" i="25"/>
  <c r="L66" i="8"/>
  <c r="L50" i="8"/>
  <c r="L34" i="8"/>
  <c r="L18" i="8"/>
  <c r="X39" i="11"/>
  <c r="X31" i="11"/>
  <c r="X23" i="11"/>
  <c r="K32" i="25"/>
  <c r="K28" i="25"/>
  <c r="K24" i="25"/>
  <c r="K20" i="25"/>
  <c r="AP18" i="24"/>
  <c r="U18" i="24" s="1"/>
  <c r="V57" i="8"/>
  <c r="V53" i="8"/>
  <c r="V37" i="8"/>
  <c r="V29" i="8"/>
  <c r="V25" i="8"/>
  <c r="V16" i="8"/>
  <c r="X38" i="11"/>
  <c r="X30" i="11"/>
  <c r="X22" i="11"/>
  <c r="T31" i="25"/>
  <c r="T27" i="25"/>
  <c r="T23" i="25"/>
  <c r="T19" i="25"/>
  <c r="AV20" i="24"/>
  <c r="AJ20" i="24" s="1"/>
  <c r="L65" i="8"/>
  <c r="L61" i="8"/>
  <c r="L57" i="8"/>
  <c r="L53" i="8"/>
  <c r="L49" i="8"/>
  <c r="L45" i="8"/>
  <c r="L41" i="8"/>
  <c r="L37" i="8"/>
  <c r="L33" i="8"/>
  <c r="L29" i="8"/>
  <c r="L25" i="8"/>
  <c r="L21" i="8"/>
  <c r="L16" i="8"/>
  <c r="V43" i="8"/>
  <c r="L39" i="8"/>
  <c r="L27" i="8"/>
  <c r="L19" i="8"/>
  <c r="L42" i="8"/>
  <c r="L22" i="8"/>
  <c r="X37" i="11"/>
  <c r="X29" i="11"/>
  <c r="X19" i="11"/>
  <c r="K31" i="25"/>
  <c r="K27" i="25"/>
  <c r="K23" i="25"/>
  <c r="K19" i="25"/>
  <c r="V40" i="8"/>
  <c r="AH21" i="23"/>
  <c r="V27" i="8"/>
  <c r="L63" i="8"/>
  <c r="L59" i="8"/>
  <c r="L51" i="8"/>
  <c r="L43" i="8"/>
  <c r="L35" i="8"/>
  <c r="L23" i="8"/>
  <c r="L62" i="8"/>
  <c r="L54" i="8"/>
  <c r="L38" i="8"/>
  <c r="X36" i="11"/>
  <c r="X28" i="11"/>
  <c r="M19" i="11"/>
  <c r="T30" i="25"/>
  <c r="T26" i="25"/>
  <c r="T22" i="25"/>
  <c r="T16" i="25"/>
  <c r="AV18" i="24"/>
  <c r="AJ18" i="24" s="1"/>
  <c r="AM18" i="24" s="1"/>
  <c r="L64" i="8"/>
  <c r="L60" i="8"/>
  <c r="L56" i="8"/>
  <c r="L52" i="8"/>
  <c r="L48" i="8"/>
  <c r="L44" i="8"/>
  <c r="L40" i="8"/>
  <c r="L36" i="8"/>
  <c r="L32" i="8"/>
  <c r="L28" i="8"/>
  <c r="L24" i="8"/>
  <c r="L20" i="8"/>
  <c r="U21" i="23"/>
  <c r="V63" i="8"/>
  <c r="L46" i="8"/>
  <c r="L30" i="8"/>
  <c r="X35" i="11"/>
  <c r="X27" i="11"/>
  <c r="K30" i="25"/>
  <c r="K26" i="25"/>
  <c r="K22" i="25"/>
  <c r="K16" i="25"/>
  <c r="V35" i="8"/>
  <c r="L58" i="8"/>
  <c r="L26" i="8"/>
  <c r="X34" i="11"/>
  <c r="X26" i="11"/>
  <c r="T29" i="25"/>
  <c r="T25" i="25"/>
  <c r="T21" i="25"/>
  <c r="L67" i="8"/>
  <c r="L55" i="8"/>
  <c r="L47" i="8"/>
  <c r="L31" i="8"/>
  <c r="P18" i="22"/>
  <c r="P23" i="22"/>
  <c r="AD25" i="22"/>
  <c r="M29" i="11"/>
  <c r="M28" i="11"/>
  <c r="M25" i="11"/>
  <c r="AD18" i="22"/>
  <c r="AD24" i="22"/>
  <c r="AD29" i="22"/>
  <c r="M37" i="11"/>
  <c r="M34" i="11"/>
  <c r="M32" i="11"/>
  <c r="AD23" i="22"/>
  <c r="AD28" i="22"/>
  <c r="M40" i="11"/>
  <c r="M26" i="11"/>
  <c r="M23" i="11"/>
  <c r="M36" i="11"/>
  <c r="AA36" i="11" s="1"/>
  <c r="M27" i="11"/>
  <c r="K18" i="25"/>
  <c r="AD21" i="22"/>
  <c r="P22" i="22"/>
  <c r="P27" i="22"/>
  <c r="P21" i="22"/>
  <c r="P26" i="22"/>
  <c r="M30" i="11"/>
  <c r="M31" i="11"/>
  <c r="M38" i="11"/>
  <c r="P20" i="22"/>
  <c r="P25" i="22"/>
  <c r="AD22" i="22"/>
  <c r="M22" i="11"/>
  <c r="M35" i="11"/>
  <c r="AD27" i="22"/>
  <c r="M24" i="11"/>
  <c r="P24" i="22"/>
  <c r="P29" i="22"/>
  <c r="AD26" i="22"/>
  <c r="M33" i="11"/>
  <c r="M39" i="11"/>
  <c r="P28" i="22"/>
  <c r="U28" i="23"/>
  <c r="AH26" i="23"/>
  <c r="AB35" i="9"/>
  <c r="AH35" i="23"/>
  <c r="R30" i="9"/>
  <c r="AH41" i="23"/>
  <c r="AB28" i="9"/>
  <c r="U37" i="23"/>
  <c r="AB26" i="9"/>
  <c r="R26" i="9"/>
  <c r="U34" i="23"/>
  <c r="U31" i="23"/>
  <c r="U41" i="23"/>
  <c r="U27" i="23"/>
  <c r="R20" i="9"/>
  <c r="U32" i="23"/>
  <c r="U40" i="23"/>
  <c r="R29" i="9"/>
  <c r="AH42" i="23"/>
  <c r="AH40" i="23"/>
  <c r="AB32" i="9"/>
  <c r="R32" i="9"/>
  <c r="AH32" i="23"/>
  <c r="AB37" i="9"/>
  <c r="U30" i="23"/>
  <c r="AB33" i="9"/>
  <c r="X21" i="11"/>
  <c r="U24" i="23"/>
  <c r="U33" i="23"/>
  <c r="R21" i="9"/>
  <c r="U29" i="23"/>
  <c r="AB24" i="9"/>
  <c r="AB39" i="9"/>
  <c r="U38" i="23"/>
  <c r="AB22" i="9"/>
  <c r="AH23" i="23"/>
  <c r="AB36" i="9"/>
  <c r="AH39" i="23"/>
  <c r="U39" i="23"/>
  <c r="R24" i="9"/>
  <c r="AH38" i="23"/>
  <c r="R39" i="9"/>
  <c r="M21" i="11"/>
  <c r="AH28" i="23"/>
  <c r="R22" i="9"/>
  <c r="AH31" i="23"/>
  <c r="AH33" i="23"/>
  <c r="AB25" i="9"/>
  <c r="R27" i="9"/>
  <c r="AH30" i="23"/>
  <c r="AB23" i="9"/>
  <c r="AH36" i="23"/>
  <c r="AB30" i="9"/>
  <c r="AH29" i="23"/>
  <c r="AD20" i="22"/>
  <c r="AH25" i="23"/>
  <c r="U25" i="23"/>
  <c r="R31" i="9"/>
  <c r="R35" i="9"/>
  <c r="AD35" i="9" s="1"/>
  <c r="R25" i="9"/>
  <c r="R28" i="9"/>
  <c r="AB31" i="9"/>
  <c r="AH24" i="23"/>
  <c r="U26" i="23"/>
  <c r="R37" i="9"/>
  <c r="AH27" i="23"/>
  <c r="R33" i="9"/>
  <c r="T18" i="25"/>
  <c r="R38" i="9"/>
  <c r="R36" i="9"/>
  <c r="U36" i="23"/>
  <c r="AB38" i="9"/>
  <c r="AB29" i="9"/>
  <c r="U35" i="23"/>
  <c r="R34" i="9"/>
  <c r="R18" i="9"/>
  <c r="U42" i="23"/>
  <c r="AH34" i="23"/>
  <c r="AB18" i="9"/>
  <c r="U23" i="23"/>
  <c r="AH37" i="23"/>
  <c r="AB34" i="9"/>
  <c r="AB27" i="9"/>
  <c r="R23" i="9"/>
  <c r="AB21" i="9"/>
  <c r="AB20" i="9"/>
  <c r="M7" i="8"/>
  <c r="N7" i="8" s="1"/>
  <c r="W21" i="8"/>
  <c r="W38" i="8"/>
  <c r="T18" i="8"/>
  <c r="U18" i="8" s="1"/>
  <c r="W34" i="8"/>
  <c r="W51" i="8"/>
  <c r="W61" i="8"/>
  <c r="W53" i="8"/>
  <c r="W39" i="8"/>
  <c r="W49" i="8"/>
  <c r="W54" i="8"/>
  <c r="W35" i="8"/>
  <c r="W43" i="8"/>
  <c r="W63" i="8"/>
  <c r="W23" i="8"/>
  <c r="W40" i="8"/>
  <c r="G20" i="14"/>
  <c r="D11" i="14"/>
  <c r="G34" i="14"/>
  <c r="AA31" i="11" l="1"/>
  <c r="X195" i="8"/>
  <c r="X183" i="8"/>
  <c r="X303" i="8"/>
  <c r="X184" i="8"/>
  <c r="X311" i="8"/>
  <c r="X295" i="8"/>
  <c r="AD43" i="9"/>
  <c r="X236" i="8"/>
  <c r="X239" i="8"/>
  <c r="X258" i="8"/>
  <c r="X262" i="8"/>
  <c r="X166" i="8"/>
  <c r="X214" i="8"/>
  <c r="X115" i="8"/>
  <c r="X100" i="8"/>
  <c r="X201" i="8"/>
  <c r="X316" i="8"/>
  <c r="X83" i="8"/>
  <c r="X276" i="8"/>
  <c r="X71" i="8"/>
  <c r="X147" i="8"/>
  <c r="X273" i="8"/>
  <c r="X181" i="8"/>
  <c r="X281" i="8"/>
  <c r="X177" i="8"/>
  <c r="X168" i="8"/>
  <c r="X237" i="8"/>
  <c r="X196" i="8"/>
  <c r="X221" i="8"/>
  <c r="AA23" i="11"/>
  <c r="AD41" i="9"/>
  <c r="X277" i="8"/>
  <c r="X243" i="8"/>
  <c r="X132" i="8"/>
  <c r="X232" i="8"/>
  <c r="AD45" i="9"/>
  <c r="AA26" i="11"/>
  <c r="V65" i="8"/>
  <c r="AK43" i="23"/>
  <c r="AK46" i="23"/>
  <c r="X317" i="8"/>
  <c r="X122" i="8"/>
  <c r="X164" i="8"/>
  <c r="X113" i="8"/>
  <c r="X128" i="8"/>
  <c r="X94" i="8"/>
  <c r="X123" i="8"/>
  <c r="X213" i="8"/>
  <c r="X120" i="8"/>
  <c r="X282" i="8"/>
  <c r="X127" i="8"/>
  <c r="X306" i="8"/>
  <c r="X162" i="8"/>
  <c r="X229" i="8"/>
  <c r="X264" i="8"/>
  <c r="X171" i="8"/>
  <c r="X85" i="8"/>
  <c r="X270" i="8"/>
  <c r="AD44" i="9"/>
  <c r="X112" i="8"/>
  <c r="X104" i="8"/>
  <c r="X126" i="8"/>
  <c r="X274" i="8"/>
  <c r="X159" i="8"/>
  <c r="X222" i="8"/>
  <c r="X192" i="8"/>
  <c r="X272" i="8"/>
  <c r="AF31" i="22"/>
  <c r="X304" i="8"/>
  <c r="AA33" i="11"/>
  <c r="AK50" i="23"/>
  <c r="X155" i="8"/>
  <c r="X300" i="8"/>
  <c r="X90" i="8"/>
  <c r="X143" i="8"/>
  <c r="X88" i="8"/>
  <c r="X208" i="8"/>
  <c r="X314" i="8"/>
  <c r="X227" i="8"/>
  <c r="X148" i="8"/>
  <c r="X79" i="8"/>
  <c r="X142" i="8"/>
  <c r="X136" i="8"/>
  <c r="X75" i="8"/>
  <c r="X78" i="8"/>
  <c r="X251" i="8"/>
  <c r="X140" i="8"/>
  <c r="X289" i="8"/>
  <c r="X118" i="8"/>
  <c r="X206" i="8"/>
  <c r="X238" i="8"/>
  <c r="X130" i="8"/>
  <c r="X141" i="8"/>
  <c r="X233" i="8"/>
  <c r="X74" i="8"/>
  <c r="X156" i="8"/>
  <c r="X309" i="8"/>
  <c r="AF30" i="22"/>
  <c r="X25" i="8"/>
  <c r="X133" i="8"/>
  <c r="X86" i="8"/>
  <c r="X139" i="8"/>
  <c r="X228" i="8"/>
  <c r="X121" i="8"/>
  <c r="X70" i="8"/>
  <c r="X167" i="8"/>
  <c r="X135" i="8"/>
  <c r="X286" i="8"/>
  <c r="X80" i="8"/>
  <c r="X299" i="8"/>
  <c r="X117" i="8"/>
  <c r="X288" i="8"/>
  <c r="X278" i="8"/>
  <c r="X259" i="8"/>
  <c r="X124" i="8"/>
  <c r="X220" i="8"/>
  <c r="X284" i="8"/>
  <c r="X35" i="8"/>
  <c r="X203" i="8"/>
  <c r="X179" i="8"/>
  <c r="X224" i="8"/>
  <c r="X241" i="8"/>
  <c r="X255" i="8"/>
  <c r="X99" i="8"/>
  <c r="X170" i="8"/>
  <c r="X205" i="8"/>
  <c r="X191" i="8"/>
  <c r="X294" i="8"/>
  <c r="X174" i="8"/>
  <c r="X202" i="8"/>
  <c r="X209" i="8"/>
  <c r="X269" i="8"/>
  <c r="X165" i="8"/>
  <c r="X226" i="8"/>
  <c r="X204" i="8"/>
  <c r="X109" i="8"/>
  <c r="X182" i="8"/>
  <c r="X178" i="8"/>
  <c r="X217" i="8"/>
  <c r="X254" i="8"/>
  <c r="X119" i="8"/>
  <c r="X298" i="8"/>
  <c r="X172" i="8"/>
  <c r="X108" i="8"/>
  <c r="X153" i="8"/>
  <c r="X301" i="8"/>
  <c r="X92" i="8"/>
  <c r="X144" i="8"/>
  <c r="X131" i="8"/>
  <c r="X84" i="8"/>
  <c r="X161" i="8"/>
  <c r="X302" i="8"/>
  <c r="AD40" i="9"/>
  <c r="X267" i="8"/>
  <c r="X151" i="8"/>
  <c r="X261" i="8"/>
  <c r="X215" i="8"/>
  <c r="X271" i="8"/>
  <c r="X137" i="8"/>
  <c r="X287" i="8"/>
  <c r="X154" i="8"/>
  <c r="G6" i="8"/>
  <c r="V26" i="25"/>
  <c r="AD19" i="22"/>
  <c r="H5" i="22" s="1"/>
  <c r="AF21" i="22"/>
  <c r="P19" i="22"/>
  <c r="G5" i="22" s="1"/>
  <c r="AF25" i="22"/>
  <c r="U19" i="24"/>
  <c r="G4" i="24" s="1"/>
  <c r="W36" i="8"/>
  <c r="W67" i="8"/>
  <c r="W41" i="8"/>
  <c r="V32" i="8"/>
  <c r="X32" i="8" s="1"/>
  <c r="W45" i="8"/>
  <c r="V56" i="8"/>
  <c r="X56" i="8" s="1"/>
  <c r="V59" i="8"/>
  <c r="V31" i="8"/>
  <c r="X31" i="8" s="1"/>
  <c r="V19" i="8"/>
  <c r="X19" i="8" s="1"/>
  <c r="W44" i="8"/>
  <c r="V48" i="8"/>
  <c r="X48" i="8" s="1"/>
  <c r="X67" i="8"/>
  <c r="L17" i="8"/>
  <c r="G5" i="8" s="1"/>
  <c r="X61" i="8"/>
  <c r="X60" i="8"/>
  <c r="X21" i="8"/>
  <c r="V28" i="8"/>
  <c r="X28" i="8" s="1"/>
  <c r="X49" i="8"/>
  <c r="X64" i="8"/>
  <c r="W18" i="8"/>
  <c r="U17" i="8"/>
  <c r="X65" i="8"/>
  <c r="V42" i="8"/>
  <c r="X42" i="8" s="1"/>
  <c r="X26" i="8"/>
  <c r="X37" i="8"/>
  <c r="X57" i="8"/>
  <c r="AK36" i="23"/>
  <c r="AK39" i="23"/>
  <c r="AB19" i="9"/>
  <c r="H5" i="9" s="1"/>
  <c r="AD18" i="9"/>
  <c r="AD20" i="9"/>
  <c r="R19" i="9"/>
  <c r="G5" i="9" s="1"/>
  <c r="V25" i="25"/>
  <c r="V19" i="25"/>
  <c r="V24" i="25"/>
  <c r="V29" i="25"/>
  <c r="V27" i="25"/>
  <c r="V32" i="25"/>
  <c r="AF28" i="22"/>
  <c r="AK35" i="23"/>
  <c r="AK29" i="23"/>
  <c r="AH22" i="23"/>
  <c r="H6" i="23" s="1"/>
  <c r="AK40" i="23"/>
  <c r="AK26" i="23"/>
  <c r="U22" i="23"/>
  <c r="G6" i="23" s="1"/>
  <c r="X29" i="8"/>
  <c r="W46" i="8"/>
  <c r="W66" i="8"/>
  <c r="X38" i="8"/>
  <c r="W47" i="8"/>
  <c r="X23" i="8"/>
  <c r="V20" i="8"/>
  <c r="X20" i="8" s="1"/>
  <c r="W55" i="8"/>
  <c r="X54" i="8"/>
  <c r="X59" i="8"/>
  <c r="X34" i="8"/>
  <c r="X44" i="8"/>
  <c r="V50" i="8"/>
  <c r="X50" i="8" s="1"/>
  <c r="W60" i="8"/>
  <c r="W26" i="8"/>
  <c r="W62" i="8"/>
  <c r="X43" i="8"/>
  <c r="X58" i="8"/>
  <c r="X39" i="8"/>
  <c r="W64" i="8"/>
  <c r="X51" i="8"/>
  <c r="X55" i="8"/>
  <c r="AA24" i="11"/>
  <c r="AA27" i="11"/>
  <c r="AA25" i="11"/>
  <c r="X63" i="8"/>
  <c r="X45" i="8"/>
  <c r="AK27" i="23"/>
  <c r="AF27" i="22"/>
  <c r="X47" i="8"/>
  <c r="V30" i="25"/>
  <c r="AK21" i="23"/>
  <c r="X62" i="8"/>
  <c r="X27" i="8"/>
  <c r="X40" i="8"/>
  <c r="V23" i="25"/>
  <c r="X41" i="8"/>
  <c r="X16" i="8"/>
  <c r="V28" i="25"/>
  <c r="X66" i="8"/>
  <c r="V22" i="8"/>
  <c r="X22" i="8" s="1"/>
  <c r="AF29" i="22"/>
  <c r="X24" i="8"/>
  <c r="V30" i="8"/>
  <c r="X30" i="8" s="1"/>
  <c r="W24" i="8"/>
  <c r="W58" i="8"/>
  <c r="AA32" i="11"/>
  <c r="V52" i="8"/>
  <c r="X52" i="8" s="1"/>
  <c r="X53" i="8"/>
  <c r="V33" i="8"/>
  <c r="X33" i="8" s="1"/>
  <c r="AK25" i="23"/>
  <c r="AK30" i="23"/>
  <c r="AK28" i="23"/>
  <c r="AA30" i="11"/>
  <c r="AA37" i="11"/>
  <c r="AF23" i="22"/>
  <c r="V16" i="25"/>
  <c r="X46" i="8"/>
  <c r="X36" i="8"/>
  <c r="V18" i="8"/>
  <c r="AA39" i="11"/>
  <c r="AA28" i="11"/>
  <c r="AA19" i="11"/>
  <c r="AA22" i="11"/>
  <c r="AD24" i="9"/>
  <c r="AD36" i="9"/>
  <c r="AD25" i="9"/>
  <c r="AD37" i="9"/>
  <c r="AD27" i="9"/>
  <c r="AD21" i="9"/>
  <c r="AD32" i="9"/>
  <c r="AD38" i="9"/>
  <c r="AD34" i="9"/>
  <c r="AD33" i="9"/>
  <c r="AK42" i="23"/>
  <c r="AD28" i="9"/>
  <c r="AD22" i="9"/>
  <c r="AK33" i="23"/>
  <c r="AK41" i="23"/>
  <c r="AD30" i="9"/>
  <c r="AF22" i="22"/>
  <c r="AD23" i="9"/>
  <c r="T17" i="25"/>
  <c r="H5" i="25" s="1"/>
  <c r="AK24" i="23"/>
  <c r="AK31" i="23"/>
  <c r="AF20" i="22"/>
  <c r="V31" i="25"/>
  <c r="AM20" i="24"/>
  <c r="AM19" i="24" s="1"/>
  <c r="AJ19" i="24"/>
  <c r="H4" i="24" s="1"/>
  <c r="X20" i="11"/>
  <c r="H6" i="11" s="1"/>
  <c r="AK34" i="23"/>
  <c r="AF24" i="22"/>
  <c r="AA38" i="11"/>
  <c r="V18" i="25"/>
  <c r="K17" i="25"/>
  <c r="G5" i="25" s="1"/>
  <c r="AA29" i="11"/>
  <c r="AA40" i="11"/>
  <c r="M20" i="11"/>
  <c r="G6" i="11" s="1"/>
  <c r="AA21" i="11"/>
  <c r="AD31" i="9"/>
  <c r="AD39" i="9"/>
  <c r="AK38" i="23"/>
  <c r="AD29" i="9"/>
  <c r="AD26" i="9"/>
  <c r="AA34" i="11"/>
  <c r="AK23" i="23"/>
  <c r="AK32" i="23"/>
  <c r="AK37" i="23"/>
  <c r="AA35" i="11"/>
  <c r="AF26" i="22"/>
  <c r="AF18" i="22"/>
  <c r="V22" i="25"/>
  <c r="V20" i="25"/>
  <c r="V21" i="25"/>
  <c r="G7" i="8"/>
  <c r="D14" i="14"/>
  <c r="D12" i="14"/>
  <c r="D33" i="14"/>
  <c r="D13" i="14"/>
  <c r="E33" i="14"/>
  <c r="D19" i="14"/>
  <c r="E41" i="14"/>
  <c r="D41" i="14"/>
  <c r="E48" i="14"/>
  <c r="E19" i="14"/>
  <c r="D27" i="14"/>
  <c r="D48" i="14"/>
  <c r="E27" i="14"/>
  <c r="D4" i="14" l="1"/>
  <c r="D6" i="14"/>
  <c r="D5" i="14"/>
  <c r="AF19" i="22"/>
  <c r="V17" i="8"/>
  <c r="I5" i="8" s="1"/>
  <c r="W17" i="8"/>
  <c r="I6" i="23"/>
  <c r="I5" i="9"/>
  <c r="AD19" i="9"/>
  <c r="AK22" i="23"/>
  <c r="AA20" i="11"/>
  <c r="V17" i="25"/>
  <c r="I4" i="24"/>
  <c r="I5" i="22"/>
  <c r="I6" i="11"/>
  <c r="J6" i="11" s="1"/>
  <c r="I5" i="25"/>
  <c r="X18" i="8"/>
  <c r="X17" i="8" s="1"/>
  <c r="I4" i="8"/>
  <c r="H4" i="8"/>
  <c r="F48" i="14"/>
  <c r="E11" i="14"/>
  <c r="F27" i="14"/>
  <c r="F33" i="14"/>
  <c r="F19" i="14"/>
  <c r="F41" i="14"/>
  <c r="J5" i="9" l="1"/>
  <c r="J4" i="24"/>
  <c r="J5" i="22"/>
  <c r="J5" i="25"/>
  <c r="J6" i="23"/>
  <c r="H5" i="8"/>
  <c r="H6" i="8"/>
  <c r="H7" i="8"/>
  <c r="J4" i="8"/>
  <c r="G41" i="14"/>
  <c r="G33" i="14"/>
  <c r="F11" i="14"/>
  <c r="E14" i="14"/>
  <c r="E13" i="14"/>
  <c r="G19" i="14"/>
  <c r="G27" i="14"/>
  <c r="E12" i="14"/>
  <c r="G48" i="14"/>
  <c r="E4" i="14" l="1"/>
  <c r="F4" i="14" s="1"/>
  <c r="E5" i="14"/>
  <c r="F5" i="14" s="1"/>
  <c r="G5" i="14" s="1"/>
  <c r="E6" i="14"/>
  <c r="F6" i="14" s="1"/>
  <c r="G6" i="14" s="1"/>
  <c r="J7" i="8"/>
  <c r="J5" i="8"/>
  <c r="K4" i="8"/>
  <c r="J6" i="8"/>
  <c r="F14" i="14"/>
  <c r="G11" i="14"/>
  <c r="F13" i="14"/>
  <c r="F12" i="14"/>
  <c r="G4" i="14" l="1"/>
  <c r="K6" i="8"/>
  <c r="K5" i="8"/>
  <c r="K7" i="8"/>
  <c r="C105" i="16"/>
  <c r="G12" i="14"/>
  <c r="C55" i="14"/>
  <c r="G13" i="14"/>
  <c r="G14" i="14"/>
  <c r="G61" i="19" l="1"/>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C17" i="6" l="1"/>
  <c r="C16" i="6"/>
  <c r="C15" i="6"/>
  <c r="C14" i="6"/>
  <c r="C13" i="6"/>
  <c r="C12" i="6"/>
  <c r="C11" i="6"/>
  <c r="C10" i="6"/>
  <c r="C9" i="6"/>
  <c r="C8" i="6"/>
  <c r="C7" i="6"/>
  <c r="C6" i="6"/>
  <c r="C5" i="6"/>
  <c r="C4" i="6"/>
  <c r="E5" i="19" l="1"/>
  <c r="E3" i="19"/>
  <c r="F59" i="20"/>
  <c r="E4" i="19" l="1"/>
  <c r="D9" i="19"/>
  <c r="F7" i="19"/>
  <c r="D59" i="20" s="1"/>
  <c r="F6" i="19"/>
  <c r="B109" i="16"/>
  <c r="B103" i="16"/>
  <c r="B104" i="16" s="1"/>
  <c r="C97" i="16"/>
  <c r="C96" i="16"/>
  <c r="B90" i="16" s="1"/>
  <c r="C95" i="16"/>
  <c r="D49" i="1"/>
  <c r="D50" i="1"/>
  <c r="B110" i="16" l="1"/>
  <c r="C111" i="16"/>
  <c r="E6" i="19"/>
  <c r="F6" i="16"/>
  <c r="G6" i="16" s="1"/>
  <c r="C98" i="16"/>
  <c r="C93" i="16" s="1"/>
  <c r="E93" i="16" l="1"/>
  <c r="G93" i="16"/>
  <c r="B89" i="16" l="1"/>
  <c r="B86" i="16"/>
  <c r="B87" i="16" s="1"/>
  <c r="B68" i="16"/>
  <c r="K76" i="16"/>
  <c r="F8" i="16"/>
  <c r="G8" i="16" s="1"/>
  <c r="F7" i="16"/>
  <c r="G7" i="16" s="1"/>
  <c r="F5" i="16"/>
  <c r="G5" i="16" s="1"/>
  <c r="F4" i="16"/>
  <c r="G4" i="16" s="1"/>
  <c r="F3" i="16"/>
  <c r="G3" i="16" s="1"/>
  <c r="B16" i="16"/>
  <c r="B17" i="16"/>
  <c r="B18" i="16"/>
  <c r="B15" i="16"/>
  <c r="B14" i="16"/>
  <c r="B8" i="16"/>
  <c r="B7" i="16"/>
  <c r="B5" i="16"/>
  <c r="B4" i="16"/>
  <c r="B3" i="16"/>
  <c r="B38" i="16"/>
  <c r="O40" i="16"/>
  <c r="N40" i="16"/>
  <c r="O36" i="1"/>
  <c r="O35" i="1"/>
  <c r="O34" i="1"/>
  <c r="O33" i="1"/>
  <c r="O32" i="1"/>
  <c r="C38" i="1"/>
  <c r="K72" i="16" s="1"/>
  <c r="C37" i="1"/>
  <c r="K71" i="16" s="1"/>
  <c r="C23" i="1"/>
  <c r="C22" i="1"/>
  <c r="D33" i="1"/>
  <c r="D32" i="1"/>
  <c r="D18" i="1"/>
  <c r="D17" i="1"/>
  <c r="P70" i="16" l="1"/>
  <c r="Q70" i="16"/>
  <c r="L70" i="16"/>
  <c r="M70" i="16"/>
  <c r="N70" i="16"/>
  <c r="O70" i="16"/>
  <c r="B69" i="16"/>
  <c r="B39" i="16"/>
  <c r="F9" i="16"/>
  <c r="L11" i="1"/>
  <c r="L10" i="1"/>
  <c r="E9" i="1"/>
  <c r="D16" i="16" s="1"/>
  <c r="E11" i="1"/>
  <c r="D18" i="16" s="1"/>
  <c r="E10" i="1"/>
  <c r="D17" i="16" s="1"/>
  <c r="C21" i="1"/>
  <c r="C20" i="1"/>
  <c r="F12" i="1"/>
  <c r="I8" i="1"/>
  <c r="I7" i="1"/>
  <c r="P26" i="1" l="1"/>
  <c r="E26" i="1"/>
  <c r="E25" i="1"/>
  <c r="Q41" i="16" s="1"/>
  <c r="P25" i="1"/>
  <c r="Q52" i="16" s="1"/>
  <c r="C36" i="1"/>
  <c r="C41" i="1" s="1"/>
  <c r="K75" i="16" s="1"/>
  <c r="C26" i="1"/>
  <c r="R40" i="16"/>
  <c r="C35" i="1"/>
  <c r="C40" i="1" s="1"/>
  <c r="K74" i="16" s="1"/>
  <c r="C25" i="1"/>
  <c r="Q40" i="16"/>
  <c r="J40" i="1"/>
  <c r="I40" i="1"/>
  <c r="P74" i="16" s="1"/>
  <c r="H40" i="1"/>
  <c r="O74" i="16" s="1"/>
  <c r="G40" i="1"/>
  <c r="N74" i="16" s="1"/>
  <c r="M40" i="1"/>
  <c r="E40" i="1"/>
  <c r="N40" i="1"/>
  <c r="F40" i="1"/>
  <c r="M74" i="16" s="1"/>
  <c r="L40" i="1"/>
  <c r="K40" i="1"/>
  <c r="H41" i="1"/>
  <c r="O75" i="16" s="1"/>
  <c r="G41" i="1"/>
  <c r="N75" i="16" s="1"/>
  <c r="N41" i="1"/>
  <c r="F41" i="1"/>
  <c r="M75" i="16" s="1"/>
  <c r="M41" i="1"/>
  <c r="E41" i="1"/>
  <c r="K41" i="1"/>
  <c r="I41" i="1"/>
  <c r="P75" i="16" s="1"/>
  <c r="L41" i="1"/>
  <c r="J41" i="1"/>
  <c r="L26" i="1"/>
  <c r="R48" i="16" s="1"/>
  <c r="K26" i="1"/>
  <c r="R47" i="16" s="1"/>
  <c r="J26" i="1"/>
  <c r="R46" i="16" s="1"/>
  <c r="I26" i="1"/>
  <c r="R45" i="16" s="1"/>
  <c r="R52" i="16"/>
  <c r="H26" i="1"/>
  <c r="R44" i="16" s="1"/>
  <c r="O26" i="1"/>
  <c r="R51" i="16" s="1"/>
  <c r="G26" i="1"/>
  <c r="R43" i="16" s="1"/>
  <c r="N26" i="1"/>
  <c r="R50" i="16" s="1"/>
  <c r="F26" i="1"/>
  <c r="R42" i="16" s="1"/>
  <c r="M26" i="1"/>
  <c r="R49" i="16" s="1"/>
  <c r="R41" i="16"/>
  <c r="H25" i="1"/>
  <c r="Q44" i="16" s="1"/>
  <c r="O25" i="1"/>
  <c r="Q51" i="16" s="1"/>
  <c r="N25" i="1"/>
  <c r="Q50" i="16" s="1"/>
  <c r="F25" i="1"/>
  <c r="Q42" i="16" s="1"/>
  <c r="M25" i="1"/>
  <c r="Q49" i="16" s="1"/>
  <c r="L25" i="1"/>
  <c r="Q48" i="16" s="1"/>
  <c r="K25" i="1"/>
  <c r="Q47" i="16" s="1"/>
  <c r="J25" i="1"/>
  <c r="Q46" i="16" s="1"/>
  <c r="I25" i="1"/>
  <c r="Q45" i="16" s="1"/>
  <c r="G25" i="1"/>
  <c r="Q43" i="16" s="1"/>
  <c r="D19" i="1"/>
  <c r="D34" i="1"/>
  <c r="D21" i="1"/>
  <c r="D36" i="1"/>
  <c r="D20" i="1"/>
  <c r="D35" i="1"/>
  <c r="O41" i="1" l="1"/>
  <c r="L75" i="16"/>
  <c r="O40" i="1"/>
  <c r="L74" i="16"/>
  <c r="Q53" i="16"/>
  <c r="R53" i="16"/>
  <c r="Q26" i="1"/>
  <c r="Q25" i="1"/>
  <c r="Q20" i="1" l="1"/>
  <c r="J10" i="1"/>
  <c r="E17" i="16" s="1"/>
  <c r="R74" i="16" s="1"/>
  <c r="Q74" i="16" s="1"/>
  <c r="C34" i="1"/>
  <c r="C39" i="1" s="1"/>
  <c r="K73" i="16" s="1"/>
  <c r="C19" i="1"/>
  <c r="Q21" i="1"/>
  <c r="Q19" i="1"/>
  <c r="Q18" i="1"/>
  <c r="Q17" i="1"/>
  <c r="M9" i="1"/>
  <c r="M8" i="1"/>
  <c r="J11" i="1"/>
  <c r="E18" i="16" s="1"/>
  <c r="R75" i="16" s="1"/>
  <c r="Q75" i="16" s="1"/>
  <c r="L9" i="1"/>
  <c r="L8" i="1"/>
  <c r="I11" i="1"/>
  <c r="I9" i="1"/>
  <c r="M7" i="1"/>
  <c r="P23" i="1" l="1"/>
  <c r="E23" i="1"/>
  <c r="P24" i="1"/>
  <c r="E24" i="1"/>
  <c r="P40" i="16"/>
  <c r="C24" i="1"/>
  <c r="L39" i="1"/>
  <c r="K39" i="1"/>
  <c r="J39" i="1"/>
  <c r="I39" i="1"/>
  <c r="P73" i="16" s="1"/>
  <c r="G39" i="1"/>
  <c r="N73" i="16" s="1"/>
  <c r="M39" i="1"/>
  <c r="H39" i="1"/>
  <c r="O73" i="16" s="1"/>
  <c r="N39" i="1"/>
  <c r="F39" i="1"/>
  <c r="M73" i="16" s="1"/>
  <c r="E39" i="1"/>
  <c r="N38" i="1"/>
  <c r="F38" i="1"/>
  <c r="M72" i="16" s="1"/>
  <c r="M38" i="1"/>
  <c r="E38" i="1"/>
  <c r="L38" i="1"/>
  <c r="K38" i="1"/>
  <c r="I38" i="1"/>
  <c r="P72" i="16" s="1"/>
  <c r="G38" i="1"/>
  <c r="N72" i="16" s="1"/>
  <c r="J38" i="1"/>
  <c r="H38" i="1"/>
  <c r="O72" i="16" s="1"/>
  <c r="J8" i="1"/>
  <c r="E15" i="16" s="1"/>
  <c r="R72" i="16" s="1"/>
  <c r="O52" i="16"/>
  <c r="H23" i="1"/>
  <c r="O44" i="16" s="1"/>
  <c r="O23" i="1"/>
  <c r="O51" i="16" s="1"/>
  <c r="N23" i="1"/>
  <c r="O50" i="16" s="1"/>
  <c r="F23" i="1"/>
  <c r="O42" i="16" s="1"/>
  <c r="M23" i="1"/>
  <c r="O49" i="16" s="1"/>
  <c r="O41" i="16"/>
  <c r="L23" i="1"/>
  <c r="O48" i="16" s="1"/>
  <c r="K23" i="1"/>
  <c r="O47" i="16" s="1"/>
  <c r="J23" i="1"/>
  <c r="O46" i="16" s="1"/>
  <c r="I23" i="1"/>
  <c r="O45" i="16" s="1"/>
  <c r="G23" i="1"/>
  <c r="O43" i="16" s="1"/>
  <c r="J9" i="1"/>
  <c r="E16" i="16" s="1"/>
  <c r="R73" i="16" s="1"/>
  <c r="L24" i="1"/>
  <c r="P48" i="16" s="1"/>
  <c r="J24" i="1"/>
  <c r="P46" i="16" s="1"/>
  <c r="I24" i="1"/>
  <c r="P45" i="16" s="1"/>
  <c r="O24" i="1"/>
  <c r="P51" i="16" s="1"/>
  <c r="K24" i="1"/>
  <c r="P47" i="16" s="1"/>
  <c r="P52" i="16"/>
  <c r="H24" i="1"/>
  <c r="P44" i="16" s="1"/>
  <c r="G24" i="1"/>
  <c r="P43" i="16" s="1"/>
  <c r="N24" i="1"/>
  <c r="P50" i="16" s="1"/>
  <c r="F24" i="1"/>
  <c r="P42" i="16" s="1"/>
  <c r="M24" i="1"/>
  <c r="P49" i="16" s="1"/>
  <c r="P41" i="16"/>
  <c r="L7" i="1"/>
  <c r="I10" i="1"/>
  <c r="E22" i="1" l="1"/>
  <c r="P22" i="1"/>
  <c r="P27" i="1" s="1"/>
  <c r="H37" i="1"/>
  <c r="O71" i="16" s="1"/>
  <c r="O76" i="16" s="1"/>
  <c r="G37" i="1"/>
  <c r="N71" i="16" s="1"/>
  <c r="N76" i="16" s="1"/>
  <c r="N37" i="1"/>
  <c r="F37" i="1"/>
  <c r="M71" i="16" s="1"/>
  <c r="M76" i="16" s="1"/>
  <c r="I37" i="1"/>
  <c r="P71" i="16" s="1"/>
  <c r="P76" i="16" s="1"/>
  <c r="M37" i="1"/>
  <c r="E37" i="1"/>
  <c r="K37" i="1"/>
  <c r="L37" i="1"/>
  <c r="J37" i="1"/>
  <c r="L73" i="16"/>
  <c r="Q73" i="16" s="1"/>
  <c r="O39" i="1"/>
  <c r="O38" i="1"/>
  <c r="L72" i="16"/>
  <c r="Q72" i="16" s="1"/>
  <c r="P53" i="16"/>
  <c r="O53" i="16"/>
  <c r="Q23" i="1"/>
  <c r="L22" i="1"/>
  <c r="N48" i="16" s="1"/>
  <c r="L48" i="16" s="1"/>
  <c r="J22" i="1"/>
  <c r="N46" i="16" s="1"/>
  <c r="L46" i="16" s="1"/>
  <c r="I22" i="1"/>
  <c r="N45" i="16" s="1"/>
  <c r="L45" i="16" s="1"/>
  <c r="N52" i="16"/>
  <c r="L52" i="16" s="1"/>
  <c r="H22" i="1"/>
  <c r="N44" i="16" s="1"/>
  <c r="L44" i="16" s="1"/>
  <c r="O22" i="1"/>
  <c r="N51" i="16" s="1"/>
  <c r="L51" i="16" s="1"/>
  <c r="G22" i="1"/>
  <c r="N43" i="16" s="1"/>
  <c r="L43" i="16" s="1"/>
  <c r="K22" i="1"/>
  <c r="N47" i="16" s="1"/>
  <c r="L47" i="16" s="1"/>
  <c r="N22" i="1"/>
  <c r="N50" i="16" s="1"/>
  <c r="L50" i="16" s="1"/>
  <c r="F22" i="1"/>
  <c r="N42" i="16" s="1"/>
  <c r="L42" i="16" s="1"/>
  <c r="M22" i="1"/>
  <c r="N49" i="16" s="1"/>
  <c r="L49" i="16" s="1"/>
  <c r="N41" i="16"/>
  <c r="Q24" i="1"/>
  <c r="J7" i="1"/>
  <c r="E14" i="16" s="1"/>
  <c r="R71" i="16" s="1"/>
  <c r="O37" i="1" l="1"/>
  <c r="L71" i="16"/>
  <c r="L76" i="16" s="1"/>
  <c r="N53" i="16"/>
  <c r="L41" i="16"/>
  <c r="K42" i="1"/>
  <c r="J42" i="1"/>
  <c r="I42" i="1"/>
  <c r="H42" i="1"/>
  <c r="G42" i="1"/>
  <c r="L42" i="1"/>
  <c r="N42" i="1"/>
  <c r="F42" i="1"/>
  <c r="M42" i="1"/>
  <c r="Q22" i="1"/>
  <c r="I27" i="1"/>
  <c r="K27" i="1"/>
  <c r="E27" i="1"/>
  <c r="L27" i="1"/>
  <c r="M27" i="1"/>
  <c r="F27" i="1"/>
  <c r="N27" i="1"/>
  <c r="G27" i="1"/>
  <c r="O27" i="1"/>
  <c r="J27" i="1"/>
  <c r="H27" i="1"/>
  <c r="J12" i="1"/>
  <c r="D7" i="14" s="1"/>
  <c r="E7" i="14" l="1"/>
  <c r="F7" i="14" s="1"/>
  <c r="G7" i="14" s="1"/>
  <c r="Q71" i="16"/>
  <c r="E42" i="1"/>
  <c r="O42" i="1" s="1"/>
  <c r="L53" i="16"/>
  <c r="Q27" i="1"/>
  <c r="E19" i="16"/>
  <c r="M53" i="16" l="1"/>
  <c r="M47" i="16"/>
  <c r="M45" i="16"/>
  <c r="M52" i="16"/>
  <c r="M44" i="16"/>
  <c r="M50" i="16"/>
  <c r="M48" i="16"/>
  <c r="M43" i="16"/>
  <c r="M42" i="16"/>
  <c r="M41" i="16"/>
  <c r="M46" i="16"/>
  <c r="M49" i="16"/>
  <c r="M51" i="16"/>
  <c r="G14" i="16"/>
  <c r="R76" i="16"/>
  <c r="G17" i="16"/>
  <c r="G19" i="16"/>
  <c r="G18" i="16"/>
  <c r="G16" i="16"/>
  <c r="G15" i="16"/>
  <c r="Q76" i="16" l="1"/>
  <c r="Q77" i="16" s="1"/>
  <c r="O77" i="16"/>
  <c r="N77" i="16"/>
  <c r="M77" i="16"/>
  <c r="L77" i="16"/>
  <c r="P77" i="16"/>
  <c r="R77" i="16"/>
</calcChain>
</file>

<file path=xl/sharedStrings.xml><?xml version="1.0" encoding="utf-8"?>
<sst xmlns="http://schemas.openxmlformats.org/spreadsheetml/2006/main" count="2336" uniqueCount="947">
  <si>
    <t>電気</t>
    <rPh sb="0" eb="2">
      <t>デンキ</t>
    </rPh>
    <phoneticPr fontId="5"/>
  </si>
  <si>
    <t>都市ガス</t>
    <rPh sb="0" eb="2">
      <t>トシ</t>
    </rPh>
    <phoneticPr fontId="5"/>
  </si>
  <si>
    <t>設備名</t>
    <rPh sb="0" eb="3">
      <t>セツビメイ</t>
    </rPh>
    <phoneticPr fontId="5"/>
  </si>
  <si>
    <t>年間料金</t>
    <rPh sb="0" eb="2">
      <t>ネンカン</t>
    </rPh>
    <rPh sb="2" eb="4">
      <t>リョウキン</t>
    </rPh>
    <phoneticPr fontId="5"/>
  </si>
  <si>
    <t>光熱費</t>
    <rPh sb="0" eb="3">
      <t>コウネツヒ</t>
    </rPh>
    <phoneticPr fontId="5"/>
  </si>
  <si>
    <t>kWh</t>
    <phoneticPr fontId="5"/>
  </si>
  <si>
    <t>L</t>
    <phoneticPr fontId="5"/>
  </si>
  <si>
    <t>4月</t>
  </si>
  <si>
    <t>4月</t>
    <rPh sb="1" eb="2">
      <t>ガツ</t>
    </rPh>
    <phoneticPr fontId="5"/>
  </si>
  <si>
    <t>5月</t>
  </si>
  <si>
    <t>6月</t>
  </si>
  <si>
    <t>7月</t>
  </si>
  <si>
    <t>8月</t>
  </si>
  <si>
    <t>9月</t>
  </si>
  <si>
    <t>10月</t>
  </si>
  <si>
    <t>11月</t>
  </si>
  <si>
    <t>12月</t>
  </si>
  <si>
    <t>1月</t>
  </si>
  <si>
    <t>2月</t>
  </si>
  <si>
    <t>3月</t>
  </si>
  <si>
    <t>エネルギーの種類</t>
    <rPh sb="6" eb="8">
      <t>シュルイ</t>
    </rPh>
    <phoneticPr fontId="8"/>
  </si>
  <si>
    <t>CO2排出係数</t>
    <rPh sb="3" eb="5">
      <t>ハイシュツ</t>
    </rPh>
    <rPh sb="5" eb="7">
      <t>ケイスウ</t>
    </rPh>
    <phoneticPr fontId="8"/>
  </si>
  <si>
    <t>単位</t>
    <rPh sb="0" eb="2">
      <t>タンイ</t>
    </rPh>
    <phoneticPr fontId="8"/>
  </si>
  <si>
    <t>原油（コンデンセートを除く。）</t>
    <rPh sb="0" eb="2">
      <t>ゲンユ</t>
    </rPh>
    <rPh sb="11" eb="12">
      <t>ノゾ</t>
    </rPh>
    <phoneticPr fontId="8"/>
  </si>
  <si>
    <t>tC/GJ</t>
    <phoneticPr fontId="8"/>
  </si>
  <si>
    <t>原油のうちコンデンセート（NGL）</t>
    <rPh sb="0" eb="2">
      <t>ゲンユ</t>
    </rPh>
    <phoneticPr fontId="8"/>
  </si>
  <si>
    <t>揮発油（ガソリン）</t>
    <rPh sb="0" eb="3">
      <t>キハツユ</t>
    </rPh>
    <phoneticPr fontId="8"/>
  </si>
  <si>
    <t>ナフサ</t>
    <phoneticPr fontId="8"/>
  </si>
  <si>
    <t>灯油</t>
    <rPh sb="0" eb="2">
      <t>トウユ</t>
    </rPh>
    <phoneticPr fontId="8"/>
  </si>
  <si>
    <t>軽油</t>
    <rPh sb="0" eb="2">
      <t>ケイユ</t>
    </rPh>
    <phoneticPr fontId="8"/>
  </si>
  <si>
    <t>A重油</t>
    <rPh sb="1" eb="3">
      <t>ジュウユ</t>
    </rPh>
    <phoneticPr fontId="8"/>
  </si>
  <si>
    <t>B・C重油</t>
    <rPh sb="3" eb="5">
      <t>ジュウユ</t>
    </rPh>
    <phoneticPr fontId="8"/>
  </si>
  <si>
    <t>石油アスファルト</t>
    <rPh sb="0" eb="2">
      <t>セキユ</t>
    </rPh>
    <phoneticPr fontId="8"/>
  </si>
  <si>
    <t>石油コークス</t>
    <rPh sb="0" eb="2">
      <t>セキユ</t>
    </rPh>
    <phoneticPr fontId="8"/>
  </si>
  <si>
    <t>液化石油ガス（LPG）</t>
    <rPh sb="0" eb="2">
      <t>エキカ</t>
    </rPh>
    <rPh sb="2" eb="4">
      <t>セキユ</t>
    </rPh>
    <phoneticPr fontId="8"/>
  </si>
  <si>
    <t>石油系炭化水素ガス</t>
    <rPh sb="0" eb="3">
      <t>セキユケイ</t>
    </rPh>
    <rPh sb="3" eb="5">
      <t>タンカ</t>
    </rPh>
    <rPh sb="5" eb="7">
      <t>スイソ</t>
    </rPh>
    <phoneticPr fontId="8"/>
  </si>
  <si>
    <t>液化天然ガス（LＮG）</t>
    <rPh sb="0" eb="2">
      <t>エキカ</t>
    </rPh>
    <rPh sb="2" eb="4">
      <t>テンネン</t>
    </rPh>
    <phoneticPr fontId="8"/>
  </si>
  <si>
    <t>その他可燃性天然ガス</t>
    <rPh sb="2" eb="3">
      <t>タ</t>
    </rPh>
    <rPh sb="3" eb="6">
      <t>カネンセイ</t>
    </rPh>
    <rPh sb="6" eb="8">
      <t>テンネン</t>
    </rPh>
    <phoneticPr fontId="8"/>
  </si>
  <si>
    <t>原料炭</t>
    <rPh sb="0" eb="2">
      <t>ゲンリョウ</t>
    </rPh>
    <rPh sb="2" eb="3">
      <t>タン</t>
    </rPh>
    <phoneticPr fontId="8"/>
  </si>
  <si>
    <t>一般炭</t>
    <rPh sb="0" eb="2">
      <t>イッパン</t>
    </rPh>
    <rPh sb="2" eb="3">
      <t>タン</t>
    </rPh>
    <phoneticPr fontId="8"/>
  </si>
  <si>
    <t>無煙炭</t>
    <rPh sb="0" eb="2">
      <t>ムエン</t>
    </rPh>
    <rPh sb="2" eb="3">
      <t>タン</t>
    </rPh>
    <phoneticPr fontId="8"/>
  </si>
  <si>
    <t>石炭コークス</t>
    <rPh sb="0" eb="2">
      <t>セキタン</t>
    </rPh>
    <phoneticPr fontId="8"/>
  </si>
  <si>
    <t>コールタール</t>
    <phoneticPr fontId="8"/>
  </si>
  <si>
    <t>コークス炉ガス</t>
    <rPh sb="4" eb="5">
      <t>ロ</t>
    </rPh>
    <phoneticPr fontId="8"/>
  </si>
  <si>
    <t>高炉ガス</t>
    <rPh sb="0" eb="2">
      <t>コウロ</t>
    </rPh>
    <phoneticPr fontId="8"/>
  </si>
  <si>
    <t>転炉ガス</t>
    <rPh sb="0" eb="2">
      <t>テンロ</t>
    </rPh>
    <phoneticPr fontId="8"/>
  </si>
  <si>
    <t>都市ガス</t>
    <rPh sb="0" eb="2">
      <t>トシ</t>
    </rPh>
    <phoneticPr fontId="8"/>
  </si>
  <si>
    <t>産業用蒸気</t>
    <rPh sb="0" eb="3">
      <t>サンギョウヨウ</t>
    </rPh>
    <rPh sb="3" eb="5">
      <t>ジョウキ</t>
    </rPh>
    <phoneticPr fontId="8"/>
  </si>
  <si>
    <t>tCO2/GJ</t>
    <phoneticPr fontId="8"/>
  </si>
  <si>
    <t>産業用以外の蒸気</t>
    <rPh sb="0" eb="3">
      <t>サンギョウヨウ</t>
    </rPh>
    <rPh sb="3" eb="5">
      <t>イガイ</t>
    </rPh>
    <rPh sb="6" eb="8">
      <t>ジョウキ</t>
    </rPh>
    <phoneticPr fontId="8"/>
  </si>
  <si>
    <t>温水</t>
    <rPh sb="0" eb="2">
      <t>オンスイ</t>
    </rPh>
    <phoneticPr fontId="8"/>
  </si>
  <si>
    <t>冷水</t>
    <rPh sb="0" eb="2">
      <t>レイスイ</t>
    </rPh>
    <phoneticPr fontId="8"/>
  </si>
  <si>
    <t>tCO2/kWh</t>
    <phoneticPr fontId="8"/>
  </si>
  <si>
    <t>排出係数</t>
    <rPh sb="0" eb="4">
      <t>ハイシュツケイスウ</t>
    </rPh>
    <phoneticPr fontId="8"/>
  </si>
  <si>
    <t>単位発熱量</t>
    <phoneticPr fontId="5"/>
  </si>
  <si>
    <t>発熱量単位</t>
    <rPh sb="3" eb="5">
      <t>タンイ</t>
    </rPh>
    <phoneticPr fontId="8"/>
  </si>
  <si>
    <t>エネルギー単位</t>
    <rPh sb="5" eb="7">
      <t>タンイ</t>
    </rPh>
    <phoneticPr fontId="8"/>
  </si>
  <si>
    <t>炭素換算</t>
    <rPh sb="0" eb="4">
      <t>タンソカンサン</t>
    </rPh>
    <phoneticPr fontId="8"/>
  </si>
  <si>
    <t>CO2排出量</t>
    <rPh sb="3" eb="6">
      <t>ハイシュツリョウ</t>
    </rPh>
    <phoneticPr fontId="5"/>
  </si>
  <si>
    <t>（参考)CO2排出係数</t>
    <rPh sb="1" eb="3">
      <t>サンコウ</t>
    </rPh>
    <rPh sb="7" eb="9">
      <t>ハイシュツ</t>
    </rPh>
    <rPh sb="9" eb="11">
      <t>ケイスウ</t>
    </rPh>
    <phoneticPr fontId="8"/>
  </si>
  <si>
    <t>合計</t>
    <rPh sb="0" eb="2">
      <t>ゴウケイ</t>
    </rPh>
    <phoneticPr fontId="5"/>
  </si>
  <si>
    <t>円/年</t>
    <phoneticPr fontId="5"/>
  </si>
  <si>
    <t>tCO2/年</t>
    <rPh sb="5" eb="6">
      <t>ネン</t>
    </rPh>
    <phoneticPr fontId="5"/>
  </si>
  <si>
    <t>tCO2/月</t>
    <rPh sb="5" eb="6">
      <t>ツキ</t>
    </rPh>
    <phoneticPr fontId="5"/>
  </si>
  <si>
    <t>毎時の電力使用量（デマンド）把握</t>
    <rPh sb="0" eb="2">
      <t>マイジ</t>
    </rPh>
    <rPh sb="3" eb="5">
      <t>デンリョク</t>
    </rPh>
    <rPh sb="5" eb="8">
      <t>シヨウリョウ</t>
    </rPh>
    <rPh sb="14" eb="16">
      <t>ハアク</t>
    </rPh>
    <phoneticPr fontId="5"/>
  </si>
  <si>
    <t>主要エネルギーの月別使用量把握</t>
    <rPh sb="0" eb="2">
      <t>シュヨウ</t>
    </rPh>
    <rPh sb="8" eb="10">
      <t>ツキベツ</t>
    </rPh>
    <rPh sb="10" eb="13">
      <t>シヨウリョウ</t>
    </rPh>
    <rPh sb="13" eb="15">
      <t>ハアク</t>
    </rPh>
    <phoneticPr fontId="5"/>
  </si>
  <si>
    <t>推進体制の整備</t>
    <phoneticPr fontId="5"/>
  </si>
  <si>
    <t>点検、検査措置の記録作成及び記録の一定期間の保存</t>
    <phoneticPr fontId="5"/>
  </si>
  <si>
    <t>低炭素電力の利用</t>
    <phoneticPr fontId="5"/>
  </si>
  <si>
    <t>再生可能エネルギー源により発電した電力や二酸化炭素排出係数のより小さい電力を積極的に利用</t>
    <phoneticPr fontId="5"/>
  </si>
  <si>
    <t>温室効果ガスの排出量削減につながる体制</t>
    <rPh sb="17" eb="19">
      <t>タイセイ</t>
    </rPh>
    <phoneticPr fontId="5"/>
  </si>
  <si>
    <t>エネルギー使用量の把握</t>
    <phoneticPr fontId="5"/>
  </si>
  <si>
    <t>空気比管理</t>
    <phoneticPr fontId="5"/>
  </si>
  <si>
    <t>熱源設備における燃焼設備（吸収式冷凍機、冷温水発生器等）の空気比管理</t>
    <phoneticPr fontId="5"/>
  </si>
  <si>
    <t>台数制御</t>
    <rPh sb="0" eb="4">
      <t>ダイスウセイギョ</t>
    </rPh>
    <phoneticPr fontId="5"/>
  </si>
  <si>
    <t>非表示シート</t>
    <rPh sb="0" eb="3">
      <t>ヒヒョウジ</t>
    </rPh>
    <phoneticPr fontId="5"/>
  </si>
  <si>
    <t>更新前</t>
    <rPh sb="0" eb="3">
      <t>コウシンマエ</t>
    </rPh>
    <phoneticPr fontId="5"/>
  </si>
  <si>
    <t>台</t>
    <rPh sb="0" eb="1">
      <t>ダイ</t>
    </rPh>
    <phoneticPr fontId="5"/>
  </si>
  <si>
    <t>W/台</t>
    <rPh sb="2" eb="3">
      <t>ダイ</t>
    </rPh>
    <phoneticPr fontId="5"/>
  </si>
  <si>
    <t>時間／日</t>
    <rPh sb="0" eb="2">
      <t>ジカン</t>
    </rPh>
    <rPh sb="3" eb="4">
      <t>ニチ</t>
    </rPh>
    <phoneticPr fontId="5"/>
  </si>
  <si>
    <t>年間使用日数</t>
    <rPh sb="0" eb="2">
      <t>ネンカン</t>
    </rPh>
    <rPh sb="2" eb="4">
      <t>シヨウ</t>
    </rPh>
    <rPh sb="4" eb="6">
      <t>ニッスウ</t>
    </rPh>
    <phoneticPr fontId="5"/>
  </si>
  <si>
    <t>日／年</t>
    <rPh sb="0" eb="1">
      <t>ニチ</t>
    </rPh>
    <rPh sb="2" eb="3">
      <t>ネン</t>
    </rPh>
    <phoneticPr fontId="5"/>
  </si>
  <si>
    <t>時間／年</t>
    <rPh sb="0" eb="2">
      <t>ジカン</t>
    </rPh>
    <rPh sb="3" eb="4">
      <t>ネン</t>
    </rPh>
    <phoneticPr fontId="5"/>
  </si>
  <si>
    <t>日点灯時間</t>
    <rPh sb="0" eb="1">
      <t>ニチ</t>
    </rPh>
    <rPh sb="1" eb="5">
      <t>テントウジカン</t>
    </rPh>
    <phoneticPr fontId="5"/>
  </si>
  <si>
    <t>年間消費電力量</t>
    <rPh sb="0" eb="2">
      <t>ネンカン</t>
    </rPh>
    <rPh sb="2" eb="7">
      <t>ショウヒデンリョクリョウ</t>
    </rPh>
    <phoneticPr fontId="5"/>
  </si>
  <si>
    <t>kWh/年</t>
    <rPh sb="4" eb="5">
      <t>ネン</t>
    </rPh>
    <phoneticPr fontId="5"/>
  </si>
  <si>
    <t>数量(n)</t>
    <rPh sb="0" eb="2">
      <t>スウリョウ</t>
    </rPh>
    <phoneticPr fontId="5"/>
  </si>
  <si>
    <t>更新後</t>
    <rPh sb="0" eb="2">
      <t>コウシン</t>
    </rPh>
    <rPh sb="2" eb="3">
      <t>ゴ</t>
    </rPh>
    <phoneticPr fontId="5"/>
  </si>
  <si>
    <t>主要エネルギー種類別の年間使用量と光熱費</t>
    <rPh sb="0" eb="2">
      <t>シュヨウ</t>
    </rPh>
    <rPh sb="7" eb="10">
      <t>シュルイベツ</t>
    </rPh>
    <rPh sb="11" eb="13">
      <t>ネンカン</t>
    </rPh>
    <rPh sb="13" eb="16">
      <t>シヨウリョウ</t>
    </rPh>
    <rPh sb="17" eb="20">
      <t>コウネツヒ</t>
    </rPh>
    <phoneticPr fontId="5"/>
  </si>
  <si>
    <t>単価</t>
    <rPh sb="0" eb="2">
      <t>タンカ</t>
    </rPh>
    <phoneticPr fontId="5"/>
  </si>
  <si>
    <t>円/年</t>
    <rPh sb="0" eb="1">
      <t>エン</t>
    </rPh>
    <rPh sb="2" eb="3">
      <t>ネン</t>
    </rPh>
    <phoneticPr fontId="5"/>
  </si>
  <si>
    <t>㎥</t>
    <phoneticPr fontId="5"/>
  </si>
  <si>
    <t>kg</t>
    <phoneticPr fontId="5"/>
  </si>
  <si>
    <t>概算単価</t>
    <rPh sb="0" eb="2">
      <t>ガイサン</t>
    </rPh>
    <rPh sb="2" eb="4">
      <t>タンカ</t>
    </rPh>
    <phoneticPr fontId="5"/>
  </si>
  <si>
    <t>削減効果</t>
    <rPh sb="0" eb="2">
      <t>サクゲン</t>
    </rPh>
    <rPh sb="2" eb="4">
      <t>コウカ</t>
    </rPh>
    <phoneticPr fontId="5"/>
  </si>
  <si>
    <t>日稼働時間</t>
    <rPh sb="0" eb="1">
      <t>ニチ</t>
    </rPh>
    <rPh sb="1" eb="3">
      <t>カドウ</t>
    </rPh>
    <rPh sb="3" eb="5">
      <t>ジカン</t>
    </rPh>
    <phoneticPr fontId="5"/>
  </si>
  <si>
    <t>kW/台</t>
    <rPh sb="3" eb="4">
      <t>ダイ</t>
    </rPh>
    <phoneticPr fontId="5"/>
  </si>
  <si>
    <t>数量(n')</t>
    <rPh sb="0" eb="2">
      <t>スウリョウ</t>
    </rPh>
    <phoneticPr fontId="5"/>
  </si>
  <si>
    <t>運転種別</t>
    <phoneticPr fontId="5"/>
  </si>
  <si>
    <t>冷房</t>
  </si>
  <si>
    <t>暖房</t>
  </si>
  <si>
    <t>用途</t>
    <rPh sb="0" eb="2">
      <t>ヨウト</t>
    </rPh>
    <phoneticPr fontId="12"/>
  </si>
  <si>
    <t>事務所</t>
  </si>
  <si>
    <t>事務所</t>
    <rPh sb="0" eb="3">
      <t>ジムショ</t>
    </rPh>
    <phoneticPr fontId="12"/>
  </si>
  <si>
    <t>店舗</t>
    <rPh sb="0" eb="2">
      <t>テンポ</t>
    </rPh>
    <phoneticPr fontId="12"/>
  </si>
  <si>
    <t>標準外</t>
    <rPh sb="0" eb="3">
      <t>ヒョウジュンガイ</t>
    </rPh>
    <phoneticPr fontId="12"/>
  </si>
  <si>
    <t>冷房</t>
    <rPh sb="0" eb="2">
      <t>レイボウ</t>
    </rPh>
    <phoneticPr fontId="12"/>
  </si>
  <si>
    <t>暖房</t>
    <rPh sb="0" eb="2">
      <t>ダンボウ</t>
    </rPh>
    <phoneticPr fontId="12"/>
  </si>
  <si>
    <t>「標準外」を使う場合には、使用条件から負荷率（0～100%）を入力し、数値の設定理由・根拠を示してください。</t>
    <rPh sb="6" eb="7">
      <t>ツカ</t>
    </rPh>
    <rPh sb="8" eb="10">
      <t>バアイ</t>
    </rPh>
    <rPh sb="13" eb="17">
      <t>シヨウジョウケン</t>
    </rPh>
    <rPh sb="19" eb="22">
      <t>フカリツ</t>
    </rPh>
    <rPh sb="35" eb="37">
      <t>スウチ</t>
    </rPh>
    <rPh sb="38" eb="40">
      <t>セッテイ</t>
    </rPh>
    <rPh sb="40" eb="42">
      <t>リユウ</t>
    </rPh>
    <rPh sb="43" eb="45">
      <t>コンキョ</t>
    </rPh>
    <rPh sb="46" eb="47">
      <t>シメ</t>
    </rPh>
    <phoneticPr fontId="12"/>
  </si>
  <si>
    <t>事務所および店舗の冷暖房負荷率は、</t>
    <rPh sb="0" eb="3">
      <t>ジムショ</t>
    </rPh>
    <rPh sb="6" eb="8">
      <t>テンポ</t>
    </rPh>
    <rPh sb="9" eb="12">
      <t>レイダンボウ</t>
    </rPh>
    <rPh sb="12" eb="15">
      <t>フカリツ</t>
    </rPh>
    <phoneticPr fontId="12"/>
  </si>
  <si>
    <t>JIS B 8616に定められた代表12地域における冷房及び暖房負荷率を、同JISに準じた想定負荷と外気温度発生 データを用いて算出。</t>
  </si>
  <si>
    <t>負荷率</t>
    <rPh sb="0" eb="3">
      <t>フカリツ</t>
    </rPh>
    <phoneticPr fontId="5"/>
  </si>
  <si>
    <t>㎥/年</t>
    <rPh sb="2" eb="3">
      <t>ネン</t>
    </rPh>
    <phoneticPr fontId="5"/>
  </si>
  <si>
    <t>消費ガス量</t>
    <rPh sb="0" eb="2">
      <t>ショウヒ</t>
    </rPh>
    <rPh sb="4" eb="5">
      <t>リョウ</t>
    </rPh>
    <phoneticPr fontId="5"/>
  </si>
  <si>
    <t>ガス種類</t>
    <rPh sb="2" eb="4">
      <t>シュルイ</t>
    </rPh>
    <phoneticPr fontId="12"/>
  </si>
  <si>
    <t>(㎥/(kW・h))</t>
    <phoneticPr fontId="12"/>
  </si>
  <si>
    <t>13A</t>
    <phoneticPr fontId="12"/>
  </si>
  <si>
    <t>12A</t>
    <phoneticPr fontId="12"/>
  </si>
  <si>
    <t>LP</t>
    <phoneticPr fontId="12"/>
  </si>
  <si>
    <t>機種1</t>
    <rPh sb="0" eb="2">
      <t>キシュ</t>
    </rPh>
    <phoneticPr fontId="5"/>
  </si>
  <si>
    <t>機種2</t>
    <rPh sb="0" eb="2">
      <t>キシュ</t>
    </rPh>
    <phoneticPr fontId="5"/>
  </si>
  <si>
    <t>機種3</t>
    <rPh sb="0" eb="2">
      <t>キシュ</t>
    </rPh>
    <phoneticPr fontId="5"/>
  </si>
  <si>
    <t>機種4</t>
    <rPh sb="0" eb="2">
      <t>キシュ</t>
    </rPh>
    <phoneticPr fontId="5"/>
  </si>
  <si>
    <t>機種5</t>
    <rPh sb="0" eb="2">
      <t>キシュ</t>
    </rPh>
    <phoneticPr fontId="5"/>
  </si>
  <si>
    <t>機種6</t>
    <rPh sb="0" eb="2">
      <t>キシュ</t>
    </rPh>
    <phoneticPr fontId="5"/>
  </si>
  <si>
    <t>機種7</t>
    <rPh sb="0" eb="2">
      <t>キシュ</t>
    </rPh>
    <phoneticPr fontId="5"/>
  </si>
  <si>
    <t>機種8</t>
    <rPh sb="0" eb="2">
      <t>キシュ</t>
    </rPh>
    <phoneticPr fontId="5"/>
  </si>
  <si>
    <t>機種9</t>
    <rPh sb="0" eb="2">
      <t>キシュ</t>
    </rPh>
    <phoneticPr fontId="5"/>
  </si>
  <si>
    <t>機種10</t>
    <rPh sb="0" eb="2">
      <t>キシュ</t>
    </rPh>
    <phoneticPr fontId="5"/>
  </si>
  <si>
    <t>機種11</t>
    <rPh sb="0" eb="2">
      <t>キシュ</t>
    </rPh>
    <phoneticPr fontId="5"/>
  </si>
  <si>
    <t>機種12</t>
    <rPh sb="0" eb="2">
      <t>キシュ</t>
    </rPh>
    <phoneticPr fontId="5"/>
  </si>
  <si>
    <t>機種13</t>
    <rPh sb="0" eb="2">
      <t>キシュ</t>
    </rPh>
    <phoneticPr fontId="5"/>
  </si>
  <si>
    <t>機種14</t>
    <rPh sb="0" eb="2">
      <t>キシュ</t>
    </rPh>
    <phoneticPr fontId="5"/>
  </si>
  <si>
    <t>機種15</t>
    <rPh sb="0" eb="2">
      <t>キシュ</t>
    </rPh>
    <phoneticPr fontId="5"/>
  </si>
  <si>
    <t>機種16</t>
    <rPh sb="0" eb="2">
      <t>キシュ</t>
    </rPh>
    <phoneticPr fontId="5"/>
  </si>
  <si>
    <t>機種17</t>
    <rPh sb="0" eb="2">
      <t>キシュ</t>
    </rPh>
    <phoneticPr fontId="5"/>
  </si>
  <si>
    <t>機種18</t>
    <rPh sb="0" eb="2">
      <t>キシュ</t>
    </rPh>
    <phoneticPr fontId="5"/>
  </si>
  <si>
    <t>機種19</t>
    <rPh sb="0" eb="2">
      <t>キシュ</t>
    </rPh>
    <phoneticPr fontId="5"/>
  </si>
  <si>
    <t>機種20</t>
    <rPh sb="0" eb="2">
      <t>キシュ</t>
    </rPh>
    <phoneticPr fontId="5"/>
  </si>
  <si>
    <t>機種別内訳</t>
    <rPh sb="0" eb="3">
      <t>キシュベツ</t>
    </rPh>
    <rPh sb="3" eb="5">
      <t>ウチワケ</t>
    </rPh>
    <phoneticPr fontId="5"/>
  </si>
  <si>
    <t>単位</t>
    <rPh sb="0" eb="2">
      <t>タンイ</t>
    </rPh>
    <phoneticPr fontId="5"/>
  </si>
  <si>
    <t>項目</t>
    <rPh sb="0" eb="2">
      <t>コウモク</t>
    </rPh>
    <phoneticPr fontId="5"/>
  </si>
  <si>
    <t>年間稼働時間(b)</t>
    <rPh sb="0" eb="2">
      <t>ネンカン</t>
    </rPh>
    <rPh sb="2" eb="4">
      <t>カドウ</t>
    </rPh>
    <rPh sb="4" eb="6">
      <t>ジカン</t>
    </rPh>
    <phoneticPr fontId="5"/>
  </si>
  <si>
    <t>年間稼働時間(b')</t>
    <rPh sb="0" eb="2">
      <t>ネンカン</t>
    </rPh>
    <rPh sb="2" eb="4">
      <t>カドウ</t>
    </rPh>
    <rPh sb="4" eb="6">
      <t>ジカン</t>
    </rPh>
    <phoneticPr fontId="5"/>
  </si>
  <si>
    <t>事業所のエネルギー使用量の把握</t>
    <rPh sb="0" eb="3">
      <t>ジギョウショ</t>
    </rPh>
    <rPh sb="9" eb="12">
      <t>シヨウリョウ</t>
    </rPh>
    <rPh sb="13" eb="15">
      <t>ハアク</t>
    </rPh>
    <phoneticPr fontId="5"/>
  </si>
  <si>
    <t>燃料消費量</t>
    <rPh sb="0" eb="2">
      <t>ネンリョウ</t>
    </rPh>
    <rPh sb="2" eb="4">
      <t>ショウヒ</t>
    </rPh>
    <rPh sb="4" eb="5">
      <t>リョウ</t>
    </rPh>
    <phoneticPr fontId="5"/>
  </si>
  <si>
    <t>燃料種類</t>
    <rPh sb="0" eb="2">
      <t>ネンリョウ</t>
    </rPh>
    <rPh sb="2" eb="4">
      <t>シュルイ</t>
    </rPh>
    <phoneticPr fontId="12"/>
  </si>
  <si>
    <t>排出係数</t>
    <rPh sb="0" eb="4">
      <t>ハイシュツケイスウ</t>
    </rPh>
    <phoneticPr fontId="5"/>
  </si>
  <si>
    <t>燃料単位</t>
    <rPh sb="0" eb="4">
      <t>ネンリョウタンイ</t>
    </rPh>
    <phoneticPr fontId="5"/>
  </si>
  <si>
    <t>ファンについて、負荷の変動等に応じたインバーター制御整</t>
    <rPh sb="15" eb="16">
      <t>オウ</t>
    </rPh>
    <rPh sb="24" eb="26">
      <t>セイギョ</t>
    </rPh>
    <phoneticPr fontId="5"/>
  </si>
  <si>
    <t>ポンプについて、負荷の変動等に応じたインバーター制御整</t>
    <rPh sb="15" eb="16">
      <t>オウ</t>
    </rPh>
    <rPh sb="24" eb="26">
      <t>セイギョ</t>
    </rPh>
    <phoneticPr fontId="5"/>
  </si>
  <si>
    <t>ファンのインバーター制御</t>
    <rPh sb="10" eb="12">
      <t>セイギョ</t>
    </rPh>
    <phoneticPr fontId="5"/>
  </si>
  <si>
    <t>ポンプのインバーター制御</t>
    <rPh sb="10" eb="12">
      <t>セイギョ</t>
    </rPh>
    <phoneticPr fontId="5"/>
  </si>
  <si>
    <t>機器管理台帳の整備</t>
    <rPh sb="7" eb="9">
      <t>セイビ</t>
    </rPh>
    <phoneticPr fontId="5"/>
  </si>
  <si>
    <t>管理標準の作成</t>
    <rPh sb="5" eb="7">
      <t>サクセイ</t>
    </rPh>
    <phoneticPr fontId="5"/>
  </si>
  <si>
    <t>点検記録の作成</t>
    <rPh sb="0" eb="2">
      <t>テンケン</t>
    </rPh>
    <rPh sb="2" eb="4">
      <t>キロク</t>
    </rPh>
    <rPh sb="5" eb="7">
      <t>サクセイ</t>
    </rPh>
    <phoneticPr fontId="5"/>
  </si>
  <si>
    <t>空調の温度設定条件を定めて運用している</t>
    <rPh sb="0" eb="2">
      <t>クウチョウ</t>
    </rPh>
    <rPh sb="3" eb="7">
      <t>オンドセッテイ</t>
    </rPh>
    <rPh sb="7" eb="9">
      <t>ジョウケン</t>
    </rPh>
    <rPh sb="10" eb="11">
      <t>サダ</t>
    </rPh>
    <rPh sb="13" eb="15">
      <t>ウンヨウ</t>
    </rPh>
    <phoneticPr fontId="5"/>
  </si>
  <si>
    <t>説明</t>
    <rPh sb="0" eb="2">
      <t>セツメイ</t>
    </rPh>
    <phoneticPr fontId="5"/>
  </si>
  <si>
    <t>省エネアドバイス</t>
    <rPh sb="0" eb="1">
      <t>ショウ</t>
    </rPh>
    <phoneticPr fontId="5"/>
  </si>
  <si>
    <t>温室効果ガスの排出量削減を目的とした、主要設備等に係る運転管理、計測・記録、保守・点検についての自主マニュアル（「管理標準」）の作成</t>
    <phoneticPr fontId="5"/>
  </si>
  <si>
    <t>　管理標準により、運転管理、計測・記録、保守・点検の現状を把握することで、改善点を見直す際に役立ちます。</t>
    <rPh sb="26" eb="28">
      <t>ゲンジョウ</t>
    </rPh>
    <rPh sb="29" eb="31">
      <t>ハアク</t>
    </rPh>
    <rPh sb="37" eb="40">
      <t>カイゼンテン</t>
    </rPh>
    <rPh sb="41" eb="43">
      <t>ミナオ</t>
    </rPh>
    <rPh sb="44" eb="45">
      <t>サイ</t>
    </rPh>
    <rPh sb="46" eb="48">
      <t>ヤクダ</t>
    </rPh>
    <phoneticPr fontId="5"/>
  </si>
  <si>
    <t>　正確な記録、数値に基づいて、設備の健全度の把握、問題点の発見、改善効果を把握することができます。</t>
    <rPh sb="1" eb="3">
      <t>セイカク</t>
    </rPh>
    <rPh sb="4" eb="6">
      <t>キロク</t>
    </rPh>
    <rPh sb="7" eb="9">
      <t>スウチ</t>
    </rPh>
    <rPh sb="10" eb="11">
      <t>モト</t>
    </rPh>
    <rPh sb="15" eb="17">
      <t>セツビ</t>
    </rPh>
    <rPh sb="18" eb="21">
      <t>ケンゼンド</t>
    </rPh>
    <rPh sb="22" eb="24">
      <t>ハアク</t>
    </rPh>
    <rPh sb="25" eb="28">
      <t>モンダイテン</t>
    </rPh>
    <rPh sb="29" eb="31">
      <t>ハッケン</t>
    </rPh>
    <rPh sb="32" eb="36">
      <t>カイゼンコウカ</t>
    </rPh>
    <rPh sb="37" eb="39">
      <t>ハアク</t>
    </rPh>
    <phoneticPr fontId="5"/>
  </si>
  <si>
    <t>https://www.env.go.jp/earth/ondanka/gel/ghg-guideline/business/measures/view/17.html</t>
    <phoneticPr fontId="5"/>
  </si>
  <si>
    <t>蒸気配管や蒸気バルブの保温</t>
    <rPh sb="11" eb="13">
      <t>ホオン</t>
    </rPh>
    <phoneticPr fontId="5"/>
  </si>
  <si>
    <t>熱源設備、ファン、あるいはポンプがが複数台で構成されている場合、負荷の変動等に応じた稼働台数の調整</t>
    <rPh sb="20" eb="21">
      <t>ダイ</t>
    </rPh>
    <phoneticPr fontId="5"/>
  </si>
  <si>
    <t>照明対象範囲の細分化</t>
  </si>
  <si>
    <t>照明人感センサー</t>
    <rPh sb="0" eb="2">
      <t>ショウメイ</t>
    </rPh>
    <rPh sb="2" eb="4">
      <t>ジンカン</t>
    </rPh>
    <phoneticPr fontId="5"/>
  </si>
  <si>
    <t>実施状況</t>
    <rPh sb="0" eb="4">
      <t>ジッシジョウキョウ</t>
    </rPh>
    <phoneticPr fontId="5"/>
  </si>
  <si>
    <t>年間使用量</t>
    <rPh sb="0" eb="2">
      <t>ネンカン</t>
    </rPh>
    <rPh sb="2" eb="5">
      <t>シヨウリョウ</t>
    </rPh>
    <phoneticPr fontId="5"/>
  </si>
  <si>
    <t>LPGのL→kg換算</t>
    <rPh sb="8" eb="10">
      <t>カンサン</t>
    </rPh>
    <phoneticPr fontId="5"/>
  </si>
  <si>
    <t>メーカー・型番</t>
    <rPh sb="5" eb="7">
      <t>カタバン</t>
    </rPh>
    <phoneticPr fontId="5"/>
  </si>
  <si>
    <t>主要設備または主要工程のエネルギー使用量の把握</t>
    <rPh sb="0" eb="4">
      <t>シュヨウセツビ</t>
    </rPh>
    <rPh sb="7" eb="9">
      <t>シュヨウ</t>
    </rPh>
    <rPh sb="9" eb="11">
      <t>コウテイ</t>
    </rPh>
    <rPh sb="17" eb="20">
      <t>シヨウリョウ</t>
    </rPh>
    <rPh sb="21" eb="23">
      <t>ハアク</t>
    </rPh>
    <phoneticPr fontId="5"/>
  </si>
  <si>
    <t>選択</t>
    <rPh sb="0" eb="2">
      <t>センタク</t>
    </rPh>
    <phoneticPr fontId="5"/>
  </si>
  <si>
    <t>設備1</t>
    <rPh sb="0" eb="2">
      <t>セツビ</t>
    </rPh>
    <phoneticPr fontId="5"/>
  </si>
  <si>
    <t>設備2</t>
    <rPh sb="0" eb="2">
      <t>セツビ</t>
    </rPh>
    <phoneticPr fontId="5"/>
  </si>
  <si>
    <t>設備3</t>
    <rPh sb="0" eb="2">
      <t>セツビ</t>
    </rPh>
    <phoneticPr fontId="5"/>
  </si>
  <si>
    <t>設備4</t>
    <rPh sb="0" eb="2">
      <t>セツビ</t>
    </rPh>
    <phoneticPr fontId="5"/>
  </si>
  <si>
    <t>設備5</t>
    <rPh sb="0" eb="2">
      <t>セツビ</t>
    </rPh>
    <phoneticPr fontId="5"/>
  </si>
  <si>
    <t>設備6</t>
    <rPh sb="0" eb="2">
      <t>セツビ</t>
    </rPh>
    <phoneticPr fontId="5"/>
  </si>
  <si>
    <t>設備7</t>
    <rPh sb="0" eb="2">
      <t>セツビ</t>
    </rPh>
    <phoneticPr fontId="5"/>
  </si>
  <si>
    <t>設備8</t>
    <rPh sb="0" eb="2">
      <t>セツビ</t>
    </rPh>
    <phoneticPr fontId="5"/>
  </si>
  <si>
    <t>設備9</t>
    <rPh sb="0" eb="2">
      <t>セツビ</t>
    </rPh>
    <phoneticPr fontId="5"/>
  </si>
  <si>
    <t>設備10</t>
    <rPh sb="0" eb="2">
      <t>セツビ</t>
    </rPh>
    <phoneticPr fontId="5"/>
  </si>
  <si>
    <t>設備11</t>
    <rPh sb="0" eb="2">
      <t>セツビ</t>
    </rPh>
    <phoneticPr fontId="5"/>
  </si>
  <si>
    <t>設備12</t>
    <rPh sb="0" eb="2">
      <t>セツビ</t>
    </rPh>
    <phoneticPr fontId="5"/>
  </si>
  <si>
    <t>設備13</t>
    <rPh sb="0" eb="2">
      <t>セツビ</t>
    </rPh>
    <phoneticPr fontId="5"/>
  </si>
  <si>
    <t>設備14</t>
    <rPh sb="0" eb="2">
      <t>セツビ</t>
    </rPh>
    <phoneticPr fontId="5"/>
  </si>
  <si>
    <t>設備15</t>
    <rPh sb="0" eb="2">
      <t>セツビ</t>
    </rPh>
    <phoneticPr fontId="5"/>
  </si>
  <si>
    <t>設備16</t>
    <rPh sb="0" eb="2">
      <t>セツビ</t>
    </rPh>
    <phoneticPr fontId="5"/>
  </si>
  <si>
    <t>設備17</t>
    <rPh sb="0" eb="2">
      <t>セツビ</t>
    </rPh>
    <phoneticPr fontId="5"/>
  </si>
  <si>
    <t>設備18</t>
    <rPh sb="0" eb="2">
      <t>セツビ</t>
    </rPh>
    <phoneticPr fontId="5"/>
  </si>
  <si>
    <t>設備19</t>
    <rPh sb="0" eb="2">
      <t>セツビ</t>
    </rPh>
    <phoneticPr fontId="5"/>
  </si>
  <si>
    <t>設備20</t>
    <rPh sb="0" eb="2">
      <t>セツビ</t>
    </rPh>
    <phoneticPr fontId="5"/>
  </si>
  <si>
    <t>削減量</t>
  </si>
  <si>
    <t>項目</t>
    <rPh sb="0" eb="2">
      <t>コウモク</t>
    </rPh>
    <phoneticPr fontId="5"/>
  </si>
  <si>
    <t>単位</t>
    <rPh sb="0" eb="2">
      <t>タンイ</t>
    </rPh>
    <phoneticPr fontId="5"/>
  </si>
  <si>
    <t>光熱費</t>
  </si>
  <si>
    <t>削減率</t>
    <rPh sb="0" eb="3">
      <t>サクゲンリツ</t>
    </rPh>
    <phoneticPr fontId="5"/>
  </si>
  <si>
    <t>その他設備の更新</t>
    <rPh sb="2" eb="5">
      <t>タセツビ</t>
    </rPh>
    <rPh sb="6" eb="8">
      <t>コウシン</t>
    </rPh>
    <phoneticPr fontId="5"/>
  </si>
  <si>
    <t>その他設備の更新によるCO2削減量、光熱費削減量</t>
    <rPh sb="2" eb="3">
      <t>タ</t>
    </rPh>
    <rPh sb="3" eb="5">
      <t>セツビ</t>
    </rPh>
    <rPh sb="6" eb="8">
      <t>コウシン</t>
    </rPh>
    <rPh sb="14" eb="17">
      <t>サクゲンリョウ</t>
    </rPh>
    <rPh sb="18" eb="21">
      <t>コウネツヒ</t>
    </rPh>
    <rPh sb="21" eb="24">
      <t>サクゲンリョウ</t>
    </rPh>
    <phoneticPr fontId="5"/>
  </si>
  <si>
    <t>再生可能エネルギーの活用</t>
    <rPh sb="0" eb="4">
      <t>サイセイカノウ</t>
    </rPh>
    <rPh sb="10" eb="12">
      <t>カツヨウ</t>
    </rPh>
    <phoneticPr fontId="5"/>
  </si>
  <si>
    <t>kW</t>
    <phoneticPr fontId="5"/>
  </si>
  <si>
    <t>円/年</t>
    <phoneticPr fontId="5"/>
  </si>
  <si>
    <t>ピーク電力等把握</t>
    <rPh sb="3" eb="5">
      <t>デンリョク</t>
    </rPh>
    <rPh sb="5" eb="6">
      <t>トウ</t>
    </rPh>
    <rPh sb="6" eb="8">
      <t>ハアク</t>
    </rPh>
    <phoneticPr fontId="5"/>
  </si>
  <si>
    <t>%</t>
    <phoneticPr fontId="5"/>
  </si>
  <si>
    <t>力率</t>
    <rPh sb="0" eb="2">
      <t>リキリツ</t>
    </rPh>
    <phoneticPr fontId="5"/>
  </si>
  <si>
    <t>（請求書参照）</t>
  </si>
  <si>
    <t>再エネ発電　出力計</t>
    <rPh sb="0" eb="1">
      <t>サイ</t>
    </rPh>
    <rPh sb="3" eb="5">
      <t>ハツデン</t>
    </rPh>
    <rPh sb="6" eb="8">
      <t>シュツリョク</t>
    </rPh>
    <rPh sb="8" eb="9">
      <t>ケイ</t>
    </rPh>
    <phoneticPr fontId="5"/>
  </si>
  <si>
    <t>kWh/年</t>
    <rPh sb="4" eb="5">
      <t>ネン</t>
    </rPh>
    <phoneticPr fontId="5"/>
  </si>
  <si>
    <t>買電の低炭素化</t>
    <rPh sb="0" eb="2">
      <t>バイデン</t>
    </rPh>
    <rPh sb="3" eb="7">
      <t>テイタンソカ</t>
    </rPh>
    <phoneticPr fontId="5"/>
  </si>
  <si>
    <t>調整後排出係数</t>
    <rPh sb="0" eb="3">
      <t>チョウセイゴ</t>
    </rPh>
    <rPh sb="3" eb="7">
      <t>ハイシュツケイスウ</t>
    </rPh>
    <phoneticPr fontId="5"/>
  </si>
  <si>
    <t>年間発電量</t>
    <rPh sb="0" eb="2">
      <t>ネンカン</t>
    </rPh>
    <rPh sb="2" eb="5">
      <t>ハツデンリョウ</t>
    </rPh>
    <phoneticPr fontId="5"/>
  </si>
  <si>
    <t>tCO2/kWh</t>
  </si>
  <si>
    <t>診断結果【設備の更新によるCO2削減効果】</t>
    <rPh sb="0" eb="4">
      <t>シンダンケッカ</t>
    </rPh>
    <rPh sb="5" eb="7">
      <t>セツビ</t>
    </rPh>
    <rPh sb="8" eb="10">
      <t>コウシン</t>
    </rPh>
    <rPh sb="16" eb="20">
      <t>サクゲンコウカ</t>
    </rPh>
    <phoneticPr fontId="5"/>
  </si>
  <si>
    <t>診断結果【省エネ・二酸化炭素削減取組状況とアドバイス】</t>
    <rPh sb="0" eb="4">
      <t>シンダンケッカ</t>
    </rPh>
    <rPh sb="5" eb="6">
      <t>ショウ</t>
    </rPh>
    <rPh sb="9" eb="14">
      <t>ニサンカタンソ</t>
    </rPh>
    <rPh sb="14" eb="16">
      <t>サクゲン</t>
    </rPh>
    <rPh sb="16" eb="18">
      <t>トリクミ</t>
    </rPh>
    <rPh sb="18" eb="20">
      <t>ジョウキョウ</t>
    </rPh>
    <phoneticPr fontId="5"/>
  </si>
  <si>
    <t>診断結果【エネルギー使用の状況】</t>
    <rPh sb="0" eb="4">
      <t>シンダンケッカ</t>
    </rPh>
    <rPh sb="10" eb="12">
      <t>シヨウ</t>
    </rPh>
    <rPh sb="13" eb="15">
      <t>ジョウキョウ</t>
    </rPh>
    <phoneticPr fontId="5"/>
  </si>
  <si>
    <t>構成比</t>
    <rPh sb="0" eb="3">
      <t>コウセイヒ</t>
    </rPh>
    <phoneticPr fontId="5"/>
  </si>
  <si>
    <t>エネルギー種類</t>
    <rPh sb="5" eb="7">
      <t>シュルイ</t>
    </rPh>
    <phoneticPr fontId="5"/>
  </si>
  <si>
    <t>エネルギー種類別CO２排出量</t>
    <rPh sb="5" eb="8">
      <t>シュルイベツ</t>
    </rPh>
    <rPh sb="11" eb="14">
      <t>ハイシュツリョウ</t>
    </rPh>
    <phoneticPr fontId="5"/>
  </si>
  <si>
    <t>月</t>
    <rPh sb="0" eb="1">
      <t>ツキ</t>
    </rPh>
    <phoneticPr fontId="5"/>
  </si>
  <si>
    <t>CO2排出量
tCO2</t>
    <rPh sb="3" eb="6">
      <t>ハイシュツリョウ</t>
    </rPh>
    <phoneticPr fontId="5"/>
  </si>
  <si>
    <t>年間構成比</t>
    <rPh sb="0" eb="2">
      <t>ネンカン</t>
    </rPh>
    <rPh sb="2" eb="5">
      <t>コウセイヒ</t>
    </rPh>
    <phoneticPr fontId="5"/>
  </si>
  <si>
    <t>未実施</t>
    <rPh sb="0" eb="3">
      <t>ミジッシ</t>
    </rPh>
    <phoneticPr fontId="5"/>
  </si>
  <si>
    <t>実施率</t>
    <rPh sb="0" eb="3">
      <t>ジッシリツ</t>
    </rPh>
    <phoneticPr fontId="5"/>
  </si>
  <si>
    <t>回答</t>
    <rPh sb="0" eb="2">
      <t>カイトウ</t>
    </rPh>
    <phoneticPr fontId="5"/>
  </si>
  <si>
    <t>アドバイス</t>
    <phoneticPr fontId="5"/>
  </si>
  <si>
    <t>事業所全体</t>
    <rPh sb="0" eb="3">
      <t>ジギョウショ</t>
    </rPh>
    <rPh sb="3" eb="5">
      <t>ゼンタイ</t>
    </rPh>
    <phoneticPr fontId="5"/>
  </si>
  <si>
    <t>合計</t>
    <rPh sb="0" eb="2">
      <t>ゴウケイ</t>
    </rPh>
    <phoneticPr fontId="5"/>
  </si>
  <si>
    <t>←選択してください</t>
    <rPh sb="1" eb="3">
      <t>センタク</t>
    </rPh>
    <phoneticPr fontId="5"/>
  </si>
  <si>
    <t>入力セル</t>
    <rPh sb="0" eb="2">
      <t>ニュウリョク</t>
    </rPh>
    <phoneticPr fontId="5"/>
  </si>
  <si>
    <t>リストから選択するセル</t>
    <rPh sb="5" eb="7">
      <t>センタク</t>
    </rPh>
    <phoneticPr fontId="5"/>
  </si>
  <si>
    <t>　省エネのためには、エネルギー消費の要因を把握することが重要です。月別のエネルギー使用量を把握し、季節による影響（空調への負荷）、事業の季節変動の影響と合わせて比較します。複数のエネルギーを使用している場合は、CO2排出量または原油換算エネルギー使用量に単位をそろえることが有効です。</t>
    <phoneticPr fontId="5"/>
  </si>
  <si>
    <t>　改善すべき設備の把握と改善効果の把握のためには、主要設備または主要工程の別にエネルギー使用量を把握することが有効です。複数のエネルギーを使用している場合は、CO2排出量または原油換算エネルギー使用量に単位をそろえることが有効です。</t>
    <phoneticPr fontId="5"/>
  </si>
  <si>
    <t>力率</t>
    <rPh sb="0" eb="2">
      <t>リキリツ</t>
    </rPh>
    <phoneticPr fontId="5"/>
  </si>
  <si>
    <t>　力率が低いと発電された電力のうち有効に使える量が少なくなります。そのため、力率が85%を上回る場合は、上回る1%につき基本料金を1%割引されます。 一方、85%を下回る場合は、下回る1%につき基本料金を1%割増されます。進相コンデンサーの設置により力率を改善できます。</t>
    <rPh sb="1" eb="3">
      <t>リキリツ</t>
    </rPh>
    <rPh sb="4" eb="5">
      <t>ヒク</t>
    </rPh>
    <rPh sb="7" eb="9">
      <t>ハツデン</t>
    </rPh>
    <rPh sb="12" eb="14">
      <t>デンリョク</t>
    </rPh>
    <rPh sb="17" eb="19">
      <t>ユウコウ</t>
    </rPh>
    <rPh sb="20" eb="21">
      <t>ツカ</t>
    </rPh>
    <rPh sb="23" eb="24">
      <t>リョウ</t>
    </rPh>
    <rPh sb="25" eb="26">
      <t>スク</t>
    </rPh>
    <rPh sb="111" eb="112">
      <t>ススム</t>
    </rPh>
    <rPh sb="112" eb="113">
      <t>ソウ</t>
    </rPh>
    <rPh sb="120" eb="122">
      <t>セッチ</t>
    </rPh>
    <rPh sb="125" eb="127">
      <t>リキリツ</t>
    </rPh>
    <rPh sb="128" eb="130">
      <t>カイゼン</t>
    </rPh>
    <phoneticPr fontId="5"/>
  </si>
  <si>
    <t>力率を100%に改善した場合</t>
    <rPh sb="0" eb="2">
      <t>リキリツ</t>
    </rPh>
    <rPh sb="8" eb="10">
      <t>カイゼン</t>
    </rPh>
    <rPh sb="12" eb="14">
      <t>バアイ</t>
    </rPh>
    <phoneticPr fontId="5"/>
  </si>
  <si>
    <t>円/年</t>
    <rPh sb="2" eb="3">
      <t>ネン</t>
    </rPh>
    <phoneticPr fontId="5"/>
  </si>
  <si>
    <t>年間基本料金</t>
    <rPh sb="0" eb="2">
      <t>ネンカン</t>
    </rPh>
    <rPh sb="2" eb="6">
      <t>キホンリョウキン</t>
    </rPh>
    <phoneticPr fontId="5"/>
  </si>
  <si>
    <t>ピーク電力を5%削減した場合</t>
    <rPh sb="8" eb="10">
      <t>サクゲン</t>
    </rPh>
    <phoneticPr fontId="5"/>
  </si>
  <si>
    <t>円/kW</t>
    <phoneticPr fontId="5"/>
  </si>
  <si>
    <t>月基本料金単価</t>
    <rPh sb="0" eb="1">
      <t>ゲツ</t>
    </rPh>
    <rPh sb="1" eb="5">
      <t>キホンリョウキン</t>
    </rPh>
    <rPh sb="5" eb="7">
      <t>タンカ</t>
    </rPh>
    <phoneticPr fontId="5"/>
  </si>
  <si>
    <t>契約電力</t>
    <rPh sb="0" eb="2">
      <t>ケイヤク</t>
    </rPh>
    <rPh sb="2" eb="4">
      <t>デンリョク</t>
    </rPh>
    <phoneticPr fontId="5"/>
  </si>
  <si>
    <t>力率を100%に改善、ピーク電力を5%削減した場合</t>
    <rPh sb="0" eb="2">
      <t>リキリツ</t>
    </rPh>
    <rPh sb="8" eb="10">
      <t>カイゼン</t>
    </rPh>
    <rPh sb="19" eb="21">
      <t>サクゲン</t>
    </rPh>
    <phoneticPr fontId="5"/>
  </si>
  <si>
    <t>月基本料金単価</t>
    <rPh sb="0" eb="1">
      <t>ツキ</t>
    </rPh>
    <rPh sb="1" eb="5">
      <t>キホンリョウキン</t>
    </rPh>
    <rPh sb="5" eb="7">
      <t>タンカ</t>
    </rPh>
    <phoneticPr fontId="5"/>
  </si>
  <si>
    <t>検討した設備による削減効果の合計</t>
    <rPh sb="0" eb="2">
      <t>ケントウ</t>
    </rPh>
    <rPh sb="4" eb="6">
      <t>セツビ</t>
    </rPh>
    <rPh sb="9" eb="13">
      <t>サクゲンコウカ</t>
    </rPh>
    <rPh sb="14" eb="16">
      <t>ゴウケイ</t>
    </rPh>
    <phoneticPr fontId="5"/>
  </si>
  <si>
    <t>事業所全体のCO2排出量</t>
    <rPh sb="0" eb="3">
      <t>ジギョウショ</t>
    </rPh>
    <rPh sb="3" eb="5">
      <t>ゼンタイ</t>
    </rPh>
    <rPh sb="9" eb="12">
      <t>ハイシュツリョウ</t>
    </rPh>
    <phoneticPr fontId="5"/>
  </si>
  <si>
    <t>（請求書参照）</t>
    <phoneticPr fontId="5"/>
  </si>
  <si>
    <t>（請求書参照）</t>
    <rPh sb="1" eb="4">
      <t>セイキュウショ</t>
    </rPh>
    <rPh sb="4" eb="6">
      <t>サンショウ</t>
    </rPh>
    <phoneticPr fontId="5"/>
  </si>
  <si>
    <t>力率の改善</t>
    <rPh sb="0" eb="1">
      <t>リキリツ</t>
    </rPh>
    <rPh sb="2" eb="4">
      <t>カイゼン</t>
    </rPh>
    <phoneticPr fontId="5"/>
  </si>
  <si>
    <t>　省エネのためには、エネルギー消費の要因を把握することが重要です。季節による影響把握、主要設備または主要工程の別の把握も有効です。</t>
    <rPh sb="40" eb="42">
      <t>ハアク</t>
    </rPh>
    <rPh sb="60" eb="62">
      <t>ユウコウ</t>
    </rPh>
    <phoneticPr fontId="5"/>
  </si>
  <si>
    <t>空調温度設定管理</t>
    <rPh sb="2" eb="6">
      <t>オンドセッテイ</t>
    </rPh>
    <rPh sb="6" eb="8">
      <t>カンリ</t>
    </rPh>
    <phoneticPr fontId="5"/>
  </si>
  <si>
    <t>設定温度を1℃緩和すると、約10％の節電効果があります。
部屋の用途により、必要な温度条件を定めて、利用者が正しく設定できるように明示することも有効です。</t>
    <rPh sb="7" eb="9">
      <t>カンワ</t>
    </rPh>
    <rPh sb="29" eb="31">
      <t>ヘヤ</t>
    </rPh>
    <rPh sb="32" eb="34">
      <t>ヨウト</t>
    </rPh>
    <rPh sb="38" eb="40">
      <t>ヒツヨウ</t>
    </rPh>
    <rPh sb="41" eb="43">
      <t>オンド</t>
    </rPh>
    <rPh sb="43" eb="45">
      <t>ジョウケン</t>
    </rPh>
    <rPh sb="46" eb="47">
      <t>サダ</t>
    </rPh>
    <rPh sb="50" eb="53">
      <t>リヨウシャ</t>
    </rPh>
    <rPh sb="54" eb="55">
      <t>タダ</t>
    </rPh>
    <rPh sb="57" eb="59">
      <t>セッテイ</t>
    </rPh>
    <rPh sb="65" eb="67">
      <t>メイジ</t>
    </rPh>
    <rPh sb="72" eb="74">
      <t>ユウコウ</t>
    </rPh>
    <phoneticPr fontId="5"/>
  </si>
  <si>
    <t>　常に100％の出力の状態に比べ、必要な負荷に合わせて運転台数を制御します。電気使用量は、年間の稼働率を仮に50%にすれば、電気の使用量が半減します。</t>
    <rPh sb="1" eb="2">
      <t>ツネ</t>
    </rPh>
    <rPh sb="8" eb="10">
      <t>シュツリョク</t>
    </rPh>
    <rPh sb="11" eb="13">
      <t>ジョウタイ</t>
    </rPh>
    <rPh sb="14" eb="15">
      <t>クラ</t>
    </rPh>
    <rPh sb="17" eb="19">
      <t>ヒツヨウ</t>
    </rPh>
    <rPh sb="20" eb="22">
      <t>フカ</t>
    </rPh>
    <rPh sb="23" eb="24">
      <t>ア</t>
    </rPh>
    <rPh sb="27" eb="29">
      <t>ウンテン</t>
    </rPh>
    <rPh sb="29" eb="31">
      <t>ダイスウ</t>
    </rPh>
    <rPh sb="32" eb="34">
      <t>セイギョ</t>
    </rPh>
    <rPh sb="38" eb="40">
      <t>デンキ</t>
    </rPh>
    <rPh sb="45" eb="47">
      <t>ネンカン</t>
    </rPh>
    <rPh sb="48" eb="51">
      <t>カドウリツ</t>
    </rPh>
    <rPh sb="52" eb="53">
      <t>カリ</t>
    </rPh>
    <rPh sb="62" eb="64">
      <t>デンキ</t>
    </rPh>
    <rPh sb="65" eb="68">
      <t>シヨウリョウ</t>
    </rPh>
    <rPh sb="69" eb="71">
      <t>ハンゲン</t>
    </rPh>
    <phoneticPr fontId="5"/>
  </si>
  <si>
    <t>　インバーター制御では、電気使用量は、回転数の3乗に比例します。回転数を半分にすれば、電気使用量は（１／２）の3乗で、1／８になります。</t>
    <rPh sb="7" eb="9">
      <t>セイギョ</t>
    </rPh>
    <rPh sb="12" eb="14">
      <t>デンキ</t>
    </rPh>
    <rPh sb="14" eb="17">
      <t>シヨウリョウ</t>
    </rPh>
    <rPh sb="19" eb="22">
      <t>カイテンスウ</t>
    </rPh>
    <rPh sb="24" eb="25">
      <t>ジョウ</t>
    </rPh>
    <rPh sb="26" eb="28">
      <t>ヒレイ</t>
    </rPh>
    <rPh sb="32" eb="35">
      <t>カイテンスウ</t>
    </rPh>
    <rPh sb="36" eb="38">
      <t>ハンブン</t>
    </rPh>
    <rPh sb="43" eb="45">
      <t>デンキ</t>
    </rPh>
    <rPh sb="45" eb="48">
      <t>シヨウリョウ</t>
    </rPh>
    <rPh sb="56" eb="57">
      <t>ジョウ</t>
    </rPh>
    <phoneticPr fontId="5"/>
  </si>
  <si>
    <t>契約電力（年間のピーク電力）は、３０分毎の電気使用量の年間最大値により決まり、契約電力に比例して基本料金が決まります。年間のピーク電力がいつ発生しているかを把握し、対策することで、年間の電気料金を減らすことができます。</t>
    <phoneticPr fontId="5"/>
  </si>
  <si>
    <t>　契約電力（年間のピーク電力）は、３０分毎の電気使用量の年間最大値により決まり、契約電力に比例して基本料金が決まります。年間のピーク電力がいつ発生しているかを把握し、対策することで、年間の電気料金を減らすことができます。また、需要逼迫時の負荷を減らすことに貢献できます。</t>
    <rPh sb="1" eb="3">
      <t>ケイヤク</t>
    </rPh>
    <rPh sb="3" eb="5">
      <t>デンリョク</t>
    </rPh>
    <rPh sb="36" eb="37">
      <t>キ</t>
    </rPh>
    <rPh sb="40" eb="42">
      <t>ケイヤク</t>
    </rPh>
    <rPh sb="42" eb="44">
      <t>デンリョク</t>
    </rPh>
    <rPh sb="45" eb="47">
      <t>ヒレイ</t>
    </rPh>
    <rPh sb="71" eb="73">
      <t>ハッセイ</t>
    </rPh>
    <rPh sb="83" eb="85">
      <t>タイサク</t>
    </rPh>
    <phoneticPr fontId="5"/>
  </si>
  <si>
    <t>　二酸化炭素排出量の実質ゼロを目指すには、省エネだけでゼロにすることは不可能ですので、再生可能エネルギーの利用割合が高い電気（低炭素電気）を買電することも重要です。</t>
    <rPh sb="63" eb="66">
      <t>テイタンソ</t>
    </rPh>
    <rPh sb="66" eb="68">
      <t>デンキ</t>
    </rPh>
    <phoneticPr fontId="5"/>
  </si>
  <si>
    <t>　大空間事務室の照明では、不必要範囲の照明も点灯されるため、使用頻度の少ない部分がある場合には、必要な場所のみを点灯します。</t>
    <phoneticPr fontId="5"/>
  </si>
  <si>
    <t>　常時点灯する必要がない場所では、人感センサー方式を導入し、照明器具の｢ON・OFF｣又は、｢100％点灯から25％(30％)｣への点灯を自動制御します。</t>
    <rPh sb="1" eb="3">
      <t>ジョウジ</t>
    </rPh>
    <rPh sb="3" eb="5">
      <t>テントウ</t>
    </rPh>
    <rPh sb="7" eb="9">
      <t>ヒツヨウ</t>
    </rPh>
    <rPh sb="12" eb="14">
      <t>バショ</t>
    </rPh>
    <phoneticPr fontId="5"/>
  </si>
  <si>
    <t>　保温材が敷設されていない蒸気配管や蒸気バルブは、バルブの表面温度が高いため、放熱量も大きいです。断熱を強化することにより、放熱損失を防ぐことができます。</t>
    <phoneticPr fontId="5"/>
  </si>
  <si>
    <t>ボイラや冷温水発生機等の燃焼設備は、空気比（実空気量／理論空気量）が大きい場合、燃焼温度や機器効率の低下につながるため、空気比を調整（最適化）することが有効です。</t>
    <rPh sb="76" eb="78">
      <t>ユウコウ</t>
    </rPh>
    <phoneticPr fontId="5"/>
  </si>
  <si>
    <t>　省エネについて検討する際には、空調系統図、空調制御図、熱搬送系統図、圧縮空気配管図、単線結線図等の整備が有効でです。主要設備に係る機器管理台帳の整備も有効です。</t>
    <rPh sb="1" eb="2">
      <t>ショウ</t>
    </rPh>
    <rPh sb="8" eb="10">
      <t>ケントウ</t>
    </rPh>
    <rPh sb="12" eb="13">
      <t>サイ</t>
    </rPh>
    <rPh sb="53" eb="55">
      <t>ユウコウ</t>
    </rPh>
    <rPh sb="76" eb="78">
      <t>ユウコウ</t>
    </rPh>
    <phoneticPr fontId="5"/>
  </si>
  <si>
    <t>　温室効果ガスの排出の抑制等に関する推進体制を整備することが重要です。従業員に対し、温室効果ガスの排出の抑制等の重要性や取組に必要な情報ついての周知、研修も重要です。</t>
    <rPh sb="30" eb="32">
      <t>ジュウヨウ</t>
    </rPh>
    <rPh sb="78" eb="80">
      <t>ジュウヨウ</t>
    </rPh>
    <phoneticPr fontId="5"/>
  </si>
  <si>
    <t>合計</t>
    <rPh sb="0" eb="2">
      <t>ゴウケイ</t>
    </rPh>
    <phoneticPr fontId="12"/>
  </si>
  <si>
    <t>　</t>
  </si>
  <si>
    <t>敷地や建物（屋上・壁面等）の植栽や緑化をしている。</t>
  </si>
  <si>
    <t>８　緑化の
　推進</t>
    <phoneticPr fontId="12"/>
  </si>
  <si>
    <t>森林の整備や保全活動に参加・協力している。</t>
  </si>
  <si>
    <t>７　森林の　
　保全</t>
    <phoneticPr fontId="12"/>
  </si>
  <si>
    <t>両面コピー、使用済みの裏紙使用、資料の電子化等により紙の使用量の削減を実施している。</t>
  </si>
  <si>
    <t>３Ｒ（リデュース・リユース・リサイクル）に取り組んでいる。</t>
  </si>
  <si>
    <t>６　廃棄物の削減</t>
    <rPh sb="6" eb="8">
      <t>サクゲン</t>
    </rPh>
    <phoneticPr fontId="12"/>
  </si>
  <si>
    <t>従業員のエコ通勤を推奨している。（公共交通機関・自転車の利用等）</t>
  </si>
  <si>
    <t>共同集荷・集配などによる積載率の向上を図るため、事業者間の連携に取り組んでいる。</t>
  </si>
  <si>
    <t>配送・配車計画の策定等により、効率的な輸送経路による運行を行っている。</t>
  </si>
  <si>
    <t>運転を担当する従業員又は従業員グループ別の燃費を把握している。</t>
  </si>
  <si>
    <t>運転を担当する従業員にエコドライブの実施を促している。</t>
  </si>
  <si>
    <t>投資</t>
  </si>
  <si>
    <t>プラグインハイブリッド自動車・電気自動車等の次世代自動車を導入している。</t>
  </si>
  <si>
    <t>５　自動車の燃料消費量の削減</t>
    <rPh sb="2" eb="5">
      <t>ジドウシャ</t>
    </rPh>
    <rPh sb="6" eb="8">
      <t>ネンリョウ</t>
    </rPh>
    <rPh sb="8" eb="11">
      <t>ショウヒリョウ</t>
    </rPh>
    <phoneticPr fontId="12"/>
  </si>
  <si>
    <t>二重窓・複層ガラス・遮熱フィルム等による窓の断熱化や遮熱化を図っている。</t>
  </si>
  <si>
    <t>屋根面・壁面等の断熱化や遮熱化を図っている。</t>
  </si>
  <si>
    <t>高効率空調設備を導入している。</t>
  </si>
  <si>
    <t>空調の吹出口・吸込口やエアコン室外機の通風を確保している。</t>
  </si>
  <si>
    <t>空調負荷の低減のためブラインド等を適切に活用している。</t>
  </si>
  <si>
    <t>クールビズやウォームビズを実施している。</t>
  </si>
  <si>
    <t>室温の適正管理（夏２８℃、冬２０℃を目安）に取り組んでいる。</t>
  </si>
  <si>
    <t>必須</t>
  </si>
  <si>
    <t>４　エネルギー消費量の削減
（空調）</t>
    <rPh sb="7" eb="9">
      <t>ショウヒ</t>
    </rPh>
    <phoneticPr fontId="12"/>
  </si>
  <si>
    <t>事務用機器等の省エネモード等を利用している。</t>
  </si>
  <si>
    <t>事業所内のトイレ、給湯室、階段等、常時使用しない箇所の照明に人感センサーを導入している。</t>
  </si>
  <si>
    <t>事業所内の半数以上の照明にLED照明等の高効率照明を使用している。</t>
  </si>
  <si>
    <t>業務に支障のない範囲で照明の消灯時間帯を設定している。</t>
  </si>
  <si>
    <t>業務に支障のない範囲で照明の間引きや部分的な消灯を実施している。</t>
  </si>
  <si>
    <t>３　エネルギー消費量の
削減（照明・電力）</t>
    <rPh sb="7" eb="10">
      <t>ショウヒリョウ</t>
    </rPh>
    <phoneticPr fontId="12"/>
  </si>
  <si>
    <t>テナントオーナーとの省エネ推進体制に参加している。（定例会議への参加、テナントの省エネ担当者を登録　など）</t>
  </si>
  <si>
    <t>テナントにエネルギー消費量・デマンド値を通知している。</t>
  </si>
  <si>
    <t>テナント向けの省エネマニュアルを作成している。</t>
  </si>
  <si>
    <t>テナントとの省エネ推進体制を構築している。（定例会議の開催・報告会の実施、テナントの省エネ担当者を登録　など）</t>
  </si>
  <si>
    <t>ノー残業デーの設定・残業時間の制限など、ワークスタイルの見直しに取り組んでいる。　　　　　　　　　　　　　</t>
  </si>
  <si>
    <t>省エネの責任者及び担当者を決め、組織として省エネの実施体制を整備している。</t>
  </si>
  <si>
    <t>「国際エネルギースターマーク」や「省エネラベル」等を参考に省エネルギー性能の優れたOA機器等を購入している。</t>
  </si>
  <si>
    <t>「エコマーク」や「再生紙使用マーク」等の環境ラベルの表示がある事務用品等を優先的に購入している。</t>
  </si>
  <si>
    <t>節水機器の設置により上下水道使用量を削減している。</t>
  </si>
  <si>
    <t>ボイラーの燃焼空気量を適正に管理している。</t>
  </si>
  <si>
    <t>２　省エネルギー全般</t>
    <phoneticPr fontId="12"/>
  </si>
  <si>
    <t>給湯設備や空調設備の配管を断熱化している。</t>
  </si>
  <si>
    <t>照明器具や空調機器の定期的な清掃を実施している。</t>
  </si>
  <si>
    <t>コージェネレーション設備を設置している。</t>
  </si>
  <si>
    <t>太陽光発電設備・太陽熱利用設備・地中熱利用設備などの再生可能エネルギー利用設備を設置している。</t>
  </si>
  <si>
    <t>事業所の建物が、BELS、省エネ基準適合認定マーク（eマーク）、CASBEE等、環境性能に関する第三者認証制度での認定・認証等を受けている。</t>
  </si>
  <si>
    <t>エネルギー・マネジメント・システム（ＥＭＳ）を設置している。</t>
  </si>
  <si>
    <t>エネルギー使用量を管理し、見える化・分析を行っている。</t>
  </si>
  <si>
    <t>専門機関による省エネルギー診断等を受診している。</t>
  </si>
  <si>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12"/>
  </si>
  <si>
    <t>再生可能エネルギー由来の電気を購入している。</t>
    <rPh sb="0" eb="2">
      <t>サイセイ</t>
    </rPh>
    <rPh sb="2" eb="4">
      <t>カノウ</t>
    </rPh>
    <rPh sb="9" eb="11">
      <t>ユライ</t>
    </rPh>
    <rPh sb="12" eb="14">
      <t>デンキ</t>
    </rPh>
    <rPh sb="15" eb="17">
      <t>コウニュウ</t>
    </rPh>
    <phoneticPr fontId="12"/>
  </si>
  <si>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12"/>
  </si>
  <si>
    <t>自主的に事業所全体で取り組む地球温暖化対策の方針・計画を
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9" eb="31">
      <t>サクテイ</t>
    </rPh>
    <rPh sb="33" eb="35">
      <t>キョウユウ</t>
    </rPh>
    <phoneticPr fontId="12"/>
  </si>
  <si>
    <t>RE100（使用電力を１００％再生可能エネルギーで賄うこと）を目指すことを公表している。</t>
    <rPh sb="31" eb="33">
      <t>メザ</t>
    </rPh>
    <rPh sb="37" eb="39">
      <t>コウヒョウ</t>
    </rPh>
    <phoneticPr fontId="12"/>
  </si>
  <si>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12"/>
  </si>
  <si>
    <t>2050年カーボンニュートラルを宣言している。</t>
    <rPh sb="4" eb="5">
      <t>ネン</t>
    </rPh>
    <rPh sb="16" eb="18">
      <t>センゲン</t>
    </rPh>
    <phoneticPr fontId="12"/>
  </si>
  <si>
    <t>１　地球温暖化対策の先進的な取組</t>
    <rPh sb="2" eb="4">
      <t>チキュウ</t>
    </rPh>
    <rPh sb="4" eb="7">
      <t>オンダンカ</t>
    </rPh>
    <rPh sb="7" eb="9">
      <t>タイサク</t>
    </rPh>
    <rPh sb="14" eb="16">
      <t>トリクミ</t>
    </rPh>
    <phoneticPr fontId="12"/>
  </si>
  <si>
    <t>選択欄</t>
  </si>
  <si>
    <t>取組項目</t>
  </si>
  <si>
    <t>番号</t>
  </si>
  <si>
    <t>必須項目</t>
  </si>
  <si>
    <t>分類</t>
  </si>
  <si>
    <t>（取り組んでいる項目について選択欄に○を記載してください）</t>
    <rPh sb="1" eb="2">
      <t>ト</t>
    </rPh>
    <rPh sb="3" eb="4">
      <t>ク</t>
    </rPh>
    <rPh sb="8" eb="10">
      <t>コウモク</t>
    </rPh>
    <rPh sb="14" eb="16">
      <t>センタク</t>
    </rPh>
    <rPh sb="16" eb="17">
      <t>ラン</t>
    </rPh>
    <rPh sb="20" eb="22">
      <t>キサイ</t>
    </rPh>
    <phoneticPr fontId="12"/>
  </si>
  <si>
    <t>○</t>
  </si>
  <si>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12"/>
  </si>
  <si>
    <t>2020年10月、政府は2050年までに温室効果ガスの排出を全体としてゼロにする、カーボンニュートラルを目指すことを宣言しました。カーボンニュートラルに向けた取組は、中小規模事業者にも及び、バリューチェーン内の中小規模事業者に対するCO2排出量の開示や削減を促す動きがあります。メリットとして、①「脱炭素経営が進んでいる企業」という良いイメージを獲得、②光熱費・燃料費の低減、③知名度・認知度向上、④社員のモチベーション・人材獲得力向、⑤好条件での資金調達があります。
（参考：https://www.env.go.jp/content/000114653.pdf）</t>
    <phoneticPr fontId="5"/>
  </si>
  <si>
    <t>中間目標として、政府は「2030年に2013年度比で46％の削減」としています。「基準年に対して4.2%/年の削減」等の指標、属する業界団体が設定する目標等を参考にすることも一案です。
（参考：https://www.env.go.jp/content/000114653.pdf）</t>
    <rPh sb="0" eb="2">
      <t>チュウカン</t>
    </rPh>
    <rPh sb="2" eb="4">
      <t>モクヒョウ</t>
    </rPh>
    <phoneticPr fontId="5"/>
  </si>
  <si>
    <t>　自社の脱炭素経営の方針を検討しましょう。検討した方針を踏まえ、自社が出来ることは何かを考えます。
　計画の策定においては、自社のCO2排出源を分析し、削減対策を洗い出してみましょう。洗い出した削減対策から実施可能な削減対策をリストアップし、実施計画を策定します。実施計画は、実施が容易な対策から徐々に拡大していくように策定することが重要です。
（参考：https://www.env.go.jp/content/000114653.pdf）</t>
    <rPh sb="51" eb="53">
      <t>ケイカク</t>
    </rPh>
    <rPh sb="54" eb="56">
      <t>サクテイ</t>
    </rPh>
    <phoneticPr fontId="5"/>
  </si>
  <si>
    <t>脱炭素経営の方針に則り、具体的な施策へと落としていくためには、まずは自社のCO2排出量の把握が必要です。主要な排出源を特定するところから始め、取組を進めながら、設備単位でも算定する等、徐々に精緻化していくとよいでしょう。
（参考：https://www.env.go.jp/content/000114653.pdf）</t>
    <phoneticPr fontId="5"/>
  </si>
  <si>
    <t>サプライチェーンとは、原料調達・製造・物流・販売・廃棄等、一連の流れ全体をいい、そこから発生する排出量を本書ではサプライチェーン排出量と呼んでいます。
(参考：https://www.env.go.jp/earth/ondanka/supply_chain/gvc/files/tools/supply_chain_201711_all.pdf)</t>
    <rPh sb="77" eb="79">
      <t>サンコウ</t>
    </rPh>
    <phoneticPr fontId="5"/>
  </si>
  <si>
    <t>生産だけで評価すると製品Ｂの方がＡよりCO2排出が少ないのですが、ライフサイクルでは逆になっています。(参考：https://www-cycle.nies.go.jp/magazine/mame/20070702.htm)</t>
    <rPh sb="52" eb="54">
      <t>サンコウ</t>
    </rPh>
    <phoneticPr fontId="5"/>
  </si>
  <si>
    <t>　二酸化炭素排出量の実質ゼロを目指すには、省エネだけでゼロにすることは不可能ですので、再生可能エネルギーによる電気を使うことが重要になります。
　自家発電、再エネ電力メニューの購入、再エネ電⼒証書の購⼊といった方法があります。
（参考：https://www.env.go.jp/content/900405036.pdf）</t>
    <rPh sb="115" eb="117">
      <t>サンコウ</t>
    </rPh>
    <phoneticPr fontId="5"/>
  </si>
  <si>
    <t>　二酸化炭素排出量の実質ゼロを目指すには、省エネだけでゼロにすることは不可能ですので、再生可能エネルギーによる電気を使うことが重要になります。
　自家発電、再エネ電力メニューの購入、再エネ電⼒証書の購⼊といった方法があります。
（参考：https://www.env.go.jp/earth/ondanka/supply_chain/gvc/files/RE100_syousai_20230110.pdf）</t>
    <rPh sb="115" eb="117">
      <t>サンコウ</t>
    </rPh>
    <phoneticPr fontId="5"/>
  </si>
  <si>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12"/>
  </si>
  <si>
    <t>2050年カーボンニュートラルに向けては、省エネ（化石エネルギーの使用の合理化）の徹底と、技
術開発等による非化石エネルギーの導入拡大の両輪で取組を進める必要があります。
（参考：https://www.kanto.meti.go.jp/seisaku/sho_energy/data/r3_shoene_seminar02.pdf）</t>
    <rPh sb="87" eb="89">
      <t>サンコウ</t>
    </rPh>
    <phoneticPr fontId="5"/>
  </si>
  <si>
    <t>自社の産業を取り巻くカーボンニュートラルに向けた動きを捉えましょう。自社に影響する動きを知ることで、理解が深まり、自分事で捉えることができます。
（参考：https://www.env.go.jp/content/000114653.pdf）</t>
    <phoneticPr fontId="5"/>
  </si>
  <si>
    <t>省エネルギー診断とは、専門家（エネルギー管理士など）が直接事業所にお伺いして、電気やガス等の使用状況を診断し、省エネに関する提案や技術的な助言を行うものです。</t>
    <rPh sb="11" eb="14">
      <t>センモンカ</t>
    </rPh>
    <rPh sb="20" eb="23">
      <t>カンリシ</t>
    </rPh>
    <rPh sb="72" eb="73">
      <t>オコナ</t>
    </rPh>
    <phoneticPr fontId="5"/>
  </si>
  <si>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12"/>
  </si>
  <si>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12"/>
  </si>
  <si>
    <t>　</t>
    <phoneticPr fontId="5"/>
  </si>
  <si>
    <t>CO2CO2スマート宣言事業所登録申請と同じ項目です。</t>
    <rPh sb="20" eb="21">
      <t>オナ</t>
    </rPh>
    <rPh sb="22" eb="24">
      <t>コウモク</t>
    </rPh>
    <phoneticPr fontId="12"/>
  </si>
  <si>
    <t>（作成済みシートと選択欄をコピーペーストできます）</t>
    <rPh sb="1" eb="3">
      <t>サクセイ</t>
    </rPh>
    <rPh sb="3" eb="4">
      <t>ズ</t>
    </rPh>
    <rPh sb="9" eb="12">
      <t>センタクラン</t>
    </rPh>
    <phoneticPr fontId="12"/>
  </si>
  <si>
    <t>プレミアム必須</t>
    <rPh sb="5" eb="7">
      <t>ヒッス</t>
    </rPh>
    <phoneticPr fontId="12"/>
  </si>
  <si>
    <t>投資
項目</t>
  </si>
  <si>
    <t>分類</t>
    <phoneticPr fontId="5"/>
  </si>
  <si>
    <t>必須項目</t>
    <phoneticPr fontId="5"/>
  </si>
  <si>
    <t>番号</t>
    <phoneticPr fontId="5"/>
  </si>
  <si>
    <t>取組項目</t>
    <phoneticPr fontId="5"/>
  </si>
  <si>
    <t>登録基準対応</t>
    <rPh sb="0" eb="4">
      <t>トウロクキジュン</t>
    </rPh>
    <rPh sb="4" eb="6">
      <t>タイオウ</t>
    </rPh>
    <phoneticPr fontId="5"/>
  </si>
  <si>
    <t>※スタンダード登録基準：全５０項目中、必須項目３項目(No.17,29,34)含む１３項目以上を選択すること。
※プレミアム登録基準：全５０項目中、必須項目３項目(No.17,29,34)+プレミアムコース必須項目２項目(No.23,31)を含む１８項目以上を選択すること。</t>
    <phoneticPr fontId="5"/>
  </si>
  <si>
    <t>実施済み（○選択）</t>
    <rPh sb="0" eb="3">
      <t>ジッシズ</t>
    </rPh>
    <rPh sb="6" eb="8">
      <t>センタク</t>
    </rPh>
    <phoneticPr fontId="5"/>
  </si>
  <si>
    <t>※スタンダード登録基準：必須項目３項目含む１３項目以上を選択すること。</t>
    <phoneticPr fontId="12"/>
  </si>
  <si>
    <t>※プレミアム登録基準：必須項目３項目+プレミアムコース必須項目２項目を含む１８項目以上を選択すること。</t>
    <phoneticPr fontId="5"/>
  </si>
  <si>
    <t>取組項目</t>
    <phoneticPr fontId="12"/>
  </si>
  <si>
    <t>節水コマ、自動水栓、自動洗浄装置、トイレ擬音装置など</t>
    <rPh sb="20" eb="22">
      <t>ギオン</t>
    </rPh>
    <rPh sb="22" eb="24">
      <t>ソウチ</t>
    </rPh>
    <phoneticPr fontId="5"/>
  </si>
  <si>
    <t xml:space="preserve">不使用室、昼休み、就業後などの在席率の低い時間帯のこまめな消灯や不使用室の消灯
スケジュールタイマー機能、機械警連動の消灯機能がある場合にはその活用
</t>
    <rPh sb="50" eb="52">
      <t>キノウ</t>
    </rPh>
    <rPh sb="61" eb="63">
      <t>キノウ</t>
    </rPh>
    <rPh sb="66" eb="68">
      <t>バアイ</t>
    </rPh>
    <rPh sb="72" eb="74">
      <t>カツヨウ</t>
    </rPh>
    <phoneticPr fontId="5"/>
  </si>
  <si>
    <t>発電する電気と発電に伴い発生する熱の両方に需要が見合う場合にコジェネレーション設備が有効です。</t>
    <rPh sb="0" eb="2">
      <t>ハツデン</t>
    </rPh>
    <rPh sb="7" eb="9">
      <t>ハツデン</t>
    </rPh>
    <rPh sb="10" eb="11">
      <t>トモナ</t>
    </rPh>
    <rPh sb="12" eb="14">
      <t>ハッセイ</t>
    </rPh>
    <rPh sb="16" eb="17">
      <t>ネツ</t>
    </rPh>
    <rPh sb="18" eb="20">
      <t>リョウホウ</t>
    </rPh>
    <rPh sb="21" eb="23">
      <t>ジュヨウ</t>
    </rPh>
    <rPh sb="24" eb="26">
      <t>ミア</t>
    </rPh>
    <rPh sb="27" eb="29">
      <t>バアイ</t>
    </rPh>
    <rPh sb="39" eb="41">
      <t>セツビ</t>
    </rPh>
    <rPh sb="42" eb="44">
      <t>ユウコウ</t>
    </rPh>
    <phoneticPr fontId="5"/>
  </si>
  <si>
    <t>ボイラや冷温水発生機等の燃焼設備は、空気比（実空気量／理論空気量）が大きい場合、燃焼温度や機器効率の低下につながるため、空気比を調整（最適化）することが有効です。
　また、管理標準を定めて管理することも有効です。</t>
    <rPh sb="76" eb="78">
      <t>ユウコウ</t>
    </rPh>
    <rPh sb="86" eb="90">
      <t>カンリヒョウジュン</t>
    </rPh>
    <rPh sb="91" eb="92">
      <t>サダ</t>
    </rPh>
    <rPh sb="94" eb="96">
      <t>カンリ</t>
    </rPh>
    <rPh sb="101" eb="103">
      <t>ユウコウ</t>
    </rPh>
    <phoneticPr fontId="5"/>
  </si>
  <si>
    <t>　温室効果ガスの排出の抑制等に関する推進体制を整備することが重要です。取締役会等の業務執行を決定する機関との連携、必要な資金・人材確保、従業員に取組方針の周知・教育、実施状況の確認を行うことが有効です。</t>
    <rPh sb="30" eb="32">
      <t>ジュウヨウ</t>
    </rPh>
    <rPh sb="54" eb="56">
      <t>レンケイ</t>
    </rPh>
    <rPh sb="80" eb="82">
      <t>キョウイク</t>
    </rPh>
    <rPh sb="83" eb="87">
      <t>ジッシジョウキョウ</t>
    </rPh>
    <rPh sb="88" eb="90">
      <t>カクニン</t>
    </rPh>
    <rPh sb="91" eb="92">
      <t>オコナ</t>
    </rPh>
    <rPh sb="96" eb="98">
      <t>ユウコウ</t>
    </rPh>
    <phoneticPr fontId="5"/>
  </si>
  <si>
    <t>　建物を貸し出す場合に、第三者認証を受けた環境性能を示すことで、借主への訴求効果があります。また、借主についても、省エネを推進するためには、第三者認証を受けた環境性能の高い建物を選択することで、断熱性が高く空調の効果が高まる等のメリットがあります。</t>
    <rPh sb="1" eb="3">
      <t>タテモノ</t>
    </rPh>
    <rPh sb="4" eb="5">
      <t>カ</t>
    </rPh>
    <rPh sb="6" eb="7">
      <t>ダ</t>
    </rPh>
    <rPh sb="8" eb="10">
      <t>バアイ</t>
    </rPh>
    <rPh sb="21" eb="25">
      <t>カンキョウセイノウ</t>
    </rPh>
    <rPh sb="26" eb="27">
      <t>シメ</t>
    </rPh>
    <rPh sb="32" eb="34">
      <t>カリヌシ</t>
    </rPh>
    <rPh sb="36" eb="38">
      <t>ソキュウ</t>
    </rPh>
    <rPh sb="38" eb="40">
      <t>コウカ</t>
    </rPh>
    <rPh sb="49" eb="51">
      <t>カリヌシ</t>
    </rPh>
    <rPh sb="57" eb="58">
      <t>ショウ</t>
    </rPh>
    <rPh sb="61" eb="63">
      <t>スイシン</t>
    </rPh>
    <rPh sb="70" eb="73">
      <t>ダイサンシャ</t>
    </rPh>
    <rPh sb="73" eb="75">
      <t>ニンショウ</t>
    </rPh>
    <rPh sb="76" eb="77">
      <t>ウ</t>
    </rPh>
    <rPh sb="79" eb="83">
      <t>カンキョウセイノウ</t>
    </rPh>
    <rPh sb="84" eb="85">
      <t>タカ</t>
    </rPh>
    <rPh sb="86" eb="88">
      <t>タテモノ</t>
    </rPh>
    <rPh sb="89" eb="91">
      <t>センタク</t>
    </rPh>
    <rPh sb="97" eb="100">
      <t>ダンネツセイ</t>
    </rPh>
    <rPh sb="101" eb="102">
      <t>タカ</t>
    </rPh>
    <rPh sb="103" eb="105">
      <t>クウチョウ</t>
    </rPh>
    <rPh sb="106" eb="108">
      <t>コウカ</t>
    </rPh>
    <rPh sb="109" eb="110">
      <t>タカ</t>
    </rPh>
    <rPh sb="112" eb="113">
      <t>トウ</t>
    </rPh>
    <phoneticPr fontId="5"/>
  </si>
  <si>
    <t>　電気、ガス、熱などのエネルギーの見える化や設備の運用を最適化するためのシステムです。
　運転時間の自動設定を行うことができます。また、電力の使用状況を常時監視するデマンド監視装置を導入し、年間のピーク電力がいつ発生しているかを把握し、対策することで、年間の電気基本料金を減らすことができます。</t>
    <rPh sb="28" eb="31">
      <t>サイテキカ</t>
    </rPh>
    <rPh sb="45" eb="47">
      <t>ウンテン</t>
    </rPh>
    <rPh sb="47" eb="49">
      <t>ジカン</t>
    </rPh>
    <rPh sb="50" eb="54">
      <t>ジドウセッテイ</t>
    </rPh>
    <rPh sb="55" eb="56">
      <t>オコナ</t>
    </rPh>
    <rPh sb="131" eb="135">
      <t>キホンリョウキン</t>
    </rPh>
    <phoneticPr fontId="5"/>
  </si>
  <si>
    <t>太陽光発電設備・太陽熱利用設備・地中熱利用設備などの再生可能エネルギー利用設備を設置している。</t>
    <phoneticPr fontId="5"/>
  </si>
  <si>
    <t>　再生可能エネルギー利用設備を設置し、外部からの電気や燃料の調達量を減らすことができ、二酸化炭素の排出削減、光熱費の削減を図ります。</t>
    <rPh sb="19" eb="21">
      <t>ガイブ</t>
    </rPh>
    <rPh sb="24" eb="26">
      <t>デンキ</t>
    </rPh>
    <rPh sb="27" eb="29">
      <t>ネンリョウ</t>
    </rPh>
    <rPh sb="30" eb="33">
      <t>チョウタツリョウ</t>
    </rPh>
    <rPh sb="34" eb="35">
      <t>ヘ</t>
    </rPh>
    <rPh sb="43" eb="48">
      <t>ニサンカタンソ</t>
    </rPh>
    <rPh sb="49" eb="51">
      <t>ハイシュツ</t>
    </rPh>
    <rPh sb="51" eb="53">
      <t>サクゲン</t>
    </rPh>
    <rPh sb="54" eb="57">
      <t>コウネツヒ</t>
    </rPh>
    <rPh sb="58" eb="60">
      <t>サクゲン</t>
    </rPh>
    <rPh sb="61" eb="62">
      <t>ハカ</t>
    </rPh>
    <phoneticPr fontId="5"/>
  </si>
  <si>
    <t>フィルタ清掃で5～10％の削減が期待できます。</t>
    <phoneticPr fontId="5"/>
  </si>
  <si>
    <t>冷房</t>
    <rPh sb="0" eb="2">
      <t>レイボウ</t>
    </rPh>
    <phoneticPr fontId="5"/>
  </si>
  <si>
    <t>台数(n)</t>
    <rPh sb="0" eb="2">
      <t>ダイスウ</t>
    </rPh>
    <phoneticPr fontId="5"/>
  </si>
  <si>
    <t>暖房</t>
    <rPh sb="0" eb="2">
      <t>ダンボウ</t>
    </rPh>
    <phoneticPr fontId="5"/>
  </si>
  <si>
    <t>年間</t>
    <rPh sb="0" eb="2">
      <t>ネンカン</t>
    </rPh>
    <phoneticPr fontId="5"/>
  </si>
  <si>
    <t>更新後</t>
    <rPh sb="0" eb="3">
      <t>コウシンゴ</t>
    </rPh>
    <phoneticPr fontId="5"/>
  </si>
  <si>
    <t>台数(n')</t>
    <rPh sb="0" eb="2">
      <t>ダイスウ</t>
    </rPh>
    <phoneticPr fontId="5"/>
  </si>
  <si>
    <r>
      <t>年間冷房時間(d</t>
    </r>
    <r>
      <rPr>
        <vertAlign val="subscript"/>
        <sz val="11"/>
        <color theme="1"/>
        <rFont val="游ゴシック"/>
        <family val="3"/>
        <charset val="128"/>
        <scheme val="minor"/>
      </rPr>
      <t>1</t>
    </r>
    <r>
      <rPr>
        <sz val="11"/>
        <color theme="1"/>
        <rFont val="游ゴシック"/>
        <family val="2"/>
        <scheme val="minor"/>
      </rPr>
      <t>)</t>
    </r>
    <rPh sb="0" eb="2">
      <t>ネンカン</t>
    </rPh>
    <rPh sb="2" eb="4">
      <t>レイボウ</t>
    </rPh>
    <rPh sb="4" eb="6">
      <t>ジカン</t>
    </rPh>
    <phoneticPr fontId="5"/>
  </si>
  <si>
    <r>
      <t>年間暖房時間(d</t>
    </r>
    <r>
      <rPr>
        <vertAlign val="subscript"/>
        <sz val="11"/>
        <color theme="1"/>
        <rFont val="游ゴシック"/>
        <family val="3"/>
        <charset val="128"/>
        <scheme val="minor"/>
      </rPr>
      <t>2</t>
    </r>
    <r>
      <rPr>
        <sz val="11"/>
        <color theme="1"/>
        <rFont val="游ゴシック"/>
        <family val="2"/>
        <scheme val="minor"/>
      </rPr>
      <t>)</t>
    </r>
    <rPh sb="0" eb="2">
      <t>ネンカン</t>
    </rPh>
    <rPh sb="4" eb="6">
      <t>ジカン</t>
    </rPh>
    <phoneticPr fontId="5"/>
  </si>
  <si>
    <r>
      <t>年間冷房時間(d'</t>
    </r>
    <r>
      <rPr>
        <vertAlign val="subscript"/>
        <sz val="11"/>
        <color theme="1"/>
        <rFont val="游ゴシック"/>
        <family val="3"/>
        <charset val="128"/>
        <scheme val="minor"/>
      </rPr>
      <t>1</t>
    </r>
    <r>
      <rPr>
        <sz val="11"/>
        <color theme="1"/>
        <rFont val="游ゴシック"/>
        <family val="2"/>
        <scheme val="minor"/>
      </rPr>
      <t>)</t>
    </r>
    <rPh sb="0" eb="2">
      <t>ネンカン</t>
    </rPh>
    <rPh sb="2" eb="4">
      <t>レイボウ</t>
    </rPh>
    <rPh sb="4" eb="6">
      <t>ジカン</t>
    </rPh>
    <phoneticPr fontId="5"/>
  </si>
  <si>
    <r>
      <t>年間暖房時間(d'</t>
    </r>
    <r>
      <rPr>
        <vertAlign val="subscript"/>
        <sz val="11"/>
        <color theme="1"/>
        <rFont val="游ゴシック"/>
        <family val="3"/>
        <charset val="128"/>
        <scheme val="minor"/>
      </rPr>
      <t>2</t>
    </r>
    <r>
      <rPr>
        <sz val="11"/>
        <color theme="1"/>
        <rFont val="游ゴシック"/>
        <family val="2"/>
        <scheme val="minor"/>
      </rPr>
      <t>)</t>
    </r>
    <rPh sb="0" eb="2">
      <t>ネンカン</t>
    </rPh>
    <rPh sb="4" eb="6">
      <t>ジカン</t>
    </rPh>
    <phoneticPr fontId="5"/>
  </si>
  <si>
    <t>電力削減量（ΔE=E-E’）</t>
    <rPh sb="0" eb="2">
      <t>デンリョク</t>
    </rPh>
    <rPh sb="2" eb="5">
      <t>サクゲンリョウ</t>
    </rPh>
    <phoneticPr fontId="5"/>
  </si>
  <si>
    <t>CO2削減量（ΔC=C-C’）</t>
    <rPh sb="3" eb="6">
      <t>サクゲンリョウ</t>
    </rPh>
    <phoneticPr fontId="5"/>
  </si>
  <si>
    <t>導入年度（西暦）</t>
    <rPh sb="0" eb="4">
      <t>ドウニュウネンド</t>
    </rPh>
    <rPh sb="5" eb="7">
      <t>セイレキ</t>
    </rPh>
    <phoneticPr fontId="5"/>
  </si>
  <si>
    <t>冷房時平均負荷率</t>
    <rPh sb="0" eb="3">
      <t>レイボウジ</t>
    </rPh>
    <rPh sb="3" eb="5">
      <t>ヘイキン</t>
    </rPh>
    <rPh sb="5" eb="8">
      <t>フカリツ</t>
    </rPh>
    <phoneticPr fontId="5"/>
  </si>
  <si>
    <t>暖房時平均負荷率</t>
    <rPh sb="0" eb="2">
      <t>ダンボウ</t>
    </rPh>
    <rPh sb="2" eb="3">
      <t>ジ</t>
    </rPh>
    <rPh sb="3" eb="5">
      <t>ヘイキン</t>
    </rPh>
    <rPh sb="5" eb="8">
      <t>フカリツ</t>
    </rPh>
    <phoneticPr fontId="5"/>
  </si>
  <si>
    <t>電力消費量</t>
    <rPh sb="0" eb="2">
      <t>デンリョク</t>
    </rPh>
    <rPh sb="2" eb="5">
      <t>ショウヒリョウ</t>
    </rPh>
    <phoneticPr fontId="5"/>
  </si>
  <si>
    <t>CO2排出量</t>
    <rPh sb="3" eb="5">
      <t>ハイシュツ</t>
    </rPh>
    <rPh sb="5" eb="6">
      <t>リョウ</t>
    </rPh>
    <phoneticPr fontId="5"/>
  </si>
  <si>
    <t>tCO2/kg</t>
  </si>
  <si>
    <t>tCO2/㎥</t>
  </si>
  <si>
    <t>IE1</t>
  </si>
  <si>
    <t>IE1</t>
    <phoneticPr fontId="5"/>
  </si>
  <si>
    <t>4極</t>
  </si>
  <si>
    <t>2極</t>
    <phoneticPr fontId="5"/>
  </si>
  <si>
    <t>6極</t>
    <phoneticPr fontId="5"/>
  </si>
  <si>
    <t>IE2</t>
    <phoneticPr fontId="5"/>
  </si>
  <si>
    <t>IE3</t>
    <phoneticPr fontId="5"/>
  </si>
  <si>
    <t>IE4</t>
    <phoneticPr fontId="5"/>
  </si>
  <si>
    <t>8極</t>
    <rPh sb="1" eb="2">
      <t>キョク</t>
    </rPh>
    <phoneticPr fontId="5"/>
  </si>
  <si>
    <t>極数</t>
    <rPh sb="0" eb="1">
      <t>キョク</t>
    </rPh>
    <rPh sb="1" eb="2">
      <t>スウ</t>
    </rPh>
    <phoneticPr fontId="5"/>
  </si>
  <si>
    <t>規格</t>
    <rPh sb="0" eb="2">
      <t>キカク</t>
    </rPh>
    <phoneticPr fontId="5"/>
  </si>
  <si>
    <t>h/年</t>
    <rPh sb="2" eb="3">
      <t>ネン</t>
    </rPh>
    <phoneticPr fontId="5"/>
  </si>
  <si>
    <t>定格出力(a)</t>
    <rPh sb="0" eb="2">
      <t>テイカク</t>
    </rPh>
    <rPh sb="2" eb="4">
      <t>シュツリョク</t>
    </rPh>
    <phoneticPr fontId="5"/>
  </si>
  <si>
    <t>効率(p)</t>
    <rPh sb="0" eb="2">
      <t>コウリツ</t>
    </rPh>
    <phoneticPr fontId="5"/>
  </si>
  <si>
    <t>モータ数(n)</t>
    <rPh sb="3" eb="4">
      <t>スウ</t>
    </rPh>
    <phoneticPr fontId="5"/>
  </si>
  <si>
    <t>効率タイプ</t>
    <rPh sb="0" eb="2">
      <t>コウリツ</t>
    </rPh>
    <phoneticPr fontId="5"/>
  </si>
  <si>
    <t>消費電力(b=a/p)</t>
    <rPh sb="0" eb="4">
      <t>ショウヒデンリョク</t>
    </rPh>
    <phoneticPr fontId="5"/>
  </si>
  <si>
    <t>消費電力（a）</t>
    <rPh sb="0" eb="2">
      <t>ショウヒ</t>
    </rPh>
    <rPh sb="2" eb="4">
      <t>デンリョク</t>
    </rPh>
    <phoneticPr fontId="5"/>
  </si>
  <si>
    <t>燃料消費量(A)</t>
    <phoneticPr fontId="5"/>
  </si>
  <si>
    <t>消費電力（a'）</t>
    <rPh sb="0" eb="2">
      <t>ショウヒ</t>
    </rPh>
    <rPh sb="2" eb="4">
      <t>デンリョク</t>
    </rPh>
    <phoneticPr fontId="5"/>
  </si>
  <si>
    <t>燃料消費量(A')</t>
    <phoneticPr fontId="5"/>
  </si>
  <si>
    <t>モーター更新によるCO2削減量、光熱費削減量</t>
    <rPh sb="4" eb="6">
      <t>コウシン</t>
    </rPh>
    <rPh sb="12" eb="15">
      <t>サクゲンリョウ</t>
    </rPh>
    <rPh sb="16" eb="19">
      <t>コウネツヒ</t>
    </rPh>
    <rPh sb="19" eb="22">
      <t>サクゲンリョウ</t>
    </rPh>
    <phoneticPr fontId="5"/>
  </si>
  <si>
    <t>モータ数(n')</t>
    <rPh sb="3" eb="4">
      <t>スウ</t>
    </rPh>
    <phoneticPr fontId="5"/>
  </si>
  <si>
    <t>負荷率(r')</t>
    <rPh sb="0" eb="3">
      <t>フカリツ</t>
    </rPh>
    <phoneticPr fontId="5"/>
  </si>
  <si>
    <t>消費電力(b'=a'/p')</t>
    <rPh sb="0" eb="4">
      <t>ショウヒデンリョク</t>
    </rPh>
    <phoneticPr fontId="5"/>
  </si>
  <si>
    <t>効率(p')</t>
    <rPh sb="0" eb="2">
      <t>コウリツ</t>
    </rPh>
    <phoneticPr fontId="5"/>
  </si>
  <si>
    <t>定格出力(a')</t>
    <rPh sb="0" eb="2">
      <t>テイカク</t>
    </rPh>
    <rPh sb="2" eb="4">
      <t>シュツリョク</t>
    </rPh>
    <phoneticPr fontId="5"/>
  </si>
  <si>
    <t>負荷率(r)</t>
    <rPh sb="0" eb="3">
      <t>フカリツ</t>
    </rPh>
    <phoneticPr fontId="5"/>
  </si>
  <si>
    <t>年間稼働時間(t)</t>
    <rPh sb="0" eb="2">
      <t>ネンカン</t>
    </rPh>
    <rPh sb="2" eb="6">
      <t>カドウジカン</t>
    </rPh>
    <phoneticPr fontId="5"/>
  </si>
  <si>
    <t>年間稼働時間(t')</t>
    <rPh sb="2" eb="6">
      <t>カドウジカン</t>
    </rPh>
    <phoneticPr fontId="5"/>
  </si>
  <si>
    <r>
      <t>年間電力消費量(E</t>
    </r>
    <r>
      <rPr>
        <sz val="11"/>
        <color theme="1"/>
        <rFont val="游ゴシック"/>
        <family val="2"/>
        <scheme val="minor"/>
      </rPr>
      <t>)</t>
    </r>
    <phoneticPr fontId="5"/>
  </si>
  <si>
    <r>
      <t>年間電力消費量(E'</t>
    </r>
    <r>
      <rPr>
        <sz val="11"/>
        <color theme="1"/>
        <rFont val="游ゴシック"/>
        <family val="2"/>
        <scheme val="minor"/>
      </rPr>
      <t>)</t>
    </r>
    <phoneticPr fontId="5"/>
  </si>
  <si>
    <r>
      <t>CO2排出量(C</t>
    </r>
    <r>
      <rPr>
        <vertAlign val="subscript"/>
        <sz val="11"/>
        <color theme="1"/>
        <rFont val="游ゴシック"/>
        <family val="3"/>
        <charset val="128"/>
        <scheme val="minor"/>
      </rPr>
      <t>1</t>
    </r>
    <r>
      <rPr>
        <sz val="11"/>
        <color theme="1"/>
        <rFont val="游ゴシック"/>
        <family val="2"/>
        <scheme val="minor"/>
      </rPr>
      <t>)</t>
    </r>
    <rPh sb="3" eb="6">
      <t>ハイシュツリョウ</t>
    </rPh>
    <phoneticPr fontId="5"/>
  </si>
  <si>
    <r>
      <t>CO2排出量(C'</t>
    </r>
    <r>
      <rPr>
        <vertAlign val="subscript"/>
        <sz val="11"/>
        <color theme="1"/>
        <rFont val="游ゴシック"/>
        <family val="3"/>
        <charset val="128"/>
        <scheme val="minor"/>
      </rPr>
      <t>2</t>
    </r>
    <r>
      <rPr>
        <sz val="11"/>
        <color theme="1"/>
        <rFont val="游ゴシック"/>
        <family val="2"/>
        <scheme val="minor"/>
      </rPr>
      <t>)</t>
    </r>
    <rPh sb="3" eb="6">
      <t>ハイシュツリョウ</t>
    </rPh>
    <phoneticPr fontId="5"/>
  </si>
  <si>
    <t>機種21</t>
    <rPh sb="0" eb="2">
      <t>キシュ</t>
    </rPh>
    <phoneticPr fontId="5"/>
  </si>
  <si>
    <t>機種22</t>
    <rPh sb="0" eb="2">
      <t>キシュ</t>
    </rPh>
    <phoneticPr fontId="5"/>
  </si>
  <si>
    <t>機種23</t>
    <rPh sb="0" eb="2">
      <t>キシュ</t>
    </rPh>
    <phoneticPr fontId="5"/>
  </si>
  <si>
    <t>機種24</t>
    <rPh sb="0" eb="2">
      <t>キシュ</t>
    </rPh>
    <phoneticPr fontId="5"/>
  </si>
  <si>
    <t>機種25</t>
    <rPh sb="0" eb="2">
      <t>キシュ</t>
    </rPh>
    <phoneticPr fontId="5"/>
  </si>
  <si>
    <t>機種26</t>
    <rPh sb="0" eb="2">
      <t>キシュ</t>
    </rPh>
    <phoneticPr fontId="5"/>
  </si>
  <si>
    <t>機種27</t>
    <rPh sb="0" eb="2">
      <t>キシュ</t>
    </rPh>
    <phoneticPr fontId="5"/>
  </si>
  <si>
    <t>機種28</t>
    <rPh sb="0" eb="2">
      <t>キシュ</t>
    </rPh>
    <phoneticPr fontId="5"/>
  </si>
  <si>
    <t>機種29</t>
    <rPh sb="0" eb="2">
      <t>キシュ</t>
    </rPh>
    <phoneticPr fontId="5"/>
  </si>
  <si>
    <t>機種30</t>
    <rPh sb="0" eb="2">
      <t>キシュ</t>
    </rPh>
    <phoneticPr fontId="5"/>
  </si>
  <si>
    <t>機種31</t>
    <rPh sb="0" eb="2">
      <t>キシュ</t>
    </rPh>
    <phoneticPr fontId="5"/>
  </si>
  <si>
    <t>機種32</t>
    <rPh sb="0" eb="2">
      <t>キシュ</t>
    </rPh>
    <phoneticPr fontId="5"/>
  </si>
  <si>
    <t>機種33</t>
    <rPh sb="0" eb="2">
      <t>キシュ</t>
    </rPh>
    <phoneticPr fontId="5"/>
  </si>
  <si>
    <t>機種34</t>
    <rPh sb="0" eb="2">
      <t>キシュ</t>
    </rPh>
    <phoneticPr fontId="5"/>
  </si>
  <si>
    <t>機種35</t>
    <rPh sb="0" eb="2">
      <t>キシュ</t>
    </rPh>
    <phoneticPr fontId="5"/>
  </si>
  <si>
    <t>機種36</t>
    <rPh sb="0" eb="2">
      <t>キシュ</t>
    </rPh>
    <phoneticPr fontId="5"/>
  </si>
  <si>
    <t>機種37</t>
    <rPh sb="0" eb="2">
      <t>キシュ</t>
    </rPh>
    <phoneticPr fontId="5"/>
  </si>
  <si>
    <t>機種38</t>
    <rPh sb="0" eb="2">
      <t>キシュ</t>
    </rPh>
    <phoneticPr fontId="5"/>
  </si>
  <si>
    <t>機種39</t>
    <rPh sb="0" eb="2">
      <t>キシュ</t>
    </rPh>
    <phoneticPr fontId="5"/>
  </si>
  <si>
    <t>機種40</t>
    <rPh sb="0" eb="2">
      <t>キシュ</t>
    </rPh>
    <phoneticPr fontId="5"/>
  </si>
  <si>
    <t>機種41</t>
    <rPh sb="0" eb="2">
      <t>キシュ</t>
    </rPh>
    <phoneticPr fontId="5"/>
  </si>
  <si>
    <t>機種42</t>
    <rPh sb="0" eb="2">
      <t>キシュ</t>
    </rPh>
    <phoneticPr fontId="5"/>
  </si>
  <si>
    <t>機種43</t>
    <rPh sb="0" eb="2">
      <t>キシュ</t>
    </rPh>
    <phoneticPr fontId="5"/>
  </si>
  <si>
    <t>機種44</t>
    <rPh sb="0" eb="2">
      <t>キシュ</t>
    </rPh>
    <phoneticPr fontId="5"/>
  </si>
  <si>
    <t>機種45</t>
    <rPh sb="0" eb="2">
      <t>キシュ</t>
    </rPh>
    <phoneticPr fontId="5"/>
  </si>
  <si>
    <t>機種46</t>
    <rPh sb="0" eb="2">
      <t>キシュ</t>
    </rPh>
    <phoneticPr fontId="5"/>
  </si>
  <si>
    <t>機種47</t>
    <rPh sb="0" eb="2">
      <t>キシュ</t>
    </rPh>
    <phoneticPr fontId="5"/>
  </si>
  <si>
    <t>機種48</t>
    <rPh sb="0" eb="2">
      <t>キシュ</t>
    </rPh>
    <phoneticPr fontId="5"/>
  </si>
  <si>
    <t>機種49</t>
    <rPh sb="0" eb="2">
      <t>キシュ</t>
    </rPh>
    <phoneticPr fontId="5"/>
  </si>
  <si>
    <t>機種50</t>
    <rPh sb="0" eb="2">
      <t>キシュ</t>
    </rPh>
    <phoneticPr fontId="5"/>
  </si>
  <si>
    <r>
      <t>冷房時定格消費電力（</t>
    </r>
    <r>
      <rPr>
        <sz val="11"/>
        <color theme="1"/>
        <rFont val="游ゴシック"/>
        <family val="3"/>
        <charset val="128"/>
        <scheme val="minor"/>
      </rPr>
      <t>a</t>
    </r>
    <r>
      <rPr>
        <vertAlign val="subscript"/>
        <sz val="11"/>
        <color theme="1"/>
        <rFont val="游ゴシック"/>
        <family val="3"/>
        <charset val="128"/>
        <scheme val="minor"/>
      </rPr>
      <t>1</t>
    </r>
    <r>
      <rPr>
        <sz val="11"/>
        <color theme="1"/>
        <rFont val="游ゴシック"/>
        <family val="2"/>
        <scheme val="minor"/>
      </rPr>
      <t>）</t>
    </r>
    <rPh sb="0" eb="3">
      <t>レイボウジ</t>
    </rPh>
    <rPh sb="5" eb="7">
      <t>ショウヒ</t>
    </rPh>
    <rPh sb="7" eb="9">
      <t>デンリョク</t>
    </rPh>
    <phoneticPr fontId="5"/>
  </si>
  <si>
    <r>
      <t>暖房時定格消費電力（</t>
    </r>
    <r>
      <rPr>
        <sz val="11"/>
        <color theme="1"/>
        <rFont val="游ゴシック"/>
        <family val="3"/>
        <charset val="128"/>
        <scheme val="minor"/>
      </rPr>
      <t>a</t>
    </r>
    <r>
      <rPr>
        <vertAlign val="subscript"/>
        <sz val="11"/>
        <color theme="1"/>
        <rFont val="游ゴシック"/>
        <family val="3"/>
        <charset val="128"/>
        <scheme val="minor"/>
      </rPr>
      <t>2</t>
    </r>
    <r>
      <rPr>
        <sz val="11"/>
        <color theme="1"/>
        <rFont val="游ゴシック"/>
        <family val="2"/>
        <scheme val="minor"/>
      </rPr>
      <t>）</t>
    </r>
    <rPh sb="0" eb="2">
      <t>ダンボウ</t>
    </rPh>
    <rPh sb="2" eb="3">
      <t>ジ</t>
    </rPh>
    <rPh sb="5" eb="7">
      <t>ショウヒ</t>
    </rPh>
    <rPh sb="7" eb="9">
      <t>デンリョク</t>
    </rPh>
    <phoneticPr fontId="5"/>
  </si>
  <si>
    <r>
      <t>冷房時定格消費電力（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1</t>
    </r>
    <r>
      <rPr>
        <sz val="11"/>
        <color theme="1"/>
        <rFont val="游ゴシック"/>
        <family val="2"/>
        <scheme val="minor"/>
      </rPr>
      <t>）</t>
    </r>
    <rPh sb="0" eb="3">
      <t>レイボウジ</t>
    </rPh>
    <rPh sb="5" eb="7">
      <t>ショウヒ</t>
    </rPh>
    <rPh sb="7" eb="9">
      <t>デンリョク</t>
    </rPh>
    <phoneticPr fontId="5"/>
  </si>
  <si>
    <r>
      <t>暖房時定格消費電力（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2</t>
    </r>
    <r>
      <rPr>
        <sz val="11"/>
        <color theme="1"/>
        <rFont val="游ゴシック"/>
        <family val="2"/>
        <scheme val="minor"/>
      </rPr>
      <t>）</t>
    </r>
    <rPh sb="0" eb="2">
      <t>ダンボウ</t>
    </rPh>
    <rPh sb="2" eb="3">
      <t>ジ</t>
    </rPh>
    <rPh sb="5" eb="7">
      <t>ショウヒ</t>
    </rPh>
    <rPh sb="7" eb="9">
      <t>デンリョク</t>
    </rPh>
    <phoneticPr fontId="5"/>
  </si>
  <si>
    <r>
      <t>冷房時定格消費ガス量(b</t>
    </r>
    <r>
      <rPr>
        <vertAlign val="subscript"/>
        <sz val="11"/>
        <color theme="1"/>
        <rFont val="游ゴシック"/>
        <family val="3"/>
        <charset val="128"/>
        <scheme val="minor"/>
      </rPr>
      <t>1</t>
    </r>
    <r>
      <rPr>
        <sz val="11"/>
        <color theme="1"/>
        <rFont val="游ゴシック"/>
        <family val="2"/>
        <scheme val="minor"/>
      </rPr>
      <t>)</t>
    </r>
    <rPh sb="0" eb="3">
      <t>レイボウジ</t>
    </rPh>
    <rPh sb="5" eb="7">
      <t>ショウヒ</t>
    </rPh>
    <rPh sb="9" eb="10">
      <t>リョウ</t>
    </rPh>
    <phoneticPr fontId="5"/>
  </si>
  <si>
    <t>年間定格消費ガス量（F）</t>
    <rPh sb="0" eb="2">
      <t>ネンカン</t>
    </rPh>
    <rPh sb="2" eb="4">
      <t>テイカク</t>
    </rPh>
    <rPh sb="4" eb="6">
      <t>ショウヒ</t>
    </rPh>
    <rPh sb="8" eb="9">
      <t>リョウ</t>
    </rPh>
    <phoneticPr fontId="5"/>
  </si>
  <si>
    <t>ガス消費量</t>
    <rPh sb="2" eb="5">
      <t>ショウヒリョウ</t>
    </rPh>
    <phoneticPr fontId="5"/>
  </si>
  <si>
    <r>
      <t>暖房時定格消費ガス量(b</t>
    </r>
    <r>
      <rPr>
        <vertAlign val="subscript"/>
        <sz val="11"/>
        <color theme="1"/>
        <rFont val="游ゴシック"/>
        <family val="2"/>
        <scheme val="minor"/>
      </rPr>
      <t>2</t>
    </r>
    <r>
      <rPr>
        <sz val="11"/>
        <color theme="1"/>
        <rFont val="游ゴシック"/>
        <family val="2"/>
        <scheme val="minor"/>
      </rPr>
      <t>)</t>
    </r>
    <rPh sb="0" eb="2">
      <t>ダンボウ</t>
    </rPh>
    <rPh sb="2" eb="3">
      <t>ジ</t>
    </rPh>
    <rPh sb="3" eb="5">
      <t>テイカク</t>
    </rPh>
    <rPh sb="5" eb="7">
      <t>ショウヒ</t>
    </rPh>
    <rPh sb="9" eb="10">
      <t>リョウ</t>
    </rPh>
    <phoneticPr fontId="5"/>
  </si>
  <si>
    <t>年間定格消費ガス量（F’）</t>
    <rPh sb="0" eb="2">
      <t>ネンカン</t>
    </rPh>
    <rPh sb="2" eb="4">
      <t>テイカク</t>
    </rPh>
    <rPh sb="4" eb="6">
      <t>ショウヒ</t>
    </rPh>
    <rPh sb="8" eb="9">
      <t>リョウ</t>
    </rPh>
    <phoneticPr fontId="5"/>
  </si>
  <si>
    <r>
      <t>CO2排出量(C'</t>
    </r>
    <r>
      <rPr>
        <sz val="11"/>
        <color theme="1"/>
        <rFont val="游ゴシック"/>
        <family val="2"/>
        <scheme val="minor"/>
      </rPr>
      <t>)</t>
    </r>
    <rPh sb="3" eb="6">
      <t>ハイシュツリョウ</t>
    </rPh>
    <phoneticPr fontId="5"/>
  </si>
  <si>
    <r>
      <t>冷房時定格消費ガス量(b'</t>
    </r>
    <r>
      <rPr>
        <vertAlign val="subscript"/>
        <sz val="11"/>
        <color theme="1"/>
        <rFont val="游ゴシック"/>
        <family val="3"/>
        <charset val="128"/>
        <scheme val="minor"/>
      </rPr>
      <t>1</t>
    </r>
    <r>
      <rPr>
        <sz val="11"/>
        <color theme="1"/>
        <rFont val="游ゴシック"/>
        <family val="2"/>
        <scheme val="minor"/>
      </rPr>
      <t>)</t>
    </r>
    <rPh sb="0" eb="3">
      <t>レイボウジ</t>
    </rPh>
    <rPh sb="5" eb="7">
      <t>ショウヒ</t>
    </rPh>
    <rPh sb="9" eb="10">
      <t>リョウ</t>
    </rPh>
    <phoneticPr fontId="5"/>
  </si>
  <si>
    <r>
      <t>暖房時定格消費ガス量('b</t>
    </r>
    <r>
      <rPr>
        <vertAlign val="subscript"/>
        <sz val="11"/>
        <color theme="1"/>
        <rFont val="游ゴシック"/>
        <family val="2"/>
        <scheme val="minor"/>
      </rPr>
      <t>2</t>
    </r>
    <r>
      <rPr>
        <sz val="11"/>
        <color theme="1"/>
        <rFont val="游ゴシック"/>
        <family val="2"/>
        <scheme val="minor"/>
      </rPr>
      <t>)</t>
    </r>
    <rPh sb="0" eb="2">
      <t>ダンボウ</t>
    </rPh>
    <rPh sb="2" eb="3">
      <t>ジ</t>
    </rPh>
    <rPh sb="3" eb="5">
      <t>テイカク</t>
    </rPh>
    <rPh sb="5" eb="7">
      <t>ショウヒ</t>
    </rPh>
    <rPh sb="9" eb="10">
      <t>リョウ</t>
    </rPh>
    <phoneticPr fontId="5"/>
  </si>
  <si>
    <t>体積換算K(㎥/(kW・h))</t>
    <rPh sb="0" eb="4">
      <t>タイセキカンサン</t>
    </rPh>
    <phoneticPr fontId="5"/>
  </si>
  <si>
    <t>燃料消費量</t>
    <rPh sb="0" eb="2">
      <t>ネンリョウ</t>
    </rPh>
    <rPh sb="2" eb="5">
      <t>ショウヒリョウ</t>
    </rPh>
    <phoneticPr fontId="5"/>
  </si>
  <si>
    <t>年間消費電力量(E)</t>
    <rPh sb="0" eb="2">
      <t>ネンカン</t>
    </rPh>
    <rPh sb="2" eb="7">
      <t>ショウヒデンリョクリョウ</t>
    </rPh>
    <phoneticPr fontId="5"/>
  </si>
  <si>
    <t>CO2排出量
(C)</t>
    <rPh sb="3" eb="6">
      <t>ハイシュツリョウ</t>
    </rPh>
    <phoneticPr fontId="5"/>
  </si>
  <si>
    <t>CO2排出量(C')</t>
    <rPh sb="3" eb="6">
      <t>ハイシュツリョウ</t>
    </rPh>
    <phoneticPr fontId="5"/>
  </si>
  <si>
    <t>年間消費電力量(E')</t>
    <rPh sb="0" eb="2">
      <t>ネンカン</t>
    </rPh>
    <rPh sb="2" eb="7">
      <t>ショウヒデンリョクリョウ</t>
    </rPh>
    <phoneticPr fontId="5"/>
  </si>
  <si>
    <t>年間燃料消費量(F)</t>
    <rPh sb="0" eb="2">
      <t>ネンカン</t>
    </rPh>
    <rPh sb="6" eb="7">
      <t>リョウ</t>
    </rPh>
    <phoneticPr fontId="5"/>
  </si>
  <si>
    <t>※登録期間内に取組を予定している場合には1項目として取組項目数に加えることが可能（〇取組済み、●取組予定）</t>
    <rPh sb="42" eb="44">
      <t>トリクミ</t>
    </rPh>
    <rPh sb="44" eb="45">
      <t>ズ</t>
    </rPh>
    <rPh sb="48" eb="50">
      <t>トリクミ</t>
    </rPh>
    <rPh sb="50" eb="52">
      <t>ヨテイ</t>
    </rPh>
    <phoneticPr fontId="5"/>
  </si>
  <si>
    <t>●</t>
  </si>
  <si>
    <t>判定</t>
    <rPh sb="0" eb="2">
      <t>ハンテイ</t>
    </rPh>
    <phoneticPr fontId="5"/>
  </si>
  <si>
    <r>
      <t>CO2排出量(C</t>
    </r>
    <r>
      <rPr>
        <sz val="11"/>
        <color theme="1"/>
        <rFont val="游ゴシック"/>
        <family val="2"/>
        <scheme val="minor"/>
      </rPr>
      <t>)</t>
    </r>
    <phoneticPr fontId="5"/>
  </si>
  <si>
    <t>CO2排出量(C')</t>
    <phoneticPr fontId="5"/>
  </si>
  <si>
    <t>電力削減量（E-E’）</t>
    <rPh sb="0" eb="2">
      <t>デンリョク</t>
    </rPh>
    <rPh sb="2" eb="5">
      <t>サクゲンリョウ</t>
    </rPh>
    <phoneticPr fontId="5"/>
  </si>
  <si>
    <t>CO2削減量（C-C’）</t>
    <rPh sb="3" eb="6">
      <t>サクゲンリョウ</t>
    </rPh>
    <phoneticPr fontId="5"/>
  </si>
  <si>
    <t>燃料削減量(F-F')</t>
    <rPh sb="0" eb="2">
      <t>ネンリョウ</t>
    </rPh>
    <rPh sb="2" eb="4">
      <t>サクゲン</t>
    </rPh>
    <phoneticPr fontId="5"/>
  </si>
  <si>
    <t>㎥/年</t>
    <phoneticPr fontId="5"/>
  </si>
  <si>
    <t>年間燃料消費量(F')</t>
    <rPh sb="0" eb="2">
      <t>ネンカン</t>
    </rPh>
    <rPh sb="6" eb="7">
      <t>リョウ</t>
    </rPh>
    <phoneticPr fontId="5"/>
  </si>
  <si>
    <t>CO2排出量(C)</t>
    <rPh sb="3" eb="6">
      <t>ハイシュツリョウ</t>
    </rPh>
    <phoneticPr fontId="5"/>
  </si>
  <si>
    <t>CO2削減量(C-C')</t>
    <rPh sb="3" eb="6">
      <t>サクゲンリョウ</t>
    </rPh>
    <phoneticPr fontId="5"/>
  </si>
  <si>
    <t>日点灯時間
(t)</t>
    <rPh sb="0" eb="1">
      <t>ニチ</t>
    </rPh>
    <rPh sb="1" eb="5">
      <t>テントウジカン</t>
    </rPh>
    <phoneticPr fontId="5"/>
  </si>
  <si>
    <t>原油換算エネルギー使用量</t>
    <rPh sb="0" eb="4">
      <t>ゲンユカンザン</t>
    </rPh>
    <rPh sb="9" eb="12">
      <t>シヨウリョウ</t>
    </rPh>
    <phoneticPr fontId="5"/>
  </si>
  <si>
    <t>kl/年</t>
    <rPh sb="3" eb="4">
      <t>ネン</t>
    </rPh>
    <phoneticPr fontId="5"/>
  </si>
  <si>
    <t>原油換算発熱量</t>
    <rPh sb="0" eb="4">
      <t>ゲンユカンザン</t>
    </rPh>
    <rPh sb="4" eb="7">
      <t>ハツネツリョウ</t>
    </rPh>
    <phoneticPr fontId="5"/>
  </si>
  <si>
    <t>IE3</t>
  </si>
  <si>
    <t>効率</t>
    <rPh sb="0" eb="2">
      <t>コウリツ</t>
    </rPh>
    <phoneticPr fontId="5"/>
  </si>
  <si>
    <t>％</t>
    <phoneticPr fontId="5"/>
  </si>
  <si>
    <t>円</t>
    <rPh sb="0" eb="1">
      <t>エン</t>
    </rPh>
    <phoneticPr fontId="5"/>
  </si>
  <si>
    <t>必要熱量換算</t>
    <rPh sb="0" eb="4">
      <t>ヒツヨウネツリョウ</t>
    </rPh>
    <rPh sb="4" eb="6">
      <t>カンサン</t>
    </rPh>
    <phoneticPr fontId="5"/>
  </si>
  <si>
    <t>燃料単位</t>
    <rPh sb="0" eb="2">
      <t>ネンリョウ</t>
    </rPh>
    <rPh sb="2" eb="4">
      <t>タンイ</t>
    </rPh>
    <phoneticPr fontId="5"/>
  </si>
  <si>
    <t>必要熱量</t>
    <rPh sb="0" eb="2">
      <t>ヒツヨウ</t>
    </rPh>
    <rPh sb="2" eb="4">
      <t>ネツリョウ</t>
    </rPh>
    <phoneticPr fontId="5"/>
  </si>
  <si>
    <t>MJ</t>
    <phoneticPr fontId="5"/>
  </si>
  <si>
    <t>変圧器の更新</t>
    <rPh sb="0" eb="3">
      <t>ヘンアツキ</t>
    </rPh>
    <rPh sb="4" eb="6">
      <t>コウシン</t>
    </rPh>
    <phoneticPr fontId="5"/>
  </si>
  <si>
    <t>変圧器更新によるCO2削減量、光熱費削減量</t>
    <rPh sb="0" eb="3">
      <t>ヘンアツキ</t>
    </rPh>
    <rPh sb="3" eb="5">
      <t>コウシン</t>
    </rPh>
    <rPh sb="11" eb="14">
      <t>サクゲンリョウ</t>
    </rPh>
    <rPh sb="15" eb="18">
      <t>コウネツヒ</t>
    </rPh>
    <rPh sb="18" eb="21">
      <t>サクゲンリョウ</t>
    </rPh>
    <phoneticPr fontId="5"/>
  </si>
  <si>
    <t>無負荷損（a）</t>
    <rPh sb="0" eb="4">
      <t>ムフカゾン</t>
    </rPh>
    <phoneticPr fontId="5"/>
  </si>
  <si>
    <t>負荷損(b)</t>
    <rPh sb="0" eb="3">
      <t>フカゾン</t>
    </rPh>
    <phoneticPr fontId="5"/>
  </si>
  <si>
    <t>W</t>
    <phoneticPr fontId="5"/>
  </si>
  <si>
    <t>負荷率
(r)</t>
    <rPh sb="0" eb="3">
      <t>フカリツ</t>
    </rPh>
    <phoneticPr fontId="5"/>
  </si>
  <si>
    <t>容量</t>
    <rPh sb="0" eb="2">
      <t>ヨウリョウ</t>
    </rPh>
    <phoneticPr fontId="5"/>
  </si>
  <si>
    <t>kVA</t>
    <phoneticPr fontId="5"/>
  </si>
  <si>
    <t>相数、変圧比</t>
    <rPh sb="0" eb="1">
      <t>ソウ</t>
    </rPh>
    <rPh sb="1" eb="2">
      <t>スウ</t>
    </rPh>
    <rPh sb="3" eb="5">
      <t>ヘンアツ</t>
    </rPh>
    <rPh sb="5" eb="6">
      <t>ヒ</t>
    </rPh>
    <phoneticPr fontId="5"/>
  </si>
  <si>
    <t>空調（電気）</t>
    <phoneticPr fontId="5"/>
  </si>
  <si>
    <t>空調（GHP)</t>
  </si>
  <si>
    <t>その他</t>
  </si>
  <si>
    <t>照明</t>
  </si>
  <si>
    <t>モーター</t>
  </si>
  <si>
    <t>ボイラー・給湯器</t>
  </si>
  <si>
    <t>年間稼働時間(t)</t>
    <rPh sb="0" eb="2">
      <t>ネンカン</t>
    </rPh>
    <rPh sb="2" eb="4">
      <t>カドウ</t>
    </rPh>
    <rPh sb="4" eb="6">
      <t>ジカン</t>
    </rPh>
    <phoneticPr fontId="5"/>
  </si>
  <si>
    <t>削減量</t>
    <rPh sb="0" eb="3">
      <t>サクゲンリョウ</t>
    </rPh>
    <phoneticPr fontId="5"/>
  </si>
  <si>
    <t>光熱費(円/年)　</t>
    <rPh sb="0" eb="3">
      <t>コウネツヒ</t>
    </rPh>
    <phoneticPr fontId="5"/>
  </si>
  <si>
    <t>CO2削減量</t>
    <rPh sb="3" eb="6">
      <t>サクゲンリョウ</t>
    </rPh>
    <phoneticPr fontId="5"/>
  </si>
  <si>
    <t>(t-CO2/年)</t>
    <rPh sb="7" eb="8">
      <t>ネン</t>
    </rPh>
    <phoneticPr fontId="5"/>
  </si>
  <si>
    <t>変圧器</t>
    <rPh sb="0" eb="3">
      <t>ヘンアツキ</t>
    </rPh>
    <phoneticPr fontId="5"/>
  </si>
  <si>
    <t>原油換算使用量</t>
    <rPh sb="0" eb="4">
      <t>ゲンユカンザン</t>
    </rPh>
    <rPh sb="4" eb="7">
      <t>シヨウリョウ</t>
    </rPh>
    <phoneticPr fontId="5"/>
  </si>
  <si>
    <t>ボイラー・給湯器の更新、燃料転換によるCO2削減量、光熱費削減量</t>
    <rPh sb="5" eb="8">
      <t>キュウトウキ</t>
    </rPh>
    <rPh sb="9" eb="11">
      <t>コウシン</t>
    </rPh>
    <rPh sb="12" eb="14">
      <t>ネンリョウ</t>
    </rPh>
    <rPh sb="14" eb="16">
      <t>テンカン</t>
    </rPh>
    <rPh sb="22" eb="25">
      <t>サクゲンリョウ</t>
    </rPh>
    <rPh sb="26" eb="29">
      <t>コウネツヒ</t>
    </rPh>
    <rPh sb="29" eb="32">
      <t>サクゲンリョウ</t>
    </rPh>
    <phoneticPr fontId="5"/>
  </si>
  <si>
    <t>原油換算使用量</t>
    <phoneticPr fontId="5"/>
  </si>
  <si>
    <t>（自家消費分）</t>
  </si>
  <si>
    <t>（自家消費分）</t>
    <rPh sb="5" eb="6">
      <t>ブン</t>
    </rPh>
    <phoneticPr fontId="5"/>
  </si>
  <si>
    <t>　二酸化炭素排出量の削減のためには、省エネが有効ですが、2050年に実質ゼロを目指していくには、省エネだけでゼロにすることは不可能ですので、再生可能エネルギーの利用割合が高い電気を買電することも重要です。実施可能な範囲で、導入を進めてください。</t>
    <rPh sb="1" eb="4">
      <t>ニサンカ</t>
    </rPh>
    <rPh sb="4" eb="6">
      <t>タンソ</t>
    </rPh>
    <rPh sb="6" eb="8">
      <t>ハイシュツ</t>
    </rPh>
    <rPh sb="8" eb="9">
      <t>リョウ</t>
    </rPh>
    <rPh sb="10" eb="12">
      <t>サクゲン</t>
    </rPh>
    <rPh sb="18" eb="19">
      <t>ショウ</t>
    </rPh>
    <rPh sb="22" eb="24">
      <t>ユウコウ</t>
    </rPh>
    <rPh sb="32" eb="33">
      <t>ネン</t>
    </rPh>
    <rPh sb="34" eb="36">
      <t>ジッシツ</t>
    </rPh>
    <rPh sb="39" eb="41">
      <t>メザ</t>
    </rPh>
    <rPh sb="48" eb="49">
      <t>ショウ</t>
    </rPh>
    <rPh sb="62" eb="65">
      <t>フカノウ</t>
    </rPh>
    <rPh sb="70" eb="74">
      <t>サイセイカノウ</t>
    </rPh>
    <rPh sb="80" eb="82">
      <t>リヨウ</t>
    </rPh>
    <rPh sb="82" eb="84">
      <t>ワリアイ</t>
    </rPh>
    <rPh sb="85" eb="86">
      <t>タカ</t>
    </rPh>
    <rPh sb="87" eb="89">
      <t>デンキ</t>
    </rPh>
    <rPh sb="90" eb="92">
      <t>バイデン</t>
    </rPh>
    <rPh sb="97" eb="99">
      <t>ジュウヨウ</t>
    </rPh>
    <rPh sb="102" eb="104">
      <t>ジッシ</t>
    </rPh>
    <rPh sb="104" eb="106">
      <t>カノウ</t>
    </rPh>
    <rPh sb="107" eb="109">
      <t>ハンイ</t>
    </rPh>
    <rPh sb="111" eb="113">
      <t>ドウニュウ</t>
    </rPh>
    <rPh sb="114" eb="115">
      <t>スス</t>
    </rPh>
    <phoneticPr fontId="5"/>
  </si>
  <si>
    <t>　二酸化炭素排出量の削減のためには、再生可能エネルギーの利用量を増やしていく必要があります。実施可能な範囲で、導入を進めてください。</t>
    <rPh sb="1" eb="4">
      <t>ニサンカ</t>
    </rPh>
    <rPh sb="4" eb="6">
      <t>タンソ</t>
    </rPh>
    <rPh sb="6" eb="8">
      <t>ハイシュツ</t>
    </rPh>
    <rPh sb="8" eb="9">
      <t>リョウ</t>
    </rPh>
    <rPh sb="10" eb="12">
      <t>サクゲン</t>
    </rPh>
    <rPh sb="18" eb="22">
      <t>サイセイカノウ</t>
    </rPh>
    <rPh sb="28" eb="30">
      <t>リヨウ</t>
    </rPh>
    <rPh sb="30" eb="31">
      <t>リョウ</t>
    </rPh>
    <rPh sb="32" eb="33">
      <t>フ</t>
    </rPh>
    <rPh sb="38" eb="40">
      <t>ヒツヨウ</t>
    </rPh>
    <rPh sb="46" eb="48">
      <t>ジッシ</t>
    </rPh>
    <rPh sb="48" eb="50">
      <t>カノウ</t>
    </rPh>
    <rPh sb="51" eb="53">
      <t>ハンイ</t>
    </rPh>
    <rPh sb="55" eb="57">
      <t>ドウニュウ</t>
    </rPh>
    <rPh sb="58" eb="59">
      <t>スス</t>
    </rPh>
    <phoneticPr fontId="5"/>
  </si>
  <si>
    <t>光熱費</t>
    <phoneticPr fontId="5"/>
  </si>
  <si>
    <t>原油換算使用量</t>
    <rPh sb="0" eb="7">
      <t>ゲンユカンザンシヨウリョウ</t>
    </rPh>
    <phoneticPr fontId="5"/>
  </si>
  <si>
    <t>快適さを損なわずに空調の設定温度を緩和するのに役立ちます。</t>
    <rPh sb="0" eb="2">
      <t>カイテキ</t>
    </rPh>
    <rPh sb="4" eb="5">
      <t>ソコ</t>
    </rPh>
    <rPh sb="9" eb="11">
      <t>クウチョウ</t>
    </rPh>
    <rPh sb="12" eb="14">
      <t>セッテイ</t>
    </rPh>
    <rPh sb="14" eb="16">
      <t>オンド</t>
    </rPh>
    <rPh sb="17" eb="19">
      <t>カンワ</t>
    </rPh>
    <rPh sb="23" eb="25">
      <t>ヤクダ</t>
    </rPh>
    <phoneticPr fontId="5"/>
  </si>
  <si>
    <t>負荷率検査</t>
    <rPh sb="0" eb="3">
      <t>フカリツ</t>
    </rPh>
    <rPh sb="3" eb="5">
      <t>ケンサ</t>
    </rPh>
    <phoneticPr fontId="5"/>
  </si>
  <si>
    <t>能力</t>
    <rPh sb="0" eb="2">
      <t>ノウリョク</t>
    </rPh>
    <phoneticPr fontId="5"/>
  </si>
  <si>
    <t>照明の更新</t>
    <rPh sb="0" eb="2">
      <t>ショウメイ</t>
    </rPh>
    <phoneticPr fontId="5"/>
  </si>
  <si>
    <t>特記事項</t>
    <rPh sb="0" eb="2">
      <t>トッキ</t>
    </rPh>
    <rPh sb="2" eb="4">
      <t>ジコウ</t>
    </rPh>
    <phoneticPr fontId="5"/>
  </si>
  <si>
    <t>数量の増減</t>
    <rPh sb="0" eb="2">
      <t>スウリョウ</t>
    </rPh>
    <rPh sb="3" eb="5">
      <t>ゾウゲン</t>
    </rPh>
    <phoneticPr fontId="5"/>
  </si>
  <si>
    <t>年間使用
日数(d)</t>
    <rPh sb="0" eb="2">
      <t>ネンカン</t>
    </rPh>
    <rPh sb="2" eb="4">
      <t>シヨウ</t>
    </rPh>
    <rPh sb="5" eb="7">
      <t>ニッスウ</t>
    </rPh>
    <phoneticPr fontId="5"/>
  </si>
  <si>
    <t>人感センサ等</t>
    <rPh sb="0" eb="2">
      <t>ジンカン</t>
    </rPh>
    <rPh sb="5" eb="6">
      <t>ナド</t>
    </rPh>
    <phoneticPr fontId="5"/>
  </si>
  <si>
    <t>点灯率(r1)</t>
    <rPh sb="0" eb="2">
      <t>テントウ</t>
    </rPh>
    <rPh sb="2" eb="3">
      <t>リツ</t>
    </rPh>
    <phoneticPr fontId="5"/>
  </si>
  <si>
    <t>年間点灯
時間(b)</t>
    <rPh sb="0" eb="2">
      <t>ネンカン</t>
    </rPh>
    <rPh sb="2" eb="4">
      <t>テントウ</t>
    </rPh>
    <rPh sb="5" eb="7">
      <t>ジカン</t>
    </rPh>
    <phoneticPr fontId="5"/>
  </si>
  <si>
    <t>年間消費
電力量(E)</t>
    <rPh sb="0" eb="2">
      <t>ネンカン</t>
    </rPh>
    <rPh sb="2" eb="4">
      <t>ショウヒ</t>
    </rPh>
    <rPh sb="5" eb="7">
      <t>デンリョク</t>
    </rPh>
    <rPh sb="7" eb="8">
      <t>リョウ</t>
    </rPh>
    <phoneticPr fontId="5"/>
  </si>
  <si>
    <t>年間使用
日数</t>
    <rPh sb="0" eb="2">
      <t>ネンカン</t>
    </rPh>
    <rPh sb="2" eb="4">
      <t>シヨウ</t>
    </rPh>
    <rPh sb="5" eb="7">
      <t>ニッスウ</t>
    </rPh>
    <phoneticPr fontId="5"/>
  </si>
  <si>
    <t>点灯率(r2)</t>
    <rPh sb="0" eb="2">
      <t>テントウ</t>
    </rPh>
    <rPh sb="2" eb="3">
      <t>リツ</t>
    </rPh>
    <phoneticPr fontId="5"/>
  </si>
  <si>
    <t>年間点灯
時間(b')</t>
    <rPh sb="0" eb="2">
      <t>ネンカン</t>
    </rPh>
    <rPh sb="2" eb="4">
      <t>テントウ</t>
    </rPh>
    <rPh sb="5" eb="7">
      <t>ジカン</t>
    </rPh>
    <phoneticPr fontId="5"/>
  </si>
  <si>
    <t>年間消費
電力量(E')</t>
    <rPh sb="0" eb="2">
      <t>ネンカン</t>
    </rPh>
    <rPh sb="2" eb="4">
      <t>ショウヒ</t>
    </rPh>
    <rPh sb="5" eb="7">
      <t>デンリョク</t>
    </rPh>
    <rPh sb="7" eb="8">
      <t>リョウ</t>
    </rPh>
    <phoneticPr fontId="5"/>
  </si>
  <si>
    <t>入力例</t>
    <rPh sb="0" eb="2">
      <t>ニュウリョク</t>
    </rPh>
    <rPh sb="2" eb="3">
      <t>レイ</t>
    </rPh>
    <phoneticPr fontId="5"/>
  </si>
  <si>
    <t>KKT08328</t>
    <phoneticPr fontId="5"/>
  </si>
  <si>
    <t>LED23630</t>
    <phoneticPr fontId="5"/>
  </si>
  <si>
    <t>MJ</t>
  </si>
  <si>
    <t>空調（電気）の更新</t>
    <phoneticPr fontId="5"/>
  </si>
  <si>
    <t>定格能力の増減</t>
    <rPh sb="0" eb="2">
      <t>テイカク</t>
    </rPh>
    <rPh sb="2" eb="4">
      <t>ノウリョク</t>
    </rPh>
    <rPh sb="5" eb="7">
      <t>ゾウゲン</t>
    </rPh>
    <phoneticPr fontId="5"/>
  </si>
  <si>
    <t>定格能力合計（kW）</t>
    <phoneticPr fontId="5"/>
  </si>
  <si>
    <r>
      <t>冷房時</t>
    </r>
    <r>
      <rPr>
        <sz val="11"/>
        <color theme="1"/>
        <rFont val="游ゴシック"/>
        <family val="3"/>
        <charset val="128"/>
        <scheme val="minor"/>
      </rPr>
      <t>(</t>
    </r>
    <r>
      <rPr>
        <sz val="11"/>
        <color theme="1"/>
        <rFont val="游ゴシック"/>
        <family val="2"/>
        <scheme val="minor"/>
      </rPr>
      <t>R</t>
    </r>
    <r>
      <rPr>
        <vertAlign val="subscript"/>
        <sz val="11"/>
        <color theme="1"/>
        <rFont val="游ゴシック"/>
        <family val="3"/>
        <charset val="128"/>
        <scheme val="minor"/>
      </rPr>
      <t>1)</t>
    </r>
    <rPh sb="0" eb="2">
      <t>レイボウ</t>
    </rPh>
    <rPh sb="2" eb="3">
      <t>ジ</t>
    </rPh>
    <phoneticPr fontId="5"/>
  </si>
  <si>
    <r>
      <t>暖房時</t>
    </r>
    <r>
      <rPr>
        <sz val="11"/>
        <color theme="1"/>
        <rFont val="游ゴシック"/>
        <family val="3"/>
        <charset val="128"/>
        <scheme val="minor"/>
      </rPr>
      <t>(</t>
    </r>
    <r>
      <rPr>
        <sz val="11"/>
        <color theme="1"/>
        <rFont val="游ゴシック"/>
        <family val="2"/>
        <scheme val="minor"/>
      </rPr>
      <t>R</t>
    </r>
    <r>
      <rPr>
        <vertAlign val="subscript"/>
        <sz val="11"/>
        <color theme="1"/>
        <rFont val="游ゴシック"/>
        <family val="3"/>
        <charset val="128"/>
        <scheme val="minor"/>
      </rPr>
      <t>2)</t>
    </r>
    <rPh sb="0" eb="2">
      <t>ダンボウ</t>
    </rPh>
    <rPh sb="2" eb="3">
      <t>トキ</t>
    </rPh>
    <phoneticPr fontId="5"/>
  </si>
  <si>
    <t>老朽化消費電力倍率(p) (5%/年）</t>
    <rPh sb="0" eb="3">
      <t>ロウキュウカ</t>
    </rPh>
    <rPh sb="3" eb="5">
      <t>ショウヒ</t>
    </rPh>
    <rPh sb="5" eb="7">
      <t>デンリョク</t>
    </rPh>
    <rPh sb="7" eb="8">
      <t>バイ</t>
    </rPh>
    <rPh sb="8" eb="9">
      <t>リツ</t>
    </rPh>
    <rPh sb="17" eb="18">
      <t>ネン</t>
    </rPh>
    <phoneticPr fontId="5"/>
  </si>
  <si>
    <t>冷房定格能力</t>
    <rPh sb="0" eb="2">
      <t>レイボウ</t>
    </rPh>
    <rPh sb="2" eb="4">
      <t>テイカク</t>
    </rPh>
    <rPh sb="4" eb="6">
      <t>ノウリョク</t>
    </rPh>
    <phoneticPr fontId="5"/>
  </si>
  <si>
    <t>暖房定格能力</t>
    <rPh sb="0" eb="2">
      <t>ダンボウ</t>
    </rPh>
    <rPh sb="2" eb="4">
      <t>テイカク</t>
    </rPh>
    <rPh sb="4" eb="6">
      <t>ノウリョク</t>
    </rPh>
    <phoneticPr fontId="5"/>
  </si>
  <si>
    <t>AAA280BB</t>
    <phoneticPr fontId="5"/>
  </si>
  <si>
    <t>CCC280DD</t>
    <phoneticPr fontId="5"/>
  </si>
  <si>
    <t>AAA280BB</t>
  </si>
  <si>
    <t>CCC280DD</t>
  </si>
  <si>
    <t>KKT08328</t>
  </si>
  <si>
    <t>LED23630</t>
  </si>
  <si>
    <t>空調（GHP）の更新</t>
    <phoneticPr fontId="5"/>
  </si>
  <si>
    <t>係数</t>
    <rPh sb="0" eb="2">
      <t>ケイスウ</t>
    </rPh>
    <phoneticPr fontId="5"/>
  </si>
  <si>
    <t>液化石油ガス（LPG）</t>
    <rPh sb="0" eb="2">
      <t>エキカ</t>
    </rPh>
    <rPh sb="2" eb="4">
      <t>セキユ</t>
    </rPh>
    <phoneticPr fontId="5"/>
  </si>
  <si>
    <t>選択ガス</t>
    <rPh sb="0" eb="2">
      <t>センタク</t>
    </rPh>
    <phoneticPr fontId="5"/>
  </si>
  <si>
    <t>定格能力合計（kW）</t>
    <rPh sb="0" eb="2">
      <t>テイカク</t>
    </rPh>
    <rPh sb="2" eb="4">
      <t>ノウリョク</t>
    </rPh>
    <rPh sb="4" eb="6">
      <t>ゴウケイ</t>
    </rPh>
    <phoneticPr fontId="5"/>
  </si>
  <si>
    <t>老朽化消費倍率(p) (5%/年）</t>
    <rPh sb="0" eb="3">
      <t>ロウキュウカ</t>
    </rPh>
    <rPh sb="3" eb="5">
      <t>ショウヒ</t>
    </rPh>
    <rPh sb="5" eb="6">
      <t>バイ</t>
    </rPh>
    <rPh sb="6" eb="7">
      <t>リツ</t>
    </rPh>
    <rPh sb="15" eb="16">
      <t>ネン</t>
    </rPh>
    <phoneticPr fontId="5"/>
  </si>
  <si>
    <t>EEEE224F</t>
    <phoneticPr fontId="5"/>
  </si>
  <si>
    <t>GGGG224H</t>
    <phoneticPr fontId="5"/>
  </si>
  <si>
    <t>EEEE224F</t>
  </si>
  <si>
    <t>GGGG224H</t>
  </si>
  <si>
    <t>ボイラー・給湯器の更新</t>
    <rPh sb="5" eb="8">
      <t>キュウトウキ</t>
    </rPh>
    <phoneticPr fontId="5"/>
  </si>
  <si>
    <t>能力の増減</t>
    <rPh sb="0" eb="2">
      <t>ノウリョク</t>
    </rPh>
    <rPh sb="3" eb="5">
      <t>ゾウゲン</t>
    </rPh>
    <phoneticPr fontId="5"/>
  </si>
  <si>
    <t>更新前</t>
    <rPh sb="0" eb="2">
      <t>コウシン</t>
    </rPh>
    <rPh sb="2" eb="3">
      <t>マエ</t>
    </rPh>
    <phoneticPr fontId="5"/>
  </si>
  <si>
    <t>t/h</t>
    <phoneticPr fontId="5"/>
  </si>
  <si>
    <t>メーカー
・型番</t>
    <rPh sb="6" eb="8">
      <t>カタバン</t>
    </rPh>
    <phoneticPr fontId="5"/>
  </si>
  <si>
    <t>設備種類</t>
    <rPh sb="0" eb="2">
      <t>セツビ</t>
    </rPh>
    <rPh sb="2" eb="4">
      <t>シュルイ</t>
    </rPh>
    <phoneticPr fontId="5"/>
  </si>
  <si>
    <t>導入年度</t>
    <rPh sb="0" eb="2">
      <t>ドウニュウ</t>
    </rPh>
    <rPh sb="2" eb="4">
      <t>ネンド</t>
    </rPh>
    <phoneticPr fontId="5"/>
  </si>
  <si>
    <t>HP老朽化消費倍率(p) (5%/年）</t>
    <rPh sb="2" eb="4">
      <t>ロウキュウ</t>
    </rPh>
    <rPh sb="7" eb="9">
      <t>バイリツ</t>
    </rPh>
    <phoneticPr fontId="5"/>
  </si>
  <si>
    <t>加熱式設備経年劣化率(q)</t>
    <rPh sb="0" eb="2">
      <t>カネツ</t>
    </rPh>
    <rPh sb="2" eb="3">
      <t>シキ</t>
    </rPh>
    <rPh sb="3" eb="5">
      <t>セツビ</t>
    </rPh>
    <rPh sb="5" eb="7">
      <t>ケイネン</t>
    </rPh>
    <rPh sb="7" eb="9">
      <t>レッカ</t>
    </rPh>
    <rPh sb="9" eb="10">
      <t>リツ</t>
    </rPh>
    <phoneticPr fontId="5"/>
  </si>
  <si>
    <t>定格加熱能力/相当蒸発量</t>
    <rPh sb="0" eb="2">
      <t>テイカク</t>
    </rPh>
    <rPh sb="2" eb="4">
      <t>カネツ</t>
    </rPh>
    <rPh sb="4" eb="6">
      <t>ノウリョク</t>
    </rPh>
    <rPh sb="7" eb="9">
      <t>ソウトウ</t>
    </rPh>
    <rPh sb="9" eb="11">
      <t>ジョウハツ</t>
    </rPh>
    <rPh sb="11" eb="12">
      <t>リョウ</t>
    </rPh>
    <phoneticPr fontId="5"/>
  </si>
  <si>
    <t>能力単位</t>
    <rPh sb="0" eb="2">
      <t>ノウリョク</t>
    </rPh>
    <rPh sb="2" eb="4">
      <t>タンイ</t>
    </rPh>
    <phoneticPr fontId="5"/>
  </si>
  <si>
    <t>定格燃料消費量(A)</t>
    <rPh sb="0" eb="2">
      <t>テイカク</t>
    </rPh>
    <phoneticPr fontId="5"/>
  </si>
  <si>
    <t>FR-085LMK</t>
    <phoneticPr fontId="5"/>
  </si>
  <si>
    <t>給湯器（HP）</t>
  </si>
  <si>
    <t>kW</t>
  </si>
  <si>
    <t>EQ-235YWK</t>
    <phoneticPr fontId="5"/>
  </si>
  <si>
    <t>FR-085LMK</t>
  </si>
  <si>
    <t>コンプレッサーの更新</t>
    <phoneticPr fontId="5"/>
  </si>
  <si>
    <t>定格出力の増減</t>
    <rPh sb="0" eb="2">
      <t>テイカク</t>
    </rPh>
    <rPh sb="2" eb="4">
      <t>シュツリョク</t>
    </rPh>
    <rPh sb="5" eb="7">
      <t>ゾウゲン</t>
    </rPh>
    <phoneticPr fontId="5"/>
  </si>
  <si>
    <t>インバーター</t>
    <phoneticPr fontId="5"/>
  </si>
  <si>
    <t>OLF-754FE</t>
  </si>
  <si>
    <t>IE2</t>
  </si>
  <si>
    <t>PLM-75DBC</t>
  </si>
  <si>
    <t>モーター更新（コンプレッサー等）</t>
    <rPh sb="4" eb="6">
      <t>コウシン</t>
    </rPh>
    <rPh sb="14" eb="15">
      <t>トウ</t>
    </rPh>
    <phoneticPr fontId="5"/>
  </si>
  <si>
    <t>出力（kW）</t>
    <rPh sb="0" eb="2">
      <t>シュツリョク</t>
    </rPh>
    <phoneticPr fontId="5"/>
  </si>
  <si>
    <t>4極</t>
    <phoneticPr fontId="5"/>
  </si>
  <si>
    <t>※登録期間内に取組を予定している場合には1項目として取組項目数に加えることが可能（〇取組済み、●取組予定）</t>
    <phoneticPr fontId="5"/>
  </si>
  <si>
    <t>容量の増減</t>
    <rPh sb="0" eb="2">
      <t>ヨウリョウ</t>
    </rPh>
    <rPh sb="3" eb="5">
      <t>ゾウゲン</t>
    </rPh>
    <phoneticPr fontId="5"/>
  </si>
  <si>
    <t>KK-1L</t>
  </si>
  <si>
    <t>3相：66kV→210V</t>
    <phoneticPr fontId="5"/>
  </si>
  <si>
    <t>ME-1R</t>
  </si>
  <si>
    <t>※台数(n)の増加は認められません。</t>
    <rPh sb="1" eb="3">
      <t>ダイスウ</t>
    </rPh>
    <rPh sb="7" eb="9">
      <t>ゾウカ</t>
    </rPh>
    <rPh sb="10" eb="11">
      <t>ミト</t>
    </rPh>
    <phoneticPr fontId="5"/>
  </si>
  <si>
    <t>照明の更新</t>
    <rPh sb="0" eb="2">
      <t>ショウメイ</t>
    </rPh>
    <rPh sb="3" eb="5">
      <t>コウシン</t>
    </rPh>
    <phoneticPr fontId="5"/>
  </si>
  <si>
    <t>％</t>
  </si>
  <si>
    <t>●仕様書（例）</t>
    <rPh sb="1" eb="4">
      <t>シヨウショ</t>
    </rPh>
    <rPh sb="5" eb="6">
      <t>レイ</t>
    </rPh>
    <phoneticPr fontId="5"/>
  </si>
  <si>
    <t>品名</t>
    <rPh sb="0" eb="2">
      <t>ヒンメイ</t>
    </rPh>
    <phoneticPr fontId="5"/>
  </si>
  <si>
    <t>LED23630　（LED40形ベースライト）</t>
    <phoneticPr fontId="5"/>
  </si>
  <si>
    <t>特性表</t>
    <rPh sb="0" eb="2">
      <t>トクセイ</t>
    </rPh>
    <rPh sb="2" eb="3">
      <t>ヒョウ</t>
    </rPh>
    <phoneticPr fontId="5"/>
  </si>
  <si>
    <t>定格電圧</t>
    <rPh sb="0" eb="2">
      <t>テイカク</t>
    </rPh>
    <phoneticPr fontId="5"/>
  </si>
  <si>
    <t>100V</t>
    <phoneticPr fontId="5"/>
  </si>
  <si>
    <t>200V</t>
    <phoneticPr fontId="5"/>
  </si>
  <si>
    <t>242V</t>
    <phoneticPr fontId="5"/>
  </si>
  <si>
    <t>入力電流</t>
    <phoneticPr fontId="5"/>
  </si>
  <si>
    <t>0.266A</t>
    <phoneticPr fontId="5"/>
  </si>
  <si>
    <t>0.134A</t>
    <phoneticPr fontId="5"/>
  </si>
  <si>
    <t>0.112A</t>
    <phoneticPr fontId="5"/>
  </si>
  <si>
    <t>定格消費電力</t>
    <phoneticPr fontId="5"/>
  </si>
  <si>
    <t>26.3W</t>
    <phoneticPr fontId="5"/>
  </si>
  <si>
    <t>26.3W</t>
  </si>
  <si>
    <t>空調（電気）の更新</t>
    <rPh sb="7" eb="9">
      <t>コウシン</t>
    </rPh>
    <phoneticPr fontId="5"/>
  </si>
  <si>
    <t>機種名</t>
    <rPh sb="0" eb="3">
      <t>キシュメイ</t>
    </rPh>
    <phoneticPr fontId="5"/>
  </si>
  <si>
    <t>電源</t>
    <rPh sb="0" eb="2">
      <t>デンゲン</t>
    </rPh>
    <phoneticPr fontId="5"/>
  </si>
  <si>
    <t>三相　200V　50/60Hz</t>
    <rPh sb="0" eb="2">
      <t>サンソウ</t>
    </rPh>
    <phoneticPr fontId="5"/>
  </si>
  <si>
    <t>定格冷房能力</t>
    <rPh sb="0" eb="2">
      <t>テイカク</t>
    </rPh>
    <rPh sb="2" eb="4">
      <t>レイボウ</t>
    </rPh>
    <rPh sb="4" eb="6">
      <t>ノウリョク</t>
    </rPh>
    <phoneticPr fontId="5"/>
  </si>
  <si>
    <t>定格冷房消費電力</t>
    <rPh sb="0" eb="2">
      <t>テイカク</t>
    </rPh>
    <rPh sb="2" eb="4">
      <t>レイボウ</t>
    </rPh>
    <rPh sb="4" eb="6">
      <t>ショウヒ</t>
    </rPh>
    <rPh sb="6" eb="8">
      <t>デンリョク</t>
    </rPh>
    <phoneticPr fontId="5"/>
  </si>
  <si>
    <t>定格暖房能力</t>
    <rPh sb="0" eb="2">
      <t>テイカク</t>
    </rPh>
    <rPh sb="2" eb="4">
      <t>ダンボウ</t>
    </rPh>
    <rPh sb="4" eb="6">
      <t>ノウリョク</t>
    </rPh>
    <phoneticPr fontId="5"/>
  </si>
  <si>
    <t>定格暖房消費電力</t>
    <rPh sb="0" eb="2">
      <t>テイカク</t>
    </rPh>
    <rPh sb="2" eb="4">
      <t>ダンボウ</t>
    </rPh>
    <rPh sb="4" eb="6">
      <t>ショウヒ</t>
    </rPh>
    <rPh sb="6" eb="8">
      <t>デンリョク</t>
    </rPh>
    <phoneticPr fontId="5"/>
  </si>
  <si>
    <t>最大暖房低温能力</t>
    <rPh sb="0" eb="2">
      <t>サイダイ</t>
    </rPh>
    <rPh sb="2" eb="4">
      <t>ダンボウ</t>
    </rPh>
    <rPh sb="4" eb="6">
      <t>テイオン</t>
    </rPh>
    <rPh sb="6" eb="8">
      <t>ノウリョク</t>
    </rPh>
    <phoneticPr fontId="5"/>
  </si>
  <si>
    <t>最大暖房低温消費電力</t>
    <rPh sb="0" eb="2">
      <t>サイダイ</t>
    </rPh>
    <rPh sb="2" eb="4">
      <t>ダンボウ</t>
    </rPh>
    <rPh sb="4" eb="6">
      <t>テイオン</t>
    </rPh>
    <rPh sb="6" eb="8">
      <t>ショウヒ</t>
    </rPh>
    <rPh sb="8" eb="10">
      <t>デンリョク</t>
    </rPh>
    <phoneticPr fontId="5"/>
  </si>
  <si>
    <t>空調（GHP）の更新</t>
    <rPh sb="8" eb="10">
      <t>コウシン</t>
    </rPh>
    <phoneticPr fontId="5"/>
  </si>
  <si>
    <t>液化石油ガス（LPG）</t>
  </si>
  <si>
    <t>LP</t>
  </si>
  <si>
    <t>GGG224H</t>
    <phoneticPr fontId="5"/>
  </si>
  <si>
    <t>三相（単層）　200V　50/60Hz</t>
    <rPh sb="0" eb="2">
      <t>サンソウ</t>
    </rPh>
    <rPh sb="3" eb="5">
      <t>タンソウ</t>
    </rPh>
    <phoneticPr fontId="5"/>
  </si>
  <si>
    <t>定格冷房</t>
    <rPh sb="0" eb="2">
      <t>テイカク</t>
    </rPh>
    <rPh sb="2" eb="4">
      <t>レイボウ</t>
    </rPh>
    <phoneticPr fontId="5"/>
  </si>
  <si>
    <t>消費電力</t>
    <rPh sb="0" eb="2">
      <t>ショウヒ</t>
    </rPh>
    <rPh sb="2" eb="4">
      <t>デンリョク</t>
    </rPh>
    <phoneticPr fontId="5"/>
  </si>
  <si>
    <t>中間冷房</t>
    <rPh sb="0" eb="2">
      <t>チュウカン</t>
    </rPh>
    <rPh sb="2" eb="4">
      <t>レイボウ</t>
    </rPh>
    <phoneticPr fontId="5"/>
  </si>
  <si>
    <t>定格暖房</t>
    <rPh sb="0" eb="2">
      <t>テイカク</t>
    </rPh>
    <rPh sb="2" eb="4">
      <t>ダンボウ</t>
    </rPh>
    <phoneticPr fontId="5"/>
  </si>
  <si>
    <t>中間暖房</t>
    <rPh sb="0" eb="2">
      <t>チュウカン</t>
    </rPh>
    <rPh sb="2" eb="4">
      <t>ダンボウ</t>
    </rPh>
    <phoneticPr fontId="5"/>
  </si>
  <si>
    <t>最大暖房低温</t>
    <rPh sb="0" eb="2">
      <t>サイダイ</t>
    </rPh>
    <rPh sb="2" eb="4">
      <t>ダンボウ</t>
    </rPh>
    <rPh sb="4" eb="6">
      <t>テイオン</t>
    </rPh>
    <phoneticPr fontId="5"/>
  </si>
  <si>
    <t>ボイラー・給湯器の更新</t>
    <rPh sb="9" eb="11">
      <t>コウシン</t>
    </rPh>
    <phoneticPr fontId="5"/>
  </si>
  <si>
    <t>EQ-235YWK（エコキュート）</t>
    <phoneticPr fontId="5"/>
  </si>
  <si>
    <t>ヒートポンプユニット</t>
    <phoneticPr fontId="5"/>
  </si>
  <si>
    <t>中間期標準加熱能力/消費電力</t>
    <rPh sb="0" eb="3">
      <t>チュウカンキ</t>
    </rPh>
    <rPh sb="3" eb="5">
      <t>ヒョウジュン</t>
    </rPh>
    <rPh sb="5" eb="7">
      <t>カネツ</t>
    </rPh>
    <rPh sb="7" eb="9">
      <t>ノウリョク</t>
    </rPh>
    <rPh sb="10" eb="12">
      <t>ショウヒ</t>
    </rPh>
    <rPh sb="12" eb="14">
      <t>デンリョク</t>
    </rPh>
    <phoneticPr fontId="5"/>
  </si>
  <si>
    <t>7.2kW/1.64kW</t>
    <phoneticPr fontId="5"/>
  </si>
  <si>
    <t>7.2÷1.64＝4.39…</t>
    <phoneticPr fontId="5"/>
  </si>
  <si>
    <t>中間期標準運転電流</t>
    <rPh sb="0" eb="3">
      <t>チュウカンキ</t>
    </rPh>
    <rPh sb="3" eb="5">
      <t>ヒョウジュン</t>
    </rPh>
    <rPh sb="5" eb="7">
      <t>ウンテン</t>
    </rPh>
    <rPh sb="7" eb="9">
      <t>デンリュウ</t>
    </rPh>
    <phoneticPr fontId="5"/>
  </si>
  <si>
    <t>9.2A</t>
    <phoneticPr fontId="5"/>
  </si>
  <si>
    <t>→439％</t>
    <phoneticPr fontId="5"/>
  </si>
  <si>
    <t>中間期標準最大加熱能力</t>
    <rPh sb="0" eb="3">
      <t>チュウカンキ</t>
    </rPh>
    <rPh sb="3" eb="5">
      <t>ヒョウジュン</t>
    </rPh>
    <rPh sb="5" eb="7">
      <t>サイダイ</t>
    </rPh>
    <rPh sb="7" eb="9">
      <t>カネツ</t>
    </rPh>
    <rPh sb="9" eb="11">
      <t>ノウリョク</t>
    </rPh>
    <phoneticPr fontId="5"/>
  </si>
  <si>
    <t>ー</t>
    <phoneticPr fontId="5"/>
  </si>
  <si>
    <t>冬季高温最大加熱能力</t>
    <rPh sb="0" eb="2">
      <t>トウキ</t>
    </rPh>
    <rPh sb="2" eb="4">
      <t>コウオン</t>
    </rPh>
    <rPh sb="4" eb="6">
      <t>サイダイ</t>
    </rPh>
    <rPh sb="6" eb="8">
      <t>カネツ</t>
    </rPh>
    <rPh sb="8" eb="10">
      <t>ノウリョク</t>
    </rPh>
    <phoneticPr fontId="5"/>
  </si>
  <si>
    <t>7.2kW/2.50kW</t>
    <phoneticPr fontId="5"/>
  </si>
  <si>
    <t>HP設備老朽化消費倍率(p) (5%/年）</t>
    <rPh sb="2" eb="4">
      <t>セツビ</t>
    </rPh>
    <phoneticPr fontId="5"/>
  </si>
  <si>
    <t>kWh</t>
  </si>
  <si>
    <t>ー</t>
  </si>
  <si>
    <t>OLF-754FE</t>
    <phoneticPr fontId="5"/>
  </si>
  <si>
    <t>高効率</t>
  </si>
  <si>
    <t>PLM-75DBC</t>
    <phoneticPr fontId="5"/>
  </si>
  <si>
    <t>プレミアム効率</t>
  </si>
  <si>
    <t>kVA</t>
  </si>
  <si>
    <t>W</t>
  </si>
  <si>
    <t>%</t>
  </si>
  <si>
    <t>KK-1L</t>
    <phoneticPr fontId="5"/>
  </si>
  <si>
    <t>3相：6.6kV→210V</t>
    <phoneticPr fontId="5"/>
  </si>
  <si>
    <t>ME-1R</t>
    <phoneticPr fontId="5"/>
  </si>
  <si>
    <t>年間使用量</t>
    <rPh sb="0" eb="2">
      <t>ネンカン</t>
    </rPh>
    <rPh sb="2" eb="5">
      <t>シヨウリョウ</t>
    </rPh>
    <phoneticPr fontId="5"/>
  </si>
  <si>
    <t>機種51</t>
    <rPh sb="0" eb="2">
      <t>キシュ</t>
    </rPh>
    <phoneticPr fontId="5"/>
  </si>
  <si>
    <t>機種52</t>
    <rPh sb="0" eb="2">
      <t>キシュ</t>
    </rPh>
    <phoneticPr fontId="5"/>
  </si>
  <si>
    <t>機種53</t>
    <rPh sb="0" eb="2">
      <t>キシュ</t>
    </rPh>
    <phoneticPr fontId="5"/>
  </si>
  <si>
    <t>機種54</t>
    <rPh sb="0" eb="2">
      <t>キシュ</t>
    </rPh>
    <phoneticPr fontId="5"/>
  </si>
  <si>
    <t>機種55</t>
    <rPh sb="0" eb="2">
      <t>キシュ</t>
    </rPh>
    <phoneticPr fontId="5"/>
  </si>
  <si>
    <t>機種56</t>
    <rPh sb="0" eb="2">
      <t>キシュ</t>
    </rPh>
    <phoneticPr fontId="5"/>
  </si>
  <si>
    <t>機種57</t>
    <rPh sb="0" eb="2">
      <t>キシュ</t>
    </rPh>
    <phoneticPr fontId="5"/>
  </si>
  <si>
    <t>機種58</t>
    <rPh sb="0" eb="2">
      <t>キシュ</t>
    </rPh>
    <phoneticPr fontId="5"/>
  </si>
  <si>
    <t>機種59</t>
    <rPh sb="0" eb="2">
      <t>キシュ</t>
    </rPh>
    <phoneticPr fontId="5"/>
  </si>
  <si>
    <t>機種60</t>
    <rPh sb="0" eb="2">
      <t>キシュ</t>
    </rPh>
    <phoneticPr fontId="5"/>
  </si>
  <si>
    <t>機種61</t>
    <rPh sb="0" eb="2">
      <t>キシュ</t>
    </rPh>
    <phoneticPr fontId="5"/>
  </si>
  <si>
    <t>機種62</t>
    <rPh sb="0" eb="2">
      <t>キシュ</t>
    </rPh>
    <phoneticPr fontId="5"/>
  </si>
  <si>
    <t>機種63</t>
    <rPh sb="0" eb="2">
      <t>キシュ</t>
    </rPh>
    <phoneticPr fontId="5"/>
  </si>
  <si>
    <t>機種64</t>
    <rPh sb="0" eb="2">
      <t>キシュ</t>
    </rPh>
    <phoneticPr fontId="5"/>
  </si>
  <si>
    <t>機種65</t>
    <rPh sb="0" eb="2">
      <t>キシュ</t>
    </rPh>
    <phoneticPr fontId="5"/>
  </si>
  <si>
    <t>機種66</t>
    <rPh sb="0" eb="2">
      <t>キシュ</t>
    </rPh>
    <phoneticPr fontId="5"/>
  </si>
  <si>
    <t>機種67</t>
    <rPh sb="0" eb="2">
      <t>キシュ</t>
    </rPh>
    <phoneticPr fontId="5"/>
  </si>
  <si>
    <t>機種68</t>
    <rPh sb="0" eb="2">
      <t>キシュ</t>
    </rPh>
    <phoneticPr fontId="5"/>
  </si>
  <si>
    <t>機種69</t>
    <rPh sb="0" eb="2">
      <t>キシュ</t>
    </rPh>
    <phoneticPr fontId="5"/>
  </si>
  <si>
    <t>機種70</t>
    <rPh sb="0" eb="2">
      <t>キシュ</t>
    </rPh>
    <phoneticPr fontId="5"/>
  </si>
  <si>
    <t>機種71</t>
    <rPh sb="0" eb="2">
      <t>キシュ</t>
    </rPh>
    <phoneticPr fontId="5"/>
  </si>
  <si>
    <t>機種72</t>
    <rPh sb="0" eb="2">
      <t>キシュ</t>
    </rPh>
    <phoneticPr fontId="5"/>
  </si>
  <si>
    <t>機種73</t>
    <rPh sb="0" eb="2">
      <t>キシュ</t>
    </rPh>
    <phoneticPr fontId="5"/>
  </si>
  <si>
    <t>機種74</t>
    <rPh sb="0" eb="2">
      <t>キシュ</t>
    </rPh>
    <phoneticPr fontId="5"/>
  </si>
  <si>
    <t>機種75</t>
    <rPh sb="0" eb="2">
      <t>キシュ</t>
    </rPh>
    <phoneticPr fontId="5"/>
  </si>
  <si>
    <t>機種76</t>
    <rPh sb="0" eb="2">
      <t>キシュ</t>
    </rPh>
    <phoneticPr fontId="5"/>
  </si>
  <si>
    <t>機種77</t>
    <rPh sb="0" eb="2">
      <t>キシュ</t>
    </rPh>
    <phoneticPr fontId="5"/>
  </si>
  <si>
    <t>機種78</t>
    <rPh sb="0" eb="2">
      <t>キシュ</t>
    </rPh>
    <phoneticPr fontId="5"/>
  </si>
  <si>
    <t>機種79</t>
    <rPh sb="0" eb="2">
      <t>キシュ</t>
    </rPh>
    <phoneticPr fontId="5"/>
  </si>
  <si>
    <t>機種80</t>
    <rPh sb="0" eb="2">
      <t>キシュ</t>
    </rPh>
    <phoneticPr fontId="5"/>
  </si>
  <si>
    <t>機種81</t>
    <rPh sb="0" eb="2">
      <t>キシュ</t>
    </rPh>
    <phoneticPr fontId="5"/>
  </si>
  <si>
    <t>機種82</t>
    <rPh sb="0" eb="2">
      <t>キシュ</t>
    </rPh>
    <phoneticPr fontId="5"/>
  </si>
  <si>
    <t>機種83</t>
    <rPh sb="0" eb="2">
      <t>キシュ</t>
    </rPh>
    <phoneticPr fontId="5"/>
  </si>
  <si>
    <t>機種84</t>
    <rPh sb="0" eb="2">
      <t>キシュ</t>
    </rPh>
    <phoneticPr fontId="5"/>
  </si>
  <si>
    <t>機種85</t>
    <rPh sb="0" eb="2">
      <t>キシュ</t>
    </rPh>
    <phoneticPr fontId="5"/>
  </si>
  <si>
    <t>機種86</t>
    <rPh sb="0" eb="2">
      <t>キシュ</t>
    </rPh>
    <phoneticPr fontId="5"/>
  </si>
  <si>
    <t>機種87</t>
    <rPh sb="0" eb="2">
      <t>キシュ</t>
    </rPh>
    <phoneticPr fontId="5"/>
  </si>
  <si>
    <t>機種88</t>
    <rPh sb="0" eb="2">
      <t>キシュ</t>
    </rPh>
    <phoneticPr fontId="5"/>
  </si>
  <si>
    <t>機種89</t>
    <rPh sb="0" eb="2">
      <t>キシュ</t>
    </rPh>
    <phoneticPr fontId="5"/>
  </si>
  <si>
    <t>機種90</t>
    <rPh sb="0" eb="2">
      <t>キシュ</t>
    </rPh>
    <phoneticPr fontId="5"/>
  </si>
  <si>
    <t>機種91</t>
    <rPh sb="0" eb="2">
      <t>キシュ</t>
    </rPh>
    <phoneticPr fontId="5"/>
  </si>
  <si>
    <t>機種92</t>
    <rPh sb="0" eb="2">
      <t>キシュ</t>
    </rPh>
    <phoneticPr fontId="5"/>
  </si>
  <si>
    <t>機種93</t>
    <rPh sb="0" eb="2">
      <t>キシュ</t>
    </rPh>
    <phoneticPr fontId="5"/>
  </si>
  <si>
    <t>機種94</t>
    <rPh sb="0" eb="2">
      <t>キシュ</t>
    </rPh>
    <phoneticPr fontId="5"/>
  </si>
  <si>
    <t>機種95</t>
    <rPh sb="0" eb="2">
      <t>キシュ</t>
    </rPh>
    <phoneticPr fontId="5"/>
  </si>
  <si>
    <t>機種96</t>
    <rPh sb="0" eb="2">
      <t>キシュ</t>
    </rPh>
    <phoneticPr fontId="5"/>
  </si>
  <si>
    <t>機種97</t>
    <rPh sb="0" eb="2">
      <t>キシュ</t>
    </rPh>
    <phoneticPr fontId="5"/>
  </si>
  <si>
    <t>機種98</t>
    <rPh sb="0" eb="2">
      <t>キシュ</t>
    </rPh>
    <phoneticPr fontId="5"/>
  </si>
  <si>
    <t>機種99</t>
    <rPh sb="0" eb="2">
      <t>キシュ</t>
    </rPh>
    <phoneticPr fontId="5"/>
  </si>
  <si>
    <t>機種100</t>
    <rPh sb="0" eb="2">
      <t>キシュ</t>
    </rPh>
    <phoneticPr fontId="5"/>
  </si>
  <si>
    <t>機種101</t>
    <rPh sb="0" eb="2">
      <t>キシュ</t>
    </rPh>
    <phoneticPr fontId="5"/>
  </si>
  <si>
    <t>機種102</t>
    <rPh sb="0" eb="2">
      <t>キシュ</t>
    </rPh>
    <phoneticPr fontId="5"/>
  </si>
  <si>
    <t>機種103</t>
    <rPh sb="0" eb="2">
      <t>キシュ</t>
    </rPh>
    <phoneticPr fontId="5"/>
  </si>
  <si>
    <t>機種104</t>
    <rPh sb="0" eb="2">
      <t>キシュ</t>
    </rPh>
    <phoneticPr fontId="5"/>
  </si>
  <si>
    <t>機種105</t>
    <rPh sb="0" eb="2">
      <t>キシュ</t>
    </rPh>
    <phoneticPr fontId="5"/>
  </si>
  <si>
    <t>機種106</t>
    <rPh sb="0" eb="2">
      <t>キシュ</t>
    </rPh>
    <phoneticPr fontId="5"/>
  </si>
  <si>
    <t>機種107</t>
    <rPh sb="0" eb="2">
      <t>キシュ</t>
    </rPh>
    <phoneticPr fontId="5"/>
  </si>
  <si>
    <t>機種108</t>
    <rPh sb="0" eb="2">
      <t>キシュ</t>
    </rPh>
    <phoneticPr fontId="5"/>
  </si>
  <si>
    <t>機種109</t>
    <rPh sb="0" eb="2">
      <t>キシュ</t>
    </rPh>
    <phoneticPr fontId="5"/>
  </si>
  <si>
    <t>機種110</t>
    <rPh sb="0" eb="2">
      <t>キシュ</t>
    </rPh>
    <phoneticPr fontId="5"/>
  </si>
  <si>
    <t>機種111</t>
    <rPh sb="0" eb="2">
      <t>キシュ</t>
    </rPh>
    <phoneticPr fontId="5"/>
  </si>
  <si>
    <t>機種112</t>
    <rPh sb="0" eb="2">
      <t>キシュ</t>
    </rPh>
    <phoneticPr fontId="5"/>
  </si>
  <si>
    <t>機種113</t>
    <rPh sb="0" eb="2">
      <t>キシュ</t>
    </rPh>
    <phoneticPr fontId="5"/>
  </si>
  <si>
    <t>機種114</t>
    <rPh sb="0" eb="2">
      <t>キシュ</t>
    </rPh>
    <phoneticPr fontId="5"/>
  </si>
  <si>
    <t>機種115</t>
    <rPh sb="0" eb="2">
      <t>キシュ</t>
    </rPh>
    <phoneticPr fontId="5"/>
  </si>
  <si>
    <t>機種116</t>
    <rPh sb="0" eb="2">
      <t>キシュ</t>
    </rPh>
    <phoneticPr fontId="5"/>
  </si>
  <si>
    <t>機種117</t>
    <rPh sb="0" eb="2">
      <t>キシュ</t>
    </rPh>
    <phoneticPr fontId="5"/>
  </si>
  <si>
    <t>機種118</t>
    <rPh sb="0" eb="2">
      <t>キシュ</t>
    </rPh>
    <phoneticPr fontId="5"/>
  </si>
  <si>
    <t>機種119</t>
    <rPh sb="0" eb="2">
      <t>キシュ</t>
    </rPh>
    <phoneticPr fontId="5"/>
  </si>
  <si>
    <t>機種120</t>
    <rPh sb="0" eb="2">
      <t>キシュ</t>
    </rPh>
    <phoneticPr fontId="5"/>
  </si>
  <si>
    <t>機種121</t>
    <rPh sb="0" eb="2">
      <t>キシュ</t>
    </rPh>
    <phoneticPr fontId="5"/>
  </si>
  <si>
    <t>機種122</t>
    <rPh sb="0" eb="2">
      <t>キシュ</t>
    </rPh>
    <phoneticPr fontId="5"/>
  </si>
  <si>
    <t>機種123</t>
    <rPh sb="0" eb="2">
      <t>キシュ</t>
    </rPh>
    <phoneticPr fontId="5"/>
  </si>
  <si>
    <t>機種124</t>
    <rPh sb="0" eb="2">
      <t>キシュ</t>
    </rPh>
    <phoneticPr fontId="5"/>
  </si>
  <si>
    <t>機種125</t>
    <rPh sb="0" eb="2">
      <t>キシュ</t>
    </rPh>
    <phoneticPr fontId="5"/>
  </si>
  <si>
    <t>機種126</t>
    <rPh sb="0" eb="2">
      <t>キシュ</t>
    </rPh>
    <phoneticPr fontId="5"/>
  </si>
  <si>
    <t>機種127</t>
    <rPh sb="0" eb="2">
      <t>キシュ</t>
    </rPh>
    <phoneticPr fontId="5"/>
  </si>
  <si>
    <t>機種128</t>
    <rPh sb="0" eb="2">
      <t>キシュ</t>
    </rPh>
    <phoneticPr fontId="5"/>
  </si>
  <si>
    <t>機種129</t>
    <rPh sb="0" eb="2">
      <t>キシュ</t>
    </rPh>
    <phoneticPr fontId="5"/>
  </si>
  <si>
    <t>機種130</t>
    <rPh sb="0" eb="2">
      <t>キシュ</t>
    </rPh>
    <phoneticPr fontId="5"/>
  </si>
  <si>
    <t>機種131</t>
    <rPh sb="0" eb="2">
      <t>キシュ</t>
    </rPh>
    <phoneticPr fontId="5"/>
  </si>
  <si>
    <t>機種132</t>
    <rPh sb="0" eb="2">
      <t>キシュ</t>
    </rPh>
    <phoneticPr fontId="5"/>
  </si>
  <si>
    <t>機種133</t>
    <rPh sb="0" eb="2">
      <t>キシュ</t>
    </rPh>
    <phoneticPr fontId="5"/>
  </si>
  <si>
    <t>機種134</t>
    <rPh sb="0" eb="2">
      <t>キシュ</t>
    </rPh>
    <phoneticPr fontId="5"/>
  </si>
  <si>
    <t>機種135</t>
    <rPh sb="0" eb="2">
      <t>キシュ</t>
    </rPh>
    <phoneticPr fontId="5"/>
  </si>
  <si>
    <t>機種136</t>
    <rPh sb="0" eb="2">
      <t>キシュ</t>
    </rPh>
    <phoneticPr fontId="5"/>
  </si>
  <si>
    <t>機種137</t>
    <rPh sb="0" eb="2">
      <t>キシュ</t>
    </rPh>
    <phoneticPr fontId="5"/>
  </si>
  <si>
    <t>機種138</t>
    <rPh sb="0" eb="2">
      <t>キシュ</t>
    </rPh>
    <phoneticPr fontId="5"/>
  </si>
  <si>
    <t>機種139</t>
    <rPh sb="0" eb="2">
      <t>キシュ</t>
    </rPh>
    <phoneticPr fontId="5"/>
  </si>
  <si>
    <t>機種140</t>
    <rPh sb="0" eb="2">
      <t>キシュ</t>
    </rPh>
    <phoneticPr fontId="5"/>
  </si>
  <si>
    <t>機種141</t>
    <rPh sb="0" eb="2">
      <t>キシュ</t>
    </rPh>
    <phoneticPr fontId="5"/>
  </si>
  <si>
    <t>機種142</t>
    <rPh sb="0" eb="2">
      <t>キシュ</t>
    </rPh>
    <phoneticPr fontId="5"/>
  </si>
  <si>
    <t>機種143</t>
    <rPh sb="0" eb="2">
      <t>キシュ</t>
    </rPh>
    <phoneticPr fontId="5"/>
  </si>
  <si>
    <t>機種144</t>
    <rPh sb="0" eb="2">
      <t>キシュ</t>
    </rPh>
    <phoneticPr fontId="5"/>
  </si>
  <si>
    <t>機種145</t>
    <rPh sb="0" eb="2">
      <t>キシュ</t>
    </rPh>
    <phoneticPr fontId="5"/>
  </si>
  <si>
    <t>機種146</t>
    <rPh sb="0" eb="2">
      <t>キシュ</t>
    </rPh>
    <phoneticPr fontId="5"/>
  </si>
  <si>
    <t>機種147</t>
    <rPh sb="0" eb="2">
      <t>キシュ</t>
    </rPh>
    <phoneticPr fontId="5"/>
  </si>
  <si>
    <t>機種148</t>
    <rPh sb="0" eb="2">
      <t>キシュ</t>
    </rPh>
    <phoneticPr fontId="5"/>
  </si>
  <si>
    <t>機種149</t>
    <rPh sb="0" eb="2">
      <t>キシュ</t>
    </rPh>
    <phoneticPr fontId="5"/>
  </si>
  <si>
    <t>機種150</t>
    <rPh sb="0" eb="2">
      <t>キシュ</t>
    </rPh>
    <phoneticPr fontId="5"/>
  </si>
  <si>
    <t>機種151</t>
    <rPh sb="0" eb="2">
      <t>キシュ</t>
    </rPh>
    <phoneticPr fontId="5"/>
  </si>
  <si>
    <t>機種152</t>
    <rPh sb="0" eb="2">
      <t>キシュ</t>
    </rPh>
    <phoneticPr fontId="5"/>
  </si>
  <si>
    <t>機種153</t>
    <rPh sb="0" eb="2">
      <t>キシュ</t>
    </rPh>
    <phoneticPr fontId="5"/>
  </si>
  <si>
    <t>機種154</t>
    <rPh sb="0" eb="2">
      <t>キシュ</t>
    </rPh>
    <phoneticPr fontId="5"/>
  </si>
  <si>
    <t>機種155</t>
    <rPh sb="0" eb="2">
      <t>キシュ</t>
    </rPh>
    <phoneticPr fontId="5"/>
  </si>
  <si>
    <t>機種156</t>
    <rPh sb="0" eb="2">
      <t>キシュ</t>
    </rPh>
    <phoneticPr fontId="5"/>
  </si>
  <si>
    <t>機種157</t>
    <rPh sb="0" eb="2">
      <t>キシュ</t>
    </rPh>
    <phoneticPr fontId="5"/>
  </si>
  <si>
    <t>機種158</t>
    <rPh sb="0" eb="2">
      <t>キシュ</t>
    </rPh>
    <phoneticPr fontId="5"/>
  </si>
  <si>
    <t>機種159</t>
    <rPh sb="0" eb="2">
      <t>キシュ</t>
    </rPh>
    <phoneticPr fontId="5"/>
  </si>
  <si>
    <t>機種160</t>
    <rPh sb="0" eb="2">
      <t>キシュ</t>
    </rPh>
    <phoneticPr fontId="5"/>
  </si>
  <si>
    <t>機種161</t>
    <rPh sb="0" eb="2">
      <t>キシュ</t>
    </rPh>
    <phoneticPr fontId="5"/>
  </si>
  <si>
    <t>機種162</t>
    <rPh sb="0" eb="2">
      <t>キシュ</t>
    </rPh>
    <phoneticPr fontId="5"/>
  </si>
  <si>
    <t>機種163</t>
    <rPh sb="0" eb="2">
      <t>キシュ</t>
    </rPh>
    <phoneticPr fontId="5"/>
  </si>
  <si>
    <t>機種164</t>
    <rPh sb="0" eb="2">
      <t>キシュ</t>
    </rPh>
    <phoneticPr fontId="5"/>
  </si>
  <si>
    <t>機種165</t>
    <rPh sb="0" eb="2">
      <t>キシュ</t>
    </rPh>
    <phoneticPr fontId="5"/>
  </si>
  <si>
    <t>機種166</t>
    <rPh sb="0" eb="2">
      <t>キシュ</t>
    </rPh>
    <phoneticPr fontId="5"/>
  </si>
  <si>
    <t>機種167</t>
    <rPh sb="0" eb="2">
      <t>キシュ</t>
    </rPh>
    <phoneticPr fontId="5"/>
  </si>
  <si>
    <t>機種168</t>
    <rPh sb="0" eb="2">
      <t>キシュ</t>
    </rPh>
    <phoneticPr fontId="5"/>
  </si>
  <si>
    <t>機種169</t>
    <rPh sb="0" eb="2">
      <t>キシュ</t>
    </rPh>
    <phoneticPr fontId="5"/>
  </si>
  <si>
    <t>機種170</t>
    <rPh sb="0" eb="2">
      <t>キシュ</t>
    </rPh>
    <phoneticPr fontId="5"/>
  </si>
  <si>
    <t>機種171</t>
    <rPh sb="0" eb="2">
      <t>キシュ</t>
    </rPh>
    <phoneticPr fontId="5"/>
  </si>
  <si>
    <t>機種172</t>
    <rPh sb="0" eb="2">
      <t>キシュ</t>
    </rPh>
    <phoneticPr fontId="5"/>
  </si>
  <si>
    <t>機種173</t>
    <rPh sb="0" eb="2">
      <t>キシュ</t>
    </rPh>
    <phoneticPr fontId="5"/>
  </si>
  <si>
    <t>機種174</t>
    <rPh sb="0" eb="2">
      <t>キシュ</t>
    </rPh>
    <phoneticPr fontId="5"/>
  </si>
  <si>
    <t>機種175</t>
    <rPh sb="0" eb="2">
      <t>キシュ</t>
    </rPh>
    <phoneticPr fontId="5"/>
  </si>
  <si>
    <t>機種176</t>
    <rPh sb="0" eb="2">
      <t>キシュ</t>
    </rPh>
    <phoneticPr fontId="5"/>
  </si>
  <si>
    <t>機種177</t>
    <rPh sb="0" eb="2">
      <t>キシュ</t>
    </rPh>
    <phoneticPr fontId="5"/>
  </si>
  <si>
    <t>機種178</t>
    <rPh sb="0" eb="2">
      <t>キシュ</t>
    </rPh>
    <phoneticPr fontId="5"/>
  </si>
  <si>
    <t>機種179</t>
    <rPh sb="0" eb="2">
      <t>キシュ</t>
    </rPh>
    <phoneticPr fontId="5"/>
  </si>
  <si>
    <t>機種180</t>
    <rPh sb="0" eb="2">
      <t>キシュ</t>
    </rPh>
    <phoneticPr fontId="5"/>
  </si>
  <si>
    <t>機種181</t>
    <rPh sb="0" eb="2">
      <t>キシュ</t>
    </rPh>
    <phoneticPr fontId="5"/>
  </si>
  <si>
    <t>機種182</t>
    <rPh sb="0" eb="2">
      <t>キシュ</t>
    </rPh>
    <phoneticPr fontId="5"/>
  </si>
  <si>
    <t>機種183</t>
    <rPh sb="0" eb="2">
      <t>キシュ</t>
    </rPh>
    <phoneticPr fontId="5"/>
  </si>
  <si>
    <t>機種184</t>
    <rPh sb="0" eb="2">
      <t>キシュ</t>
    </rPh>
    <phoneticPr fontId="5"/>
  </si>
  <si>
    <t>機種185</t>
    <rPh sb="0" eb="2">
      <t>キシュ</t>
    </rPh>
    <phoneticPr fontId="5"/>
  </si>
  <si>
    <t>機種186</t>
    <rPh sb="0" eb="2">
      <t>キシュ</t>
    </rPh>
    <phoneticPr fontId="5"/>
  </si>
  <si>
    <t>機種187</t>
    <rPh sb="0" eb="2">
      <t>キシュ</t>
    </rPh>
    <phoneticPr fontId="5"/>
  </si>
  <si>
    <t>機種188</t>
    <rPh sb="0" eb="2">
      <t>キシュ</t>
    </rPh>
    <phoneticPr fontId="5"/>
  </si>
  <si>
    <t>機種189</t>
    <rPh sb="0" eb="2">
      <t>キシュ</t>
    </rPh>
    <phoneticPr fontId="5"/>
  </si>
  <si>
    <t>機種190</t>
    <rPh sb="0" eb="2">
      <t>キシュ</t>
    </rPh>
    <phoneticPr fontId="5"/>
  </si>
  <si>
    <t>機種191</t>
    <rPh sb="0" eb="2">
      <t>キシュ</t>
    </rPh>
    <phoneticPr fontId="5"/>
  </si>
  <si>
    <t>機種192</t>
    <rPh sb="0" eb="2">
      <t>キシュ</t>
    </rPh>
    <phoneticPr fontId="5"/>
  </si>
  <si>
    <t>機種193</t>
    <rPh sb="0" eb="2">
      <t>キシュ</t>
    </rPh>
    <phoneticPr fontId="5"/>
  </si>
  <si>
    <t>機種194</t>
    <rPh sb="0" eb="2">
      <t>キシュ</t>
    </rPh>
    <phoneticPr fontId="5"/>
  </si>
  <si>
    <t>機種195</t>
    <rPh sb="0" eb="2">
      <t>キシュ</t>
    </rPh>
    <phoneticPr fontId="5"/>
  </si>
  <si>
    <t>機種196</t>
    <rPh sb="0" eb="2">
      <t>キシュ</t>
    </rPh>
    <phoneticPr fontId="5"/>
  </si>
  <si>
    <t>機種197</t>
    <rPh sb="0" eb="2">
      <t>キシュ</t>
    </rPh>
    <phoneticPr fontId="5"/>
  </si>
  <si>
    <t>機種198</t>
    <rPh sb="0" eb="2">
      <t>キシュ</t>
    </rPh>
    <phoneticPr fontId="5"/>
  </si>
  <si>
    <t>機種199</t>
    <rPh sb="0" eb="2">
      <t>キシュ</t>
    </rPh>
    <phoneticPr fontId="5"/>
  </si>
  <si>
    <t>機種200</t>
    <rPh sb="0" eb="2">
      <t>キシュ</t>
    </rPh>
    <phoneticPr fontId="5"/>
  </si>
  <si>
    <t>機種201</t>
    <rPh sb="0" eb="2">
      <t>キシュ</t>
    </rPh>
    <phoneticPr fontId="5"/>
  </si>
  <si>
    <t>機種202</t>
    <rPh sb="0" eb="2">
      <t>キシュ</t>
    </rPh>
    <phoneticPr fontId="5"/>
  </si>
  <si>
    <t>機種203</t>
    <rPh sb="0" eb="2">
      <t>キシュ</t>
    </rPh>
    <phoneticPr fontId="5"/>
  </si>
  <si>
    <t>機種204</t>
    <rPh sb="0" eb="2">
      <t>キシュ</t>
    </rPh>
    <phoneticPr fontId="5"/>
  </si>
  <si>
    <t>機種205</t>
    <rPh sb="0" eb="2">
      <t>キシュ</t>
    </rPh>
    <phoneticPr fontId="5"/>
  </si>
  <si>
    <t>機種206</t>
    <rPh sb="0" eb="2">
      <t>キシュ</t>
    </rPh>
    <phoneticPr fontId="5"/>
  </si>
  <si>
    <t>機種207</t>
    <rPh sb="0" eb="2">
      <t>キシュ</t>
    </rPh>
    <phoneticPr fontId="5"/>
  </si>
  <si>
    <t>機種208</t>
    <rPh sb="0" eb="2">
      <t>キシュ</t>
    </rPh>
    <phoneticPr fontId="5"/>
  </si>
  <si>
    <t>機種209</t>
    <rPh sb="0" eb="2">
      <t>キシュ</t>
    </rPh>
    <phoneticPr fontId="5"/>
  </si>
  <si>
    <t>機種210</t>
    <rPh sb="0" eb="2">
      <t>キシュ</t>
    </rPh>
    <phoneticPr fontId="5"/>
  </si>
  <si>
    <t>機種211</t>
    <rPh sb="0" eb="2">
      <t>キシュ</t>
    </rPh>
    <phoneticPr fontId="5"/>
  </si>
  <si>
    <t>機種212</t>
    <rPh sb="0" eb="2">
      <t>キシュ</t>
    </rPh>
    <phoneticPr fontId="5"/>
  </si>
  <si>
    <t>機種213</t>
    <rPh sb="0" eb="2">
      <t>キシュ</t>
    </rPh>
    <phoneticPr fontId="5"/>
  </si>
  <si>
    <t>機種214</t>
    <rPh sb="0" eb="2">
      <t>キシュ</t>
    </rPh>
    <phoneticPr fontId="5"/>
  </si>
  <si>
    <t>機種215</t>
    <rPh sb="0" eb="2">
      <t>キシュ</t>
    </rPh>
    <phoneticPr fontId="5"/>
  </si>
  <si>
    <t>機種216</t>
    <rPh sb="0" eb="2">
      <t>キシュ</t>
    </rPh>
    <phoneticPr fontId="5"/>
  </si>
  <si>
    <t>機種217</t>
    <rPh sb="0" eb="2">
      <t>キシュ</t>
    </rPh>
    <phoneticPr fontId="5"/>
  </si>
  <si>
    <t>機種218</t>
    <rPh sb="0" eb="2">
      <t>キシュ</t>
    </rPh>
    <phoneticPr fontId="5"/>
  </si>
  <si>
    <t>機種219</t>
    <rPh sb="0" eb="2">
      <t>キシュ</t>
    </rPh>
    <phoneticPr fontId="5"/>
  </si>
  <si>
    <t>機種220</t>
    <rPh sb="0" eb="2">
      <t>キシュ</t>
    </rPh>
    <phoneticPr fontId="5"/>
  </si>
  <si>
    <t>機種221</t>
    <rPh sb="0" eb="2">
      <t>キシュ</t>
    </rPh>
    <phoneticPr fontId="5"/>
  </si>
  <si>
    <t>機種222</t>
    <rPh sb="0" eb="2">
      <t>キシュ</t>
    </rPh>
    <phoneticPr fontId="5"/>
  </si>
  <si>
    <t>機種223</t>
    <rPh sb="0" eb="2">
      <t>キシュ</t>
    </rPh>
    <phoneticPr fontId="5"/>
  </si>
  <si>
    <t>機種224</t>
    <rPh sb="0" eb="2">
      <t>キシュ</t>
    </rPh>
    <phoneticPr fontId="5"/>
  </si>
  <si>
    <t>機種225</t>
    <rPh sb="0" eb="2">
      <t>キシュ</t>
    </rPh>
    <phoneticPr fontId="5"/>
  </si>
  <si>
    <t>機種226</t>
    <rPh sb="0" eb="2">
      <t>キシュ</t>
    </rPh>
    <phoneticPr fontId="5"/>
  </si>
  <si>
    <t>機種227</t>
    <rPh sb="0" eb="2">
      <t>キシュ</t>
    </rPh>
    <phoneticPr fontId="5"/>
  </si>
  <si>
    <t>機種228</t>
    <rPh sb="0" eb="2">
      <t>キシュ</t>
    </rPh>
    <phoneticPr fontId="5"/>
  </si>
  <si>
    <t>機種229</t>
    <rPh sb="0" eb="2">
      <t>キシュ</t>
    </rPh>
    <phoneticPr fontId="5"/>
  </si>
  <si>
    <t>機種230</t>
    <rPh sb="0" eb="2">
      <t>キシュ</t>
    </rPh>
    <phoneticPr fontId="5"/>
  </si>
  <si>
    <t>機種231</t>
    <rPh sb="0" eb="2">
      <t>キシュ</t>
    </rPh>
    <phoneticPr fontId="5"/>
  </si>
  <si>
    <t>機種232</t>
    <rPh sb="0" eb="2">
      <t>キシュ</t>
    </rPh>
    <phoneticPr fontId="5"/>
  </si>
  <si>
    <t>機種233</t>
    <rPh sb="0" eb="2">
      <t>キシュ</t>
    </rPh>
    <phoneticPr fontId="5"/>
  </si>
  <si>
    <t>機種234</t>
    <rPh sb="0" eb="2">
      <t>キシュ</t>
    </rPh>
    <phoneticPr fontId="5"/>
  </si>
  <si>
    <t>機種235</t>
    <rPh sb="0" eb="2">
      <t>キシュ</t>
    </rPh>
    <phoneticPr fontId="5"/>
  </si>
  <si>
    <t>機種236</t>
    <rPh sb="0" eb="2">
      <t>キシュ</t>
    </rPh>
    <phoneticPr fontId="5"/>
  </si>
  <si>
    <t>機種237</t>
    <rPh sb="0" eb="2">
      <t>キシュ</t>
    </rPh>
    <phoneticPr fontId="5"/>
  </si>
  <si>
    <t>機種238</t>
    <rPh sb="0" eb="2">
      <t>キシュ</t>
    </rPh>
    <phoneticPr fontId="5"/>
  </si>
  <si>
    <t>機種239</t>
    <rPh sb="0" eb="2">
      <t>キシュ</t>
    </rPh>
    <phoneticPr fontId="5"/>
  </si>
  <si>
    <t>機種240</t>
    <rPh sb="0" eb="2">
      <t>キシュ</t>
    </rPh>
    <phoneticPr fontId="5"/>
  </si>
  <si>
    <t>機種241</t>
    <rPh sb="0" eb="2">
      <t>キシュ</t>
    </rPh>
    <phoneticPr fontId="5"/>
  </si>
  <si>
    <t>機種242</t>
    <rPh sb="0" eb="2">
      <t>キシュ</t>
    </rPh>
    <phoneticPr fontId="5"/>
  </si>
  <si>
    <t>機種243</t>
    <rPh sb="0" eb="2">
      <t>キシュ</t>
    </rPh>
    <phoneticPr fontId="5"/>
  </si>
  <si>
    <t>機種244</t>
    <rPh sb="0" eb="2">
      <t>キシュ</t>
    </rPh>
    <phoneticPr fontId="5"/>
  </si>
  <si>
    <t>機種245</t>
    <rPh sb="0" eb="2">
      <t>キシュ</t>
    </rPh>
    <phoneticPr fontId="5"/>
  </si>
  <si>
    <t>機種246</t>
    <rPh sb="0" eb="2">
      <t>キシュ</t>
    </rPh>
    <phoneticPr fontId="5"/>
  </si>
  <si>
    <t>機種247</t>
    <rPh sb="0" eb="2">
      <t>キシュ</t>
    </rPh>
    <phoneticPr fontId="5"/>
  </si>
  <si>
    <t>機種248</t>
    <rPh sb="0" eb="2">
      <t>キシュ</t>
    </rPh>
    <phoneticPr fontId="5"/>
  </si>
  <si>
    <t>機種249</t>
    <rPh sb="0" eb="2">
      <t>キシュ</t>
    </rPh>
    <phoneticPr fontId="5"/>
  </si>
  <si>
    <t>機種250</t>
    <rPh sb="0" eb="2">
      <t>キシュ</t>
    </rPh>
    <phoneticPr fontId="5"/>
  </si>
  <si>
    <t>機種251</t>
    <rPh sb="0" eb="2">
      <t>キシュ</t>
    </rPh>
    <phoneticPr fontId="5"/>
  </si>
  <si>
    <t>機種252</t>
    <rPh sb="0" eb="2">
      <t>キシュ</t>
    </rPh>
    <phoneticPr fontId="5"/>
  </si>
  <si>
    <t>機種253</t>
    <rPh sb="0" eb="2">
      <t>キシュ</t>
    </rPh>
    <phoneticPr fontId="5"/>
  </si>
  <si>
    <t>機種254</t>
    <rPh sb="0" eb="2">
      <t>キシュ</t>
    </rPh>
    <phoneticPr fontId="5"/>
  </si>
  <si>
    <t>機種255</t>
    <rPh sb="0" eb="2">
      <t>キシュ</t>
    </rPh>
    <phoneticPr fontId="5"/>
  </si>
  <si>
    <t>機種256</t>
    <rPh sb="0" eb="2">
      <t>キシュ</t>
    </rPh>
    <phoneticPr fontId="5"/>
  </si>
  <si>
    <t>機種257</t>
    <rPh sb="0" eb="2">
      <t>キシュ</t>
    </rPh>
    <phoneticPr fontId="5"/>
  </si>
  <si>
    <t>機種258</t>
    <rPh sb="0" eb="2">
      <t>キシュ</t>
    </rPh>
    <phoneticPr fontId="5"/>
  </si>
  <si>
    <t>機種259</t>
    <rPh sb="0" eb="2">
      <t>キシュ</t>
    </rPh>
    <phoneticPr fontId="5"/>
  </si>
  <si>
    <t>機種260</t>
    <rPh sb="0" eb="2">
      <t>キシュ</t>
    </rPh>
    <phoneticPr fontId="5"/>
  </si>
  <si>
    <t>機種261</t>
    <rPh sb="0" eb="2">
      <t>キシュ</t>
    </rPh>
    <phoneticPr fontId="5"/>
  </si>
  <si>
    <t>機種262</t>
    <rPh sb="0" eb="2">
      <t>キシュ</t>
    </rPh>
    <phoneticPr fontId="5"/>
  </si>
  <si>
    <t>機種263</t>
    <rPh sb="0" eb="2">
      <t>キシュ</t>
    </rPh>
    <phoneticPr fontId="5"/>
  </si>
  <si>
    <t>機種264</t>
    <rPh sb="0" eb="2">
      <t>キシュ</t>
    </rPh>
    <phoneticPr fontId="5"/>
  </si>
  <si>
    <t>機種265</t>
    <rPh sb="0" eb="2">
      <t>キシュ</t>
    </rPh>
    <phoneticPr fontId="5"/>
  </si>
  <si>
    <t>機種266</t>
    <rPh sb="0" eb="2">
      <t>キシュ</t>
    </rPh>
    <phoneticPr fontId="5"/>
  </si>
  <si>
    <t>機種267</t>
    <rPh sb="0" eb="2">
      <t>キシュ</t>
    </rPh>
    <phoneticPr fontId="5"/>
  </si>
  <si>
    <t>機種268</t>
    <rPh sb="0" eb="2">
      <t>キシュ</t>
    </rPh>
    <phoneticPr fontId="5"/>
  </si>
  <si>
    <t>機種269</t>
    <rPh sb="0" eb="2">
      <t>キシュ</t>
    </rPh>
    <phoneticPr fontId="5"/>
  </si>
  <si>
    <t>機種270</t>
    <rPh sb="0" eb="2">
      <t>キシュ</t>
    </rPh>
    <phoneticPr fontId="5"/>
  </si>
  <si>
    <t>機種271</t>
    <rPh sb="0" eb="2">
      <t>キシュ</t>
    </rPh>
    <phoneticPr fontId="5"/>
  </si>
  <si>
    <t>機種272</t>
    <rPh sb="0" eb="2">
      <t>キシュ</t>
    </rPh>
    <phoneticPr fontId="5"/>
  </si>
  <si>
    <t>機種273</t>
    <rPh sb="0" eb="2">
      <t>キシュ</t>
    </rPh>
    <phoneticPr fontId="5"/>
  </si>
  <si>
    <t>機種274</t>
    <rPh sb="0" eb="2">
      <t>キシュ</t>
    </rPh>
    <phoneticPr fontId="5"/>
  </si>
  <si>
    <t>機種275</t>
    <rPh sb="0" eb="2">
      <t>キシュ</t>
    </rPh>
    <phoneticPr fontId="5"/>
  </si>
  <si>
    <t>機種276</t>
    <rPh sb="0" eb="2">
      <t>キシュ</t>
    </rPh>
    <phoneticPr fontId="5"/>
  </si>
  <si>
    <t>機種277</t>
    <rPh sb="0" eb="2">
      <t>キシュ</t>
    </rPh>
    <phoneticPr fontId="5"/>
  </si>
  <si>
    <t>機種278</t>
    <rPh sb="0" eb="2">
      <t>キシュ</t>
    </rPh>
    <phoneticPr fontId="5"/>
  </si>
  <si>
    <t>機種279</t>
    <rPh sb="0" eb="2">
      <t>キシュ</t>
    </rPh>
    <phoneticPr fontId="5"/>
  </si>
  <si>
    <t>機種280</t>
    <rPh sb="0" eb="2">
      <t>キシュ</t>
    </rPh>
    <phoneticPr fontId="5"/>
  </si>
  <si>
    <t>機種281</t>
    <rPh sb="0" eb="2">
      <t>キシュ</t>
    </rPh>
    <phoneticPr fontId="5"/>
  </si>
  <si>
    <t>機種282</t>
    <rPh sb="0" eb="2">
      <t>キシュ</t>
    </rPh>
    <phoneticPr fontId="5"/>
  </si>
  <si>
    <t>機種283</t>
    <rPh sb="0" eb="2">
      <t>キシュ</t>
    </rPh>
    <phoneticPr fontId="5"/>
  </si>
  <si>
    <t>機種284</t>
    <rPh sb="0" eb="2">
      <t>キシュ</t>
    </rPh>
    <phoneticPr fontId="5"/>
  </si>
  <si>
    <t>機種285</t>
    <rPh sb="0" eb="2">
      <t>キシュ</t>
    </rPh>
    <phoneticPr fontId="5"/>
  </si>
  <si>
    <t>機種286</t>
    <rPh sb="0" eb="2">
      <t>キシュ</t>
    </rPh>
    <phoneticPr fontId="5"/>
  </si>
  <si>
    <t>機種287</t>
    <rPh sb="0" eb="2">
      <t>キシュ</t>
    </rPh>
    <phoneticPr fontId="5"/>
  </si>
  <si>
    <t>機種288</t>
    <rPh sb="0" eb="2">
      <t>キシュ</t>
    </rPh>
    <phoneticPr fontId="5"/>
  </si>
  <si>
    <t>機種289</t>
    <rPh sb="0" eb="2">
      <t>キシュ</t>
    </rPh>
    <phoneticPr fontId="5"/>
  </si>
  <si>
    <t>機種290</t>
    <rPh sb="0" eb="2">
      <t>キシュ</t>
    </rPh>
    <phoneticPr fontId="5"/>
  </si>
  <si>
    <t>機種291</t>
    <rPh sb="0" eb="2">
      <t>キシュ</t>
    </rPh>
    <phoneticPr fontId="5"/>
  </si>
  <si>
    <t>機種292</t>
    <rPh sb="0" eb="2">
      <t>キシュ</t>
    </rPh>
    <phoneticPr fontId="5"/>
  </si>
  <si>
    <t>機種293</t>
    <rPh sb="0" eb="2">
      <t>キシュ</t>
    </rPh>
    <phoneticPr fontId="5"/>
  </si>
  <si>
    <t>機種294</t>
    <rPh sb="0" eb="2">
      <t>キシュ</t>
    </rPh>
    <phoneticPr fontId="5"/>
  </si>
  <si>
    <t>機種295</t>
    <rPh sb="0" eb="2">
      <t>キシュ</t>
    </rPh>
    <phoneticPr fontId="5"/>
  </si>
  <si>
    <t>機種296</t>
    <rPh sb="0" eb="2">
      <t>キシュ</t>
    </rPh>
    <phoneticPr fontId="5"/>
  </si>
  <si>
    <t>機種297</t>
    <rPh sb="0" eb="2">
      <t>キシュ</t>
    </rPh>
    <phoneticPr fontId="5"/>
  </si>
  <si>
    <t>機種298</t>
    <rPh sb="0" eb="2">
      <t>キシュ</t>
    </rPh>
    <phoneticPr fontId="5"/>
  </si>
  <si>
    <t>機種299</t>
    <rPh sb="0" eb="2">
      <t>キシュ</t>
    </rPh>
    <phoneticPr fontId="5"/>
  </si>
  <si>
    <t>機種300</t>
    <rPh sb="0" eb="2">
      <t>キシュ</t>
    </rPh>
    <phoneticPr fontId="5"/>
  </si>
  <si>
    <t>年</t>
    <rPh sb="0" eb="1">
      <t>ネン</t>
    </rPh>
    <phoneticPr fontId="5"/>
  </si>
  <si>
    <t>台</t>
    <rPh sb="0" eb="1">
      <t>ダイ</t>
    </rPh>
    <phoneticPr fontId="5"/>
  </si>
  <si>
    <t>日冷房時間</t>
    <rPh sb="0" eb="1">
      <t>ヒ</t>
    </rPh>
    <phoneticPr fontId="5"/>
  </si>
  <si>
    <t>年間冷房日数</t>
    <rPh sb="0" eb="2">
      <t>ネンカン</t>
    </rPh>
    <rPh sb="2" eb="6">
      <t>レイボウニッスウ</t>
    </rPh>
    <phoneticPr fontId="5"/>
  </si>
  <si>
    <t>日暖房時間</t>
    <rPh sb="0" eb="1">
      <t>ヒ</t>
    </rPh>
    <rPh sb="1" eb="3">
      <t>ダンボウ</t>
    </rPh>
    <phoneticPr fontId="5"/>
  </si>
  <si>
    <t>年間暖房日数</t>
    <rPh sb="0" eb="2">
      <t>ネンカン</t>
    </rPh>
    <rPh sb="2" eb="4">
      <t>ダンボウ</t>
    </rPh>
    <rPh sb="4" eb="6">
      <t>ニッスウ</t>
    </rPh>
    <phoneticPr fontId="5"/>
  </si>
  <si>
    <t>時間/日</t>
    <rPh sb="0" eb="2">
      <t>ジカン</t>
    </rPh>
    <rPh sb="3" eb="4">
      <t>ニチ</t>
    </rPh>
    <phoneticPr fontId="5"/>
  </si>
  <si>
    <t>日/年</t>
    <rPh sb="0" eb="1">
      <t>ニチ</t>
    </rPh>
    <rPh sb="2" eb="3">
      <t>ネン</t>
    </rPh>
    <phoneticPr fontId="5"/>
  </si>
  <si>
    <t>ー</t>
    <phoneticPr fontId="5"/>
  </si>
  <si>
    <t>項目</t>
    <rPh sb="0" eb="2">
      <t>コウモク</t>
    </rPh>
    <phoneticPr fontId="5"/>
  </si>
  <si>
    <t>単位</t>
    <rPh sb="0" eb="2">
      <t>タンイ</t>
    </rPh>
    <phoneticPr fontId="5"/>
  </si>
  <si>
    <t>G</t>
    <phoneticPr fontId="5"/>
  </si>
  <si>
    <t>H</t>
    <phoneticPr fontId="5"/>
  </si>
  <si>
    <t>J</t>
    <phoneticPr fontId="5"/>
  </si>
  <si>
    <t>K</t>
    <phoneticPr fontId="5"/>
  </si>
  <si>
    <t>I</t>
    <phoneticPr fontId="5"/>
  </si>
  <si>
    <t>事業者名称</t>
    <rPh sb="0" eb="3">
      <t>ジギョウシャ</t>
    </rPh>
    <rPh sb="3" eb="5">
      <t>メイショウ</t>
    </rPh>
    <phoneticPr fontId="5"/>
  </si>
  <si>
    <t>事業所名称</t>
    <rPh sb="0" eb="3">
      <t>ジギョウショ</t>
    </rPh>
    <rPh sb="3" eb="5">
      <t>メイショウ</t>
    </rPh>
    <phoneticPr fontId="5"/>
  </si>
  <si>
    <t>提出先</t>
    <rPh sb="0" eb="3">
      <t>テイシュツサキ</t>
    </rPh>
    <phoneticPr fontId="5"/>
  </si>
  <si>
    <t>交付申請等受付システム</t>
    <rPh sb="0" eb="2">
      <t>コウフ</t>
    </rPh>
    <rPh sb="2" eb="4">
      <t>シンセイ</t>
    </rPh>
    <rPh sb="4" eb="5">
      <t>トウ</t>
    </rPh>
    <rPh sb="5" eb="7">
      <t>ウケツケ</t>
    </rPh>
    <phoneticPr fontId="5"/>
  </si>
  <si>
    <t>メール</t>
    <phoneticPr fontId="5"/>
  </si>
  <si>
    <t>郵送</t>
    <rPh sb="0" eb="2">
      <t>ユウソウ</t>
    </rPh>
    <phoneticPr fontId="5"/>
  </si>
  <si>
    <t>備考</t>
    <rPh sb="0" eb="2">
      <t>ビコウ</t>
    </rPh>
    <phoneticPr fontId="5"/>
  </si>
  <si>
    <t>※書類審査・補正にて、エクセルファイルの提出を求める場合があります。</t>
    <rPh sb="1" eb="3">
      <t>ショルイ</t>
    </rPh>
    <rPh sb="3" eb="5">
      <t>シンサ</t>
    </rPh>
    <rPh sb="6" eb="8">
      <t>ホセイ</t>
    </rPh>
    <rPh sb="20" eb="22">
      <t>テイシュツ</t>
    </rPh>
    <rPh sb="23" eb="24">
      <t>モト</t>
    </rPh>
    <rPh sb="26" eb="28">
      <t>バアイ</t>
    </rPh>
    <phoneticPr fontId="5"/>
  </si>
  <si>
    <t>提出書類</t>
    <rPh sb="0" eb="2">
      <t>テイシュツ</t>
    </rPh>
    <rPh sb="2" eb="4">
      <t>ショルイ</t>
    </rPh>
    <phoneticPr fontId="5"/>
  </si>
  <si>
    <t>※本エクセルファイルは、申請書類の一つです。</t>
    <rPh sb="1" eb="2">
      <t>ホン</t>
    </rPh>
    <rPh sb="12" eb="16">
      <t>シンセイショルイ</t>
    </rPh>
    <rPh sb="17" eb="18">
      <t>ヒト</t>
    </rPh>
    <phoneticPr fontId="5"/>
  </si>
  <si>
    <t>※不明点等があれば、事務局へお問い合わせください。</t>
    <rPh sb="1" eb="5">
      <t>フメイテントウ</t>
    </rPh>
    <rPh sb="10" eb="13">
      <t>ジムキョク</t>
    </rPh>
    <rPh sb="15" eb="16">
      <t>ト</t>
    </rPh>
    <rPh sb="17" eb="18">
      <t>ア</t>
    </rPh>
    <phoneticPr fontId="5"/>
  </si>
  <si>
    <t>●以下シートを印刷したもの
・使用量と光熱費
・算定した設備
・診断結果【更新】</t>
    <rPh sb="1" eb="3">
      <t>イカ</t>
    </rPh>
    <rPh sb="7" eb="9">
      <t>インサツ</t>
    </rPh>
    <rPh sb="15" eb="18">
      <t>シヨウリョウ</t>
    </rPh>
    <rPh sb="19" eb="22">
      <t>コウネツヒ</t>
    </rPh>
    <rPh sb="24" eb="26">
      <t>サンテイ</t>
    </rPh>
    <rPh sb="28" eb="30">
      <t>セツビ</t>
    </rPh>
    <rPh sb="32" eb="36">
      <t>シンダンケッカ</t>
    </rPh>
    <rPh sb="37" eb="39">
      <t>コウシン</t>
    </rPh>
    <phoneticPr fontId="5"/>
  </si>
  <si>
    <t>※シートの削除、入力セル以外の記載の改変等をしないでください。</t>
    <phoneticPr fontId="5"/>
  </si>
  <si>
    <t>※交付申請では、下記のファイル又はシートを印刷したものを提出してください。</t>
    <rPh sb="1" eb="5">
      <t>コウフシンセイ</t>
    </rPh>
    <rPh sb="8" eb="10">
      <t>カキ</t>
    </rPh>
    <rPh sb="15" eb="16">
      <t>マタ</t>
    </rPh>
    <rPh sb="21" eb="23">
      <t>インサツ</t>
    </rPh>
    <rPh sb="28" eb="30">
      <t>テイシュツ</t>
    </rPh>
    <phoneticPr fontId="5"/>
  </si>
  <si>
    <t>簡易自己診断ツール
（エクセルファイル全体）</t>
    <rPh sb="0" eb="6">
      <t>カンイジコシンダン</t>
    </rPh>
    <rPh sb="19" eb="21">
      <t>ゼンタイ</t>
    </rPh>
    <phoneticPr fontId="5"/>
  </si>
  <si>
    <t>同上</t>
    <rPh sb="0" eb="2">
      <t>ドウジョウ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</si>
</sst>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0.0_ "/>
    <numFmt numFmtId="177" formatCode="#,##0.0000_ "/>
    <numFmt numFmtId="178" formatCode="#,##0.00_ "/>
    <numFmt numFmtId="179" formatCode="#,##0.000_ "/>
    <numFmt numFmtId="180" formatCode="#,##0.000000_ "/>
    <numFmt numFmtId="181" formatCode="0.000000"/>
    <numFmt numFmtId="182" formatCode="0.0%"/>
    <numFmt numFmtId="183" formatCode="0_);[Red]\(0\)"/>
    <numFmt numFmtId="184" formatCode="0.00_);[Red]\(0.00\)"/>
    <numFmt numFmtId="185" formatCode="0\ &quot;%&quot;"/>
    <numFmt numFmtId="186" formatCode="0.0_);[Red]\(0.0\)"/>
    <numFmt numFmtId="187" formatCode="0.0"/>
    <numFmt numFmtId="188" formatCode="#,##0.0_ ;[Red]\-#,##0.0\ "/>
    <numFmt numFmtId="189" formatCode="0.0_ ;[Red]\-0.0\ "/>
    <numFmt numFmtId="190" formatCode="#,##0.0_);[Red]\(#,##0.0\)"/>
    <numFmt numFmtId="191" formatCode="#,##0.00_ ;[Red]\-#,##0.00\ "/>
    <numFmt numFmtId="192" formatCode="#,##0_ ;[Red]\-#,##0\ "/>
    <numFmt numFmtId="193" formatCode="#,##0.00_);[Red]\(#,##0.00\)"/>
    <numFmt numFmtId="194" formatCode="0.00_ ;[Red]\-0.00\ "/>
    <numFmt numFmtId="195" formatCode="0_ "/>
    <numFmt numFmtId="196" formatCode="0_ ;[Red]\-0\ "/>
    <numFmt numFmtId="197" formatCode="0.0_ "/>
    <numFmt numFmtId="198" formatCode="0.00_ "/>
    <numFmt numFmtId="199" formatCode="#,##0.000_ ;[Red]\-#,##0.000\ "/>
    <numFmt numFmtId="200" formatCode="0.000"/>
    <numFmt numFmtId="201" formatCode="#,##0_);[Red]\(#,##0\)"/>
    <numFmt numFmtId="202" formatCode="#,##0_ "/>
  </numFmts>
  <fonts count="5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sz val="6"/>
      <name val="游ゴシック"/>
      <family val="2"/>
      <charset val="128"/>
      <scheme val="minor"/>
    </font>
    <font>
      <sz val="10"/>
      <color theme="1"/>
      <name val="游ゴシック"/>
      <family val="2"/>
      <charset val="128"/>
      <scheme val="minor"/>
    </font>
    <font>
      <u/>
      <sz val="11"/>
      <color theme="10"/>
      <name val="游ゴシック"/>
      <family val="2"/>
      <scheme val="minor"/>
    </font>
    <font>
      <sz val="12"/>
      <color theme="1"/>
      <name val="游ゴシック"/>
      <family val="2"/>
      <scheme val="minor"/>
    </font>
    <font>
      <sz val="16"/>
      <color theme="1"/>
      <name val="游ゴシック"/>
      <family val="2"/>
      <scheme val="minor"/>
    </font>
    <font>
      <sz val="10"/>
      <color theme="1"/>
      <name val="游ゴシック"/>
      <family val="2"/>
      <scheme val="minor"/>
    </font>
    <font>
      <sz val="9"/>
      <color theme="1"/>
      <name val="游ゴシック"/>
      <family val="2"/>
      <scheme val="minor"/>
    </font>
    <font>
      <sz val="10"/>
      <color theme="1"/>
      <name val="游ゴシック"/>
      <family val="3"/>
      <charset val="128"/>
      <scheme val="minor"/>
    </font>
    <font>
      <b/>
      <sz val="14"/>
      <color rgb="FFFFC000"/>
      <name val="游ゴシック"/>
      <family val="2"/>
      <scheme val="minor"/>
    </font>
    <font>
      <sz val="24"/>
      <color theme="7"/>
      <name val="游ゴシック"/>
      <family val="2"/>
      <scheme val="minor"/>
    </font>
    <font>
      <b/>
      <sz val="12"/>
      <color theme="1"/>
      <name val="游ゴシック"/>
      <family val="3"/>
      <charset val="128"/>
      <scheme val="minor"/>
    </font>
    <font>
      <b/>
      <sz val="16"/>
      <color theme="1"/>
      <name val="游ゴシック"/>
      <family val="3"/>
      <charset val="128"/>
      <scheme val="minor"/>
    </font>
    <font>
      <sz val="11"/>
      <color theme="7"/>
      <name val="游ゴシック"/>
      <family val="2"/>
      <scheme val="minor"/>
    </font>
    <font>
      <b/>
      <sz val="18"/>
      <color theme="1"/>
      <name val="游ゴシック"/>
      <family val="3"/>
      <charset val="128"/>
      <scheme val="minor"/>
    </font>
    <font>
      <sz val="10"/>
      <color theme="1"/>
      <name val="ＭＳ ゴシック"/>
      <family val="3"/>
      <charset val="128"/>
    </font>
    <font>
      <sz val="10.5"/>
      <color theme="1"/>
      <name val="Century"/>
      <family val="1"/>
    </font>
    <font>
      <b/>
      <sz val="10"/>
      <color theme="1"/>
      <name val="ＭＳ ゴシック"/>
      <family val="3"/>
      <charset val="128"/>
    </font>
    <font>
      <b/>
      <sz val="9"/>
      <color theme="1"/>
      <name val="ＭＳ ゴシック"/>
      <family val="3"/>
      <charset val="128"/>
    </font>
    <font>
      <sz val="8"/>
      <color theme="1"/>
      <name val="ＭＳ ゴシック"/>
      <family val="3"/>
      <charset val="128"/>
    </font>
    <font>
      <b/>
      <sz val="9"/>
      <color rgb="FFFFFFFF"/>
      <name val="ＭＳ ゴシック"/>
      <family val="3"/>
      <charset val="128"/>
    </font>
    <font>
      <b/>
      <sz val="10"/>
      <color rgb="FFFFFFFF"/>
      <name val="ＭＳ ゴシック"/>
      <family val="3"/>
      <charset val="128"/>
    </font>
    <font>
      <sz val="10"/>
      <color rgb="FFFFFFFF"/>
      <name val="ＭＳ ゴシック"/>
      <family val="3"/>
      <charset val="128"/>
    </font>
    <font>
      <b/>
      <sz val="10.5"/>
      <color theme="1"/>
      <name val="ＭＳ ゴシック"/>
      <family val="3"/>
      <charset val="128"/>
    </font>
    <font>
      <sz val="14"/>
      <color theme="1"/>
      <name val="ＭＳ ゴシック"/>
      <family val="3"/>
      <charset val="128"/>
    </font>
    <font>
      <sz val="9"/>
      <color theme="1"/>
      <name val="游ゴシック"/>
      <family val="2"/>
      <charset val="128"/>
      <scheme val="minor"/>
    </font>
    <font>
      <sz val="16"/>
      <color theme="1"/>
      <name val="游ゴシック"/>
      <family val="2"/>
      <charset val="128"/>
      <scheme val="minor"/>
    </font>
    <font>
      <u/>
      <sz val="11"/>
      <color theme="10"/>
      <name val="ＭＳ Ｐゴシック"/>
      <family val="3"/>
      <charset val="128"/>
    </font>
    <font>
      <sz val="11"/>
      <color theme="1"/>
      <name val="游ゴシック"/>
      <family val="3"/>
      <charset val="128"/>
      <scheme val="minor"/>
    </font>
    <font>
      <sz val="11"/>
      <color indexed="8"/>
      <name val="ＭＳ Ｐゴシック"/>
      <family val="3"/>
      <charset val="128"/>
    </font>
    <font>
      <vertAlign val="subscript"/>
      <sz val="11"/>
      <color theme="1"/>
      <name val="游ゴシック"/>
      <family val="3"/>
      <charset val="128"/>
      <scheme val="minor"/>
    </font>
    <font>
      <vertAlign val="subscript"/>
      <sz val="11"/>
      <color theme="1"/>
      <name val="游ゴシック"/>
      <family val="2"/>
      <scheme val="minor"/>
    </font>
    <font>
      <sz val="11"/>
      <color rgb="FFFF0000"/>
      <name val="游ゴシック"/>
      <family val="2"/>
      <scheme val="minor"/>
    </font>
    <font>
      <sz val="11"/>
      <color rgb="FFFF0000"/>
      <name val="游ゴシック"/>
      <family val="3"/>
      <charset val="128"/>
      <scheme val="minor"/>
    </font>
    <font>
      <sz val="11"/>
      <name val="游ゴシック"/>
      <family val="2"/>
      <scheme val="minor"/>
    </font>
    <font>
      <sz val="11"/>
      <name val="游ゴシック"/>
      <family val="3"/>
      <charset val="128"/>
      <scheme val="minor"/>
    </font>
    <font>
      <b/>
      <sz val="11"/>
      <color theme="1"/>
      <name val="游ゴシック"/>
      <family val="3"/>
      <charset val="128"/>
      <scheme val="minor"/>
    </font>
    <font>
      <u/>
      <sz val="11"/>
      <color theme="1"/>
      <name val="游ゴシック"/>
      <family val="2"/>
      <scheme val="minor"/>
    </font>
    <font>
      <sz val="11"/>
      <color theme="0"/>
      <name val="游ゴシック"/>
      <family val="2"/>
      <scheme val="minor"/>
    </font>
    <font>
      <sz val="11"/>
      <color theme="0"/>
      <name val="游ゴシック"/>
      <family val="3"/>
      <charset val="128"/>
      <scheme val="minor"/>
    </font>
  </fonts>
  <fills count="17">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E5E5E5"/>
        <bgColor indexed="64"/>
      </patternFill>
    </fill>
    <fill>
      <patternFill patternType="solid">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CC99"/>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15">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0" fontId="4" fillId="0" borderId="0"/>
    <xf numFmtId="9" fontId="3" fillId="0" borderId="0" applyFont="0" applyFill="0" applyBorder="0" applyAlignment="0" applyProtection="0">
      <alignment vertical="center"/>
    </xf>
    <xf numFmtId="0" fontId="14"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8" fillId="0" borderId="0" applyNumberFormat="0" applyFill="0" applyBorder="0" applyAlignment="0" applyProtection="0">
      <alignment vertical="top"/>
      <protection locked="0"/>
    </xf>
    <xf numFmtId="0" fontId="39" fillId="0" borderId="0">
      <alignment vertical="center"/>
    </xf>
    <xf numFmtId="38" fontId="40" fillId="0" borderId="0" applyFont="0" applyFill="0" applyBorder="0" applyAlignment="0" applyProtection="0">
      <alignment vertical="center"/>
    </xf>
  </cellStyleXfs>
  <cellXfs count="704">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shrinkToFit="1"/>
    </xf>
    <xf numFmtId="0" fontId="3" fillId="0" borderId="0" xfId="4">
      <alignment vertical="center"/>
    </xf>
    <xf numFmtId="0" fontId="8" fillId="0" borderId="1" xfId="5" applyNumberFormat="1" applyFont="1" applyBorder="1" applyAlignment="1" applyProtection="1">
      <alignment horizontal="center" vertical="center" wrapText="1" shrinkToFit="1"/>
    </xf>
    <xf numFmtId="176" fontId="0" fillId="0" borderId="1" xfId="5" applyNumberFormat="1" applyFont="1" applyFill="1" applyBorder="1" applyAlignment="1" applyProtection="1">
      <alignment horizontal="right" vertical="center" shrinkToFit="1"/>
    </xf>
    <xf numFmtId="181" fontId="6" fillId="0" borderId="1" xfId="5" applyNumberFormat="1" applyFont="1" applyBorder="1" applyAlignment="1" applyProtection="1">
      <alignment horizontal="center" vertical="center" wrapText="1" shrinkToFit="1"/>
    </xf>
    <xf numFmtId="0" fontId="0" fillId="0" borderId="1" xfId="5" applyNumberFormat="1" applyFont="1" applyFill="1" applyBorder="1" applyAlignment="1" applyProtection="1">
      <alignment horizontal="center" vertical="center" shrinkToFit="1"/>
    </xf>
    <xf numFmtId="180" fontId="0" fillId="0" borderId="1" xfId="5" applyNumberFormat="1" applyFont="1" applyFill="1" applyBorder="1" applyAlignment="1" applyProtection="1">
      <alignment vertical="center" shrinkToFit="1"/>
    </xf>
    <xf numFmtId="0" fontId="0" fillId="0" borderId="1" xfId="0" applyBorder="1" applyAlignment="1">
      <alignment horizontal="centerContinuous"/>
    </xf>
    <xf numFmtId="0" fontId="0" fillId="0" borderId="1" xfId="0" applyBorder="1" applyAlignment="1">
      <alignment wrapText="1"/>
    </xf>
    <xf numFmtId="38" fontId="0" fillId="0" borderId="1" xfId="1" applyFont="1" applyBorder="1" applyAlignment="1"/>
    <xf numFmtId="0" fontId="3" fillId="0" borderId="1" xfId="4" applyBorder="1">
      <alignment vertical="center"/>
    </xf>
    <xf numFmtId="182" fontId="0" fillId="0" borderId="1" xfId="7" applyNumberFormat="1" applyFont="1" applyBorder="1">
      <alignment vertical="center"/>
    </xf>
    <xf numFmtId="9" fontId="0" fillId="3" borderId="1" xfId="7" applyFont="1" applyFill="1" applyBorder="1">
      <alignment vertical="center"/>
    </xf>
    <xf numFmtId="0" fontId="0" fillId="0" borderId="1" xfId="0" applyBorder="1" applyAlignment="1">
      <alignment horizontal="left" vertical="top" wrapText="1"/>
    </xf>
    <xf numFmtId="0" fontId="0" fillId="0" borderId="5" xfId="0" applyBorder="1"/>
    <xf numFmtId="0" fontId="0" fillId="0" borderId="6" xfId="0" applyBorder="1"/>
    <xf numFmtId="0" fontId="0" fillId="0" borderId="4" xfId="0" applyBorder="1"/>
    <xf numFmtId="0" fontId="0" fillId="0" borderId="1" xfId="0" applyBorder="1" applyAlignment="1">
      <alignment horizontal="right"/>
    </xf>
    <xf numFmtId="38" fontId="0" fillId="0" borderId="1" xfId="1" applyFont="1" applyBorder="1" applyAlignment="1" applyProtection="1"/>
    <xf numFmtId="0" fontId="0" fillId="0" borderId="0" xfId="0" applyAlignment="1">
      <alignment vertical="center"/>
    </xf>
    <xf numFmtId="0" fontId="0" fillId="0" borderId="5" xfId="0" applyBorder="1" applyAlignment="1">
      <alignment vertical="center"/>
    </xf>
    <xf numFmtId="0" fontId="0" fillId="2" borderId="5" xfId="0" applyFill="1" applyBorder="1" applyAlignment="1">
      <alignment vertical="center"/>
    </xf>
    <xf numFmtId="0" fontId="0" fillId="0" borderId="1" xfId="0" applyBorder="1" applyAlignment="1">
      <alignment vertical="center"/>
    </xf>
    <xf numFmtId="182" fontId="13" fillId="0" borderId="1" xfId="2" applyNumberFormat="1" applyFont="1" applyFill="1" applyBorder="1" applyAlignment="1" applyProtection="1">
      <alignment horizontal="center" vertical="center" shrinkToFit="1"/>
    </xf>
    <xf numFmtId="182" fontId="0" fillId="0" borderId="1" xfId="0" applyNumberFormat="1" applyBorder="1" applyAlignment="1">
      <alignment horizontal="center" vertical="center"/>
    </xf>
    <xf numFmtId="0" fontId="0" fillId="2" borderId="1" xfId="0" applyFill="1" applyBorder="1" applyProtection="1">
      <protection locked="0"/>
    </xf>
    <xf numFmtId="0" fontId="0" fillId="2" borderId="1" xfId="0" applyFill="1" applyBorder="1" applyAlignment="1" applyProtection="1">
      <alignment shrinkToFit="1"/>
      <protection locked="0"/>
    </xf>
    <xf numFmtId="38" fontId="0" fillId="2" borderId="1" xfId="1" applyFont="1" applyFill="1" applyBorder="1" applyAlignment="1" applyProtection="1">
      <alignment shrinkToFit="1"/>
      <protection locked="0"/>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14" fillId="0" borderId="0" xfId="8" applyAlignment="1">
      <alignment vertical="top"/>
    </xf>
    <xf numFmtId="0" fontId="0" fillId="2" borderId="1" xfId="0" applyFill="1" applyBorder="1" applyAlignment="1" applyProtection="1">
      <alignment wrapText="1"/>
      <protection locked="0"/>
    </xf>
    <xf numFmtId="0" fontId="16" fillId="0" borderId="0" xfId="0" applyFont="1"/>
    <xf numFmtId="0" fontId="18" fillId="0" borderId="0" xfId="0" applyFont="1" applyAlignment="1">
      <alignment horizontal="right" vertical="center"/>
    </xf>
    <xf numFmtId="0" fontId="0" fillId="0" borderId="1" xfId="0" applyBorder="1" applyAlignment="1">
      <alignment horizontal="left" vertical="top"/>
    </xf>
    <xf numFmtId="9" fontId="0" fillId="0" borderId="1" xfId="2" applyFont="1" applyBorder="1" applyAlignment="1"/>
    <xf numFmtId="0" fontId="0" fillId="0" borderId="1" xfId="0" applyBorder="1" applyAlignment="1">
      <alignment horizontal="center" vertical="center"/>
    </xf>
    <xf numFmtId="38" fontId="0" fillId="0" borderId="1" xfId="1" applyFont="1" applyBorder="1" applyAlignment="1">
      <alignment horizontal="right" vertical="center" wrapText="1"/>
    </xf>
    <xf numFmtId="0" fontId="0" fillId="0" borderId="0" xfId="0" applyAlignment="1">
      <alignment horizontal="center"/>
    </xf>
    <xf numFmtId="38" fontId="0" fillId="0" borderId="0" xfId="1" applyFont="1" applyBorder="1" applyAlignment="1">
      <alignment horizontal="right" vertical="center"/>
    </xf>
    <xf numFmtId="38" fontId="0" fillId="0" borderId="0" xfId="1" applyFont="1" applyBorder="1" applyAlignment="1">
      <alignment horizontal="right" vertical="center" wrapText="1"/>
    </xf>
    <xf numFmtId="9" fontId="0" fillId="0" borderId="0" xfId="2" applyFont="1" applyBorder="1" applyAlignment="1">
      <alignment horizontal="right" vertical="center"/>
    </xf>
    <xf numFmtId="0" fontId="0" fillId="5" borderId="1" xfId="0" applyFill="1" applyBorder="1" applyProtection="1">
      <protection locked="0"/>
    </xf>
    <xf numFmtId="0" fontId="0" fillId="0" borderId="0" xfId="0" applyAlignment="1">
      <alignment horizontal="left" indent="4"/>
    </xf>
    <xf numFmtId="0" fontId="17" fillId="0" borderId="1" xfId="0" applyFont="1" applyBorder="1" applyAlignment="1">
      <alignment vertical="top" wrapText="1"/>
    </xf>
    <xf numFmtId="0" fontId="19" fillId="0" borderId="1" xfId="0" applyFont="1" applyBorder="1" applyAlignment="1">
      <alignment horizontal="left" vertical="top" wrapText="1"/>
    </xf>
    <xf numFmtId="0" fontId="0" fillId="0" borderId="2" xfId="0" applyBorder="1"/>
    <xf numFmtId="0" fontId="0" fillId="0" borderId="7" xfId="0" applyBorder="1"/>
    <xf numFmtId="0" fontId="0" fillId="0" borderId="3" xfId="0" applyBorder="1"/>
    <xf numFmtId="184" fontId="0" fillId="0" borderId="1" xfId="1" applyNumberFormat="1" applyFont="1" applyBorder="1" applyAlignment="1"/>
    <xf numFmtId="184" fontId="0" fillId="0" borderId="2" xfId="1" applyNumberFormat="1" applyFont="1" applyBorder="1" applyAlignment="1"/>
    <xf numFmtId="184" fontId="0" fillId="0" borderId="1" xfId="0" applyNumberFormat="1" applyBorder="1"/>
    <xf numFmtId="0" fontId="0" fillId="0" borderId="1" xfId="0" applyBorder="1" applyAlignment="1">
      <alignment horizontal="center" vertical="center" wrapText="1"/>
    </xf>
    <xf numFmtId="0" fontId="17" fillId="0" borderId="1" xfId="0" applyFont="1" applyBorder="1" applyAlignment="1">
      <alignment horizontal="center" vertical="center" shrinkToFit="1"/>
    </xf>
    <xf numFmtId="184" fontId="0" fillId="0" borderId="1" xfId="0" applyNumberFormat="1" applyBorder="1" applyAlignment="1">
      <alignment shrinkToFit="1"/>
    </xf>
    <xf numFmtId="0" fontId="0" fillId="0" borderId="8" xfId="0" applyBorder="1"/>
    <xf numFmtId="0" fontId="0" fillId="0" borderId="9" xfId="0" applyBorder="1"/>
    <xf numFmtId="0" fontId="0" fillId="5" borderId="1" xfId="0" applyFill="1" applyBorder="1" applyAlignment="1" applyProtection="1">
      <alignment shrinkToFit="1"/>
      <protection locked="0"/>
    </xf>
    <xf numFmtId="9" fontId="0" fillId="0" borderId="7" xfId="2" applyFont="1" applyBorder="1" applyAlignment="1">
      <alignment vertical="center"/>
    </xf>
    <xf numFmtId="9" fontId="0" fillId="0" borderId="3" xfId="2" applyFont="1" applyBorder="1" applyAlignment="1">
      <alignment vertical="center"/>
    </xf>
    <xf numFmtId="0" fontId="22" fillId="0" borderId="0" xfId="0" applyFont="1"/>
    <xf numFmtId="0" fontId="23" fillId="0" borderId="0" xfId="0" applyFont="1"/>
    <xf numFmtId="0" fontId="21" fillId="0" borderId="1" xfId="0" applyFont="1" applyBorder="1" applyAlignment="1">
      <alignment vertical="center"/>
    </xf>
    <xf numFmtId="0" fontId="0" fillId="0" borderId="0" xfId="0" applyAlignment="1">
      <alignment horizontal="left"/>
    </xf>
    <xf numFmtId="0" fontId="0" fillId="2" borderId="5" xfId="0" applyFill="1" applyBorder="1" applyAlignment="1" applyProtection="1">
      <alignment shrinkToFit="1"/>
      <protection locked="0"/>
    </xf>
    <xf numFmtId="184" fontId="0" fillId="0" borderId="12" xfId="0" applyNumberFormat="1" applyBorder="1" applyAlignment="1">
      <alignment shrinkToFit="1"/>
    </xf>
    <xf numFmtId="0" fontId="0" fillId="0" borderId="16" xfId="0" applyBorder="1"/>
    <xf numFmtId="0" fontId="0" fillId="0" borderId="17" xfId="0" applyBorder="1"/>
    <xf numFmtId="184" fontId="0" fillId="0" borderId="17" xfId="0" applyNumberFormat="1" applyBorder="1"/>
    <xf numFmtId="184" fontId="0" fillId="0" borderId="0" xfId="0" applyNumberFormat="1"/>
    <xf numFmtId="184" fontId="0" fillId="0" borderId="18" xfId="0" applyNumberFormat="1" applyBorder="1"/>
    <xf numFmtId="0" fontId="0" fillId="2" borderId="2" xfId="0" applyFill="1" applyBorder="1" applyAlignment="1" applyProtection="1">
      <alignment shrinkToFit="1"/>
      <protection locked="0"/>
    </xf>
    <xf numFmtId="184" fontId="0" fillId="0" borderId="19" xfId="0" applyNumberFormat="1" applyBorder="1" applyAlignment="1">
      <alignment shrinkToFit="1"/>
    </xf>
    <xf numFmtId="184" fontId="0" fillId="0" borderId="2" xfId="0" applyNumberFormat="1" applyBorder="1" applyAlignment="1">
      <alignment shrinkToFit="1"/>
    </xf>
    <xf numFmtId="184" fontId="0" fillId="0" borderId="20" xfId="0" applyNumberFormat="1" applyBorder="1"/>
    <xf numFmtId="0" fontId="0" fillId="2" borderId="10" xfId="0" applyFill="1" applyBorder="1" applyAlignment="1" applyProtection="1">
      <alignment shrinkToFit="1"/>
      <protection locked="0"/>
    </xf>
    <xf numFmtId="184" fontId="0" fillId="0" borderId="13" xfId="0" applyNumberFormat="1" applyBorder="1"/>
    <xf numFmtId="184" fontId="0" fillId="0" borderId="15" xfId="0" applyNumberFormat="1" applyBorder="1"/>
    <xf numFmtId="0" fontId="24" fillId="5" borderId="1" xfId="0" applyFont="1" applyFill="1" applyBorder="1"/>
    <xf numFmtId="0" fontId="0" fillId="0" borderId="2" xfId="0" quotePrefix="1" applyBorder="1"/>
    <xf numFmtId="0" fontId="0" fillId="0" borderId="1" xfId="0" quotePrefix="1" applyBorder="1" applyAlignment="1">
      <alignment shrinkToFit="1"/>
    </xf>
    <xf numFmtId="0" fontId="0" fillId="0" borderId="10" xfId="0" quotePrefix="1" applyBorder="1"/>
    <xf numFmtId="184" fontId="0" fillId="0" borderId="2" xfId="1" quotePrefix="1" applyNumberFormat="1" applyFont="1" applyBorder="1" applyAlignment="1"/>
    <xf numFmtId="0" fontId="0" fillId="0" borderId="1" xfId="0" quotePrefix="1" applyBorder="1"/>
    <xf numFmtId="0" fontId="18" fillId="0" borderId="1" xfId="0" quotePrefix="1" applyFont="1" applyBorder="1" applyAlignment="1">
      <alignment vertical="top" wrapText="1" shrinkToFit="1"/>
    </xf>
    <xf numFmtId="184" fontId="0" fillId="0" borderId="1" xfId="0" quotePrefix="1" applyNumberFormat="1" applyBorder="1"/>
    <xf numFmtId="38" fontId="0" fillId="0" borderId="0" xfId="1" applyFont="1" applyAlignment="1"/>
    <xf numFmtId="38" fontId="0" fillId="0" borderId="1" xfId="1" applyFont="1" applyFill="1" applyBorder="1" applyAlignment="1">
      <alignment shrinkToFit="1"/>
    </xf>
    <xf numFmtId="38" fontId="0" fillId="0" borderId="1" xfId="1" applyFont="1" applyFill="1" applyBorder="1" applyAlignment="1" applyProtection="1">
      <alignment shrinkToFit="1"/>
    </xf>
    <xf numFmtId="0" fontId="21" fillId="0" borderId="1" xfId="0" applyFont="1" applyBorder="1" applyAlignment="1">
      <alignment horizontal="center" vertical="center"/>
    </xf>
    <xf numFmtId="0" fontId="15" fillId="0" borderId="1" xfId="0" applyFont="1" applyBorder="1" applyAlignment="1">
      <alignment horizontal="center" vertical="center"/>
    </xf>
    <xf numFmtId="185" fontId="0" fillId="0" borderId="1" xfId="0" quotePrefix="1" applyNumberFormat="1" applyBorder="1" applyAlignment="1">
      <alignment shrinkToFit="1"/>
    </xf>
    <xf numFmtId="9" fontId="0" fillId="0" borderId="15" xfId="2" applyFont="1" applyBorder="1" applyAlignment="1">
      <alignment horizontal="right" vertical="center"/>
    </xf>
    <xf numFmtId="0" fontId="0" fillId="0" borderId="14" xfId="0" applyBorder="1"/>
    <xf numFmtId="9" fontId="0" fillId="0" borderId="18" xfId="2" applyFont="1" applyBorder="1" applyAlignment="1">
      <alignment horizontal="right" vertical="center"/>
    </xf>
    <xf numFmtId="0" fontId="25" fillId="0" borderId="0" xfId="0" applyFont="1"/>
    <xf numFmtId="0" fontId="0" fillId="5" borderId="1" xfId="0" applyFill="1" applyBorder="1" applyAlignment="1" applyProtection="1">
      <alignment vertical="center"/>
      <protection locked="0"/>
    </xf>
    <xf numFmtId="0" fontId="2" fillId="0" borderId="0" xfId="9">
      <alignment vertical="center"/>
    </xf>
    <xf numFmtId="0" fontId="2" fillId="0" borderId="0" xfId="9" applyAlignment="1">
      <alignment horizontal="center" vertical="center"/>
    </xf>
    <xf numFmtId="0" fontId="2" fillId="0" borderId="21" xfId="9" applyBorder="1">
      <alignment vertical="center"/>
    </xf>
    <xf numFmtId="0" fontId="2" fillId="0" borderId="22" xfId="9" applyBorder="1" applyAlignment="1">
      <alignment horizontal="center" vertical="center"/>
    </xf>
    <xf numFmtId="0" fontId="2" fillId="0" borderId="23" xfId="9" applyBorder="1">
      <alignment vertical="center"/>
    </xf>
    <xf numFmtId="0" fontId="2" fillId="0" borderId="24" xfId="9" applyBorder="1" applyAlignment="1">
      <alignment horizontal="center" vertical="center"/>
    </xf>
    <xf numFmtId="0" fontId="2" fillId="0" borderId="24" xfId="9" applyBorder="1">
      <alignment vertical="center"/>
    </xf>
    <xf numFmtId="0" fontId="26" fillId="0" borderId="1" xfId="9" applyFont="1" applyBorder="1" applyAlignment="1">
      <alignment horizontal="center" vertical="center" textRotation="255" wrapText="1"/>
    </xf>
    <xf numFmtId="0" fontId="31" fillId="8" borderId="1" xfId="9" applyFont="1" applyFill="1" applyBorder="1" applyAlignment="1">
      <alignment horizontal="center" vertical="center" wrapText="1"/>
    </xf>
    <xf numFmtId="0" fontId="32" fillId="8" borderId="1" xfId="9" applyFont="1" applyFill="1" applyBorder="1" applyAlignment="1">
      <alignment horizontal="center" vertical="center" wrapText="1"/>
    </xf>
    <xf numFmtId="0" fontId="34" fillId="0" borderId="0" xfId="9" applyFont="1" applyAlignment="1">
      <alignment horizontal="center" vertical="center"/>
    </xf>
    <xf numFmtId="0" fontId="34" fillId="0" borderId="0" xfId="9" applyFont="1" applyAlignment="1">
      <alignment horizontal="left" vertical="center"/>
    </xf>
    <xf numFmtId="0" fontId="35" fillId="0" borderId="0" xfId="9" applyFont="1" applyAlignment="1">
      <alignment horizontal="left" vertical="center"/>
    </xf>
    <xf numFmtId="0" fontId="36" fillId="0" borderId="0" xfId="9" applyFont="1" applyAlignment="1">
      <alignment horizontal="right" vertical="center"/>
    </xf>
    <xf numFmtId="0" fontId="17" fillId="0" borderId="5" xfId="0" applyFont="1" applyBorder="1" applyAlignment="1">
      <alignment vertical="top" wrapText="1"/>
    </xf>
    <xf numFmtId="0" fontId="37" fillId="0" borderId="0" xfId="9" applyFont="1">
      <alignment vertical="center"/>
    </xf>
    <xf numFmtId="0" fontId="0" fillId="0" borderId="4" xfId="0" applyBorder="1" applyAlignment="1">
      <alignment wrapText="1"/>
    </xf>
    <xf numFmtId="0" fontId="2" fillId="0" borderId="0" xfId="9" applyAlignment="1">
      <alignment vertical="center" wrapText="1"/>
    </xf>
    <xf numFmtId="0" fontId="32" fillId="8" borderId="1" xfId="9" applyFont="1" applyFill="1" applyBorder="1" applyAlignment="1">
      <alignment horizontal="justify" vertical="center" wrapText="1"/>
    </xf>
    <xf numFmtId="0" fontId="32" fillId="6" borderId="1" xfId="9" applyFont="1" applyFill="1" applyBorder="1" applyAlignment="1">
      <alignment horizontal="center" vertical="center" wrapText="1"/>
    </xf>
    <xf numFmtId="0" fontId="26" fillId="6" borderId="1" xfId="9" applyFont="1" applyFill="1" applyBorder="1" applyAlignment="1">
      <alignment horizontal="center" vertical="center" wrapText="1"/>
    </xf>
    <xf numFmtId="0" fontId="26" fillId="0" borderId="1" xfId="9" applyFont="1" applyBorder="1" applyAlignment="1">
      <alignment horizontal="justify" vertical="center" wrapText="1"/>
    </xf>
    <xf numFmtId="0" fontId="31" fillId="6" borderId="1" xfId="9" applyFont="1" applyFill="1" applyBorder="1" applyAlignment="1">
      <alignment horizontal="center" vertical="center" wrapText="1"/>
    </xf>
    <xf numFmtId="0" fontId="26" fillId="0" borderId="1" xfId="9" applyFont="1" applyBorder="1" applyAlignment="1">
      <alignment horizontal="center" vertical="center" wrapText="1"/>
    </xf>
    <xf numFmtId="0" fontId="27" fillId="0" borderId="1" xfId="9" applyFont="1" applyBorder="1" applyAlignment="1">
      <alignment vertical="center" wrapText="1"/>
    </xf>
    <xf numFmtId="0" fontId="26" fillId="0" borderId="5" xfId="9" applyFont="1" applyBorder="1" applyAlignment="1">
      <alignment horizontal="center" vertical="center" wrapText="1"/>
    </xf>
    <xf numFmtId="0" fontId="26" fillId="6" borderId="5" xfId="9" applyFont="1" applyFill="1" applyBorder="1" applyAlignment="1">
      <alignment horizontal="center" vertical="center" wrapText="1"/>
    </xf>
    <xf numFmtId="0" fontId="26" fillId="0" borderId="5" xfId="9" applyFont="1" applyBorder="1" applyAlignment="1">
      <alignment horizontal="justify" vertical="center" wrapText="1"/>
    </xf>
    <xf numFmtId="0" fontId="28" fillId="7" borderId="29" xfId="9" applyFont="1" applyFill="1" applyBorder="1" applyAlignment="1">
      <alignment horizontal="center" vertical="center" wrapText="1"/>
    </xf>
    <xf numFmtId="0" fontId="28" fillId="4" borderId="28" xfId="9" applyFont="1" applyFill="1" applyBorder="1" applyAlignment="1">
      <alignment horizontal="center" vertical="center" wrapText="1"/>
    </xf>
    <xf numFmtId="0" fontId="28" fillId="7" borderId="28" xfId="9" applyFont="1" applyFill="1" applyBorder="1" applyAlignment="1">
      <alignment horizontal="justify" vertical="center" wrapText="1"/>
    </xf>
    <xf numFmtId="0" fontId="27" fillId="7" borderId="28" xfId="9" applyFont="1" applyFill="1" applyBorder="1" applyAlignment="1">
      <alignment vertical="center" wrapText="1"/>
    </xf>
    <xf numFmtId="0" fontId="26" fillId="0" borderId="4" xfId="9" applyFont="1" applyBorder="1" applyAlignment="1">
      <alignment horizontal="center" vertical="center" wrapText="1"/>
    </xf>
    <xf numFmtId="0" fontId="26" fillId="6" borderId="4" xfId="9" applyFont="1" applyFill="1" applyBorder="1" applyAlignment="1">
      <alignment horizontal="center" vertical="center" wrapText="1"/>
    </xf>
    <xf numFmtId="0" fontId="26" fillId="0" borderId="4" xfId="9" applyFont="1" applyBorder="1" applyAlignment="1">
      <alignment horizontal="justify" vertical="center" wrapText="1"/>
    </xf>
    <xf numFmtId="0" fontId="28" fillId="0" borderId="31" xfId="9" applyFont="1" applyBorder="1" applyAlignment="1">
      <alignment horizontal="center" vertical="center" wrapText="1"/>
    </xf>
    <xf numFmtId="0" fontId="28" fillId="6" borderId="32" xfId="9" applyFont="1" applyFill="1" applyBorder="1" applyAlignment="1">
      <alignment horizontal="center" vertical="center" wrapText="1"/>
    </xf>
    <xf numFmtId="0" fontId="28" fillId="0" borderId="32" xfId="9" applyFont="1" applyBorder="1" applyAlignment="1">
      <alignment horizontal="justify" vertical="center" wrapText="1"/>
    </xf>
    <xf numFmtId="0" fontId="26" fillId="0" borderId="32" xfId="9" applyFont="1" applyBorder="1" applyAlignment="1">
      <alignment horizontal="center" vertical="center" wrapText="1"/>
    </xf>
    <xf numFmtId="0" fontId="27" fillId="0" borderId="4" xfId="9" applyFont="1" applyBorder="1" applyAlignment="1">
      <alignment vertical="center" wrapText="1"/>
    </xf>
    <xf numFmtId="0" fontId="30" fillId="0" borderId="1" xfId="9" applyFont="1" applyBorder="1" applyAlignment="1">
      <alignment horizontal="center" vertical="center" textRotation="255" wrapText="1"/>
    </xf>
    <xf numFmtId="0" fontId="30" fillId="0" borderId="1" xfId="9" applyFont="1" applyBorder="1" applyAlignment="1">
      <alignment horizontal="center" vertical="center" wrapText="1"/>
    </xf>
    <xf numFmtId="0" fontId="30" fillId="0" borderId="5" xfId="9" applyFont="1" applyBorder="1" applyAlignment="1">
      <alignment horizontal="center" vertical="center" wrapText="1"/>
    </xf>
    <xf numFmtId="0" fontId="27" fillId="0" borderId="5" xfId="9" applyFont="1" applyBorder="1" applyAlignment="1">
      <alignment vertical="center" wrapText="1"/>
    </xf>
    <xf numFmtId="0" fontId="26" fillId="0" borderId="6" xfId="9" applyFont="1" applyBorder="1" applyAlignment="1">
      <alignment horizontal="center" vertical="center" wrapText="1"/>
    </xf>
    <xf numFmtId="0" fontId="26" fillId="6" borderId="6" xfId="9" applyFont="1" applyFill="1" applyBorder="1" applyAlignment="1">
      <alignment horizontal="center" vertical="center" wrapText="1"/>
    </xf>
    <xf numFmtId="0" fontId="26" fillId="0" borderId="6" xfId="9" applyFont="1" applyBorder="1" applyAlignment="1">
      <alignment horizontal="justify" vertical="center" wrapText="1"/>
    </xf>
    <xf numFmtId="0" fontId="27" fillId="0" borderId="6" xfId="9" applyFont="1" applyBorder="1" applyAlignment="1">
      <alignment vertical="center" wrapText="1"/>
    </xf>
    <xf numFmtId="0" fontId="29" fillId="0" borderId="31" xfId="9" applyFont="1" applyBorder="1" applyAlignment="1">
      <alignment horizontal="center" vertical="center" wrapText="1"/>
    </xf>
    <xf numFmtId="0" fontId="26" fillId="6" borderId="32" xfId="9" applyFont="1" applyFill="1" applyBorder="1" applyAlignment="1">
      <alignment horizontal="center" vertical="center" wrapText="1"/>
    </xf>
    <xf numFmtId="0" fontId="26" fillId="0" borderId="32" xfId="9" applyFont="1" applyBorder="1" applyAlignment="1">
      <alignment horizontal="justify" vertical="center" wrapText="1"/>
    </xf>
    <xf numFmtId="0" fontId="28" fillId="7" borderId="26" xfId="9" applyFont="1" applyFill="1" applyBorder="1" applyAlignment="1">
      <alignment horizontal="center" vertical="center" wrapText="1"/>
    </xf>
    <xf numFmtId="0" fontId="28" fillId="4" borderId="25" xfId="9" applyFont="1" applyFill="1" applyBorder="1" applyAlignment="1">
      <alignment horizontal="center" vertical="center" wrapText="1"/>
    </xf>
    <xf numFmtId="0" fontId="28" fillId="7" borderId="25" xfId="9" applyFont="1" applyFill="1" applyBorder="1" applyAlignment="1">
      <alignment horizontal="justify" vertical="center" wrapText="1"/>
    </xf>
    <xf numFmtId="0" fontId="27" fillId="7" borderId="25" xfId="9" applyFont="1" applyFill="1" applyBorder="1" applyAlignment="1">
      <alignment vertical="center" wrapText="1"/>
    </xf>
    <xf numFmtId="0" fontId="28" fillId="0" borderId="1" xfId="9" applyFont="1" applyBorder="1" applyAlignment="1">
      <alignment horizontal="center" vertical="center" wrapText="1"/>
    </xf>
    <xf numFmtId="0" fontId="26" fillId="0" borderId="1" xfId="9" applyFont="1" applyBorder="1" applyAlignment="1">
      <alignment horizontal="justify" vertical="center"/>
    </xf>
    <xf numFmtId="0" fontId="0" fillId="0" borderId="5" xfId="0" applyBorder="1" applyAlignment="1">
      <alignment wrapText="1"/>
    </xf>
    <xf numFmtId="0" fontId="0" fillId="0" borderId="6" xfId="0" applyBorder="1" applyAlignment="1">
      <alignment wrapText="1"/>
    </xf>
    <xf numFmtId="0" fontId="28" fillId="4" borderId="29" xfId="9" applyFont="1" applyFill="1" applyBorder="1" applyAlignment="1">
      <alignment horizontal="center" vertical="center" wrapText="1"/>
    </xf>
    <xf numFmtId="0" fontId="0" fillId="4" borderId="28" xfId="0" applyFill="1" applyBorder="1"/>
    <xf numFmtId="0" fontId="0" fillId="4" borderId="28" xfId="0" applyFill="1" applyBorder="1" applyAlignment="1">
      <alignment wrapText="1"/>
    </xf>
    <xf numFmtId="0" fontId="0" fillId="9" borderId="32" xfId="0" applyFill="1" applyBorder="1"/>
    <xf numFmtId="0" fontId="0" fillId="9" borderId="32" xfId="0" applyFill="1" applyBorder="1" applyAlignment="1">
      <alignment wrapText="1"/>
    </xf>
    <xf numFmtId="0" fontId="28" fillId="9" borderId="31" xfId="9" applyFont="1" applyFill="1" applyBorder="1" applyAlignment="1">
      <alignment horizontal="center" vertical="center" wrapText="1"/>
    </xf>
    <xf numFmtId="9" fontId="0" fillId="0" borderId="33" xfId="2" applyFont="1" applyBorder="1" applyAlignment="1"/>
    <xf numFmtId="0" fontId="21" fillId="0" borderId="5" xfId="0" applyFont="1" applyBorder="1" applyAlignment="1">
      <alignment horizontal="left" vertical="center"/>
    </xf>
    <xf numFmtId="0" fontId="0" fillId="0" borderId="7" xfId="0" applyBorder="1" applyAlignment="1">
      <alignment horizontal="left" vertical="top" wrapText="1"/>
    </xf>
    <xf numFmtId="0" fontId="0" fillId="0" borderId="7" xfId="0" applyBorder="1" applyAlignment="1">
      <alignment horizontal="left" vertical="top"/>
    </xf>
    <xf numFmtId="0" fontId="0" fillId="0" borderId="10" xfId="0" applyBorder="1" applyAlignment="1">
      <alignment vertical="center"/>
    </xf>
    <xf numFmtId="0" fontId="19" fillId="0" borderId="1" xfId="0" applyFont="1" applyBorder="1" applyAlignment="1">
      <alignment horizontal="center" vertical="center" wrapText="1"/>
    </xf>
    <xf numFmtId="9" fontId="2" fillId="0" borderId="0" xfId="9" applyNumberFormat="1">
      <alignment vertical="center"/>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28" xfId="0" applyFont="1" applyFill="1" applyBorder="1" applyAlignment="1">
      <alignment horizontal="center" vertical="center" wrapText="1"/>
    </xf>
    <xf numFmtId="0" fontId="19" fillId="9" borderId="32" xfId="0" applyFont="1" applyFill="1" applyBorder="1" applyAlignment="1">
      <alignment horizontal="center" vertical="center" wrapText="1"/>
    </xf>
    <xf numFmtId="9" fontId="0" fillId="2" borderId="1" xfId="2" applyFont="1" applyFill="1" applyBorder="1" applyAlignment="1" applyProtection="1">
      <protection locked="0"/>
    </xf>
    <xf numFmtId="0" fontId="13" fillId="0" borderId="1" xfId="0" applyFont="1" applyBorder="1" applyAlignment="1">
      <alignment horizontal="center" vertical="center" shrinkToFit="1"/>
    </xf>
    <xf numFmtId="0" fontId="0" fillId="4" borderId="0" xfId="0" applyFill="1"/>
    <xf numFmtId="182" fontId="0" fillId="0" borderId="0" xfId="2" applyNumberFormat="1" applyFont="1" applyAlignment="1"/>
    <xf numFmtId="9" fontId="0" fillId="0" borderId="1" xfId="2" applyFont="1" applyBorder="1" applyAlignment="1">
      <alignment vertical="center"/>
    </xf>
    <xf numFmtId="38" fontId="0" fillId="0" borderId="1" xfId="1" applyFont="1" applyBorder="1" applyAlignment="1" applyProtection="1">
      <alignment vertical="center"/>
    </xf>
    <xf numFmtId="0" fontId="1" fillId="0" borderId="0" xfId="9" applyFont="1">
      <alignment vertical="center"/>
    </xf>
    <xf numFmtId="0" fontId="26" fillId="0" borderId="1" xfId="9" applyFont="1" applyBorder="1" applyAlignment="1" applyProtection="1">
      <alignment horizontal="center" vertical="center" wrapText="1"/>
      <protection locked="0"/>
    </xf>
    <xf numFmtId="1" fontId="0" fillId="0" borderId="1" xfId="0" applyNumberFormat="1" applyBorder="1" applyAlignment="1">
      <alignment horizontal="right"/>
    </xf>
    <xf numFmtId="0" fontId="0" fillId="0" borderId="0" xfId="0" applyAlignment="1">
      <alignment horizontal="left" vertical="center"/>
    </xf>
    <xf numFmtId="38" fontId="0" fillId="0" borderId="1" xfId="1" applyFont="1" applyBorder="1" applyAlignment="1" applyProtection="1">
      <alignment horizontal="right" shrinkToFit="1"/>
    </xf>
    <xf numFmtId="38" fontId="0" fillId="0" borderId="1" xfId="1" applyFont="1" applyBorder="1" applyAlignment="1" applyProtection="1">
      <alignment shrinkToFit="1"/>
    </xf>
    <xf numFmtId="0" fontId="0" fillId="0" borderId="1" xfId="0" applyBorder="1" applyAlignment="1">
      <alignment horizontal="center" shrinkToFit="1"/>
    </xf>
    <xf numFmtId="0" fontId="0" fillId="5" borderId="1" xfId="0" applyFill="1" applyBorder="1" applyAlignment="1" applyProtection="1">
      <alignment vertical="center" shrinkToFit="1"/>
      <protection locked="0"/>
    </xf>
    <xf numFmtId="9" fontId="0" fillId="2" borderId="1" xfId="0" applyNumberFormat="1" applyFill="1" applyBorder="1" applyAlignment="1" applyProtection="1">
      <alignment shrinkToFit="1"/>
      <protection locked="0"/>
    </xf>
    <xf numFmtId="0" fontId="0" fillId="0" borderId="0" xfId="0" applyAlignment="1">
      <alignment horizontal="left" vertical="top"/>
    </xf>
    <xf numFmtId="0" fontId="0" fillId="0" borderId="0" xfId="0" applyProtection="1">
      <protection locked="0"/>
    </xf>
    <xf numFmtId="0" fontId="0" fillId="0" borderId="0" xfId="0" applyAlignment="1" applyProtection="1">
      <alignment shrinkToFit="1"/>
      <protection locked="0"/>
    </xf>
    <xf numFmtId="0" fontId="24" fillId="0" borderId="0" xfId="0" applyFont="1"/>
    <xf numFmtId="0" fontId="0" fillId="10" borderId="1" xfId="0" applyFill="1" applyBorder="1" applyAlignment="1">
      <alignment horizontal="center" vertical="center"/>
    </xf>
    <xf numFmtId="9" fontId="0" fillId="10" borderId="1" xfId="2" applyFont="1" applyFill="1" applyBorder="1" applyAlignment="1">
      <alignment horizontal="center" vertical="center"/>
    </xf>
    <xf numFmtId="0" fontId="0" fillId="10" borderId="1" xfId="0" applyFill="1" applyBorder="1" applyAlignment="1">
      <alignment horizontal="center" vertical="center" wrapText="1"/>
    </xf>
    <xf numFmtId="0" fontId="0" fillId="10" borderId="1" xfId="0" applyFill="1" applyBorder="1" applyAlignment="1">
      <alignment horizontal="center"/>
    </xf>
    <xf numFmtId="0" fontId="0" fillId="0" borderId="1" xfId="0" applyBorder="1" applyAlignment="1">
      <alignment horizontal="center" vertical="top"/>
    </xf>
    <xf numFmtId="0" fontId="43" fillId="0" borderId="0" xfId="0" applyFont="1"/>
    <xf numFmtId="0" fontId="44" fillId="0" borderId="0" xfId="0" applyFont="1"/>
    <xf numFmtId="0" fontId="0" fillId="10" borderId="1" xfId="0" applyFill="1" applyBorder="1" applyAlignment="1">
      <alignment horizontal="centerContinuous"/>
    </xf>
    <xf numFmtId="0" fontId="17" fillId="10" borderId="1" xfId="0" applyFont="1" applyFill="1" applyBorder="1" applyAlignment="1">
      <alignment horizontal="left" vertical="top" wrapText="1"/>
    </xf>
    <xf numFmtId="0" fontId="17" fillId="10" borderId="1" xfId="0" applyFont="1" applyFill="1" applyBorder="1" applyAlignment="1">
      <alignment vertical="top" wrapText="1"/>
    </xf>
    <xf numFmtId="0" fontId="19" fillId="10" borderId="1" xfId="0" applyFont="1" applyFill="1" applyBorder="1" applyAlignment="1">
      <alignment horizontal="left" vertical="top" wrapText="1"/>
    </xf>
    <xf numFmtId="0" fontId="0" fillId="10" borderId="1" xfId="0" applyFill="1" applyBorder="1"/>
    <xf numFmtId="0" fontId="0" fillId="10" borderId="37" xfId="0" applyFill="1" applyBorder="1" applyAlignment="1">
      <alignment horizontal="center"/>
    </xf>
    <xf numFmtId="176" fontId="0" fillId="10" borderId="1" xfId="0" applyNumberFormat="1" applyFill="1" applyBorder="1" applyAlignment="1">
      <alignment horizontal="center"/>
    </xf>
    <xf numFmtId="0" fontId="0" fillId="10" borderId="1" xfId="0" applyFill="1" applyBorder="1" applyAlignment="1">
      <alignment horizontal="center" wrapText="1"/>
    </xf>
    <xf numFmtId="0" fontId="46" fillId="13" borderId="1" xfId="0" applyFont="1" applyFill="1" applyBorder="1"/>
    <xf numFmtId="176" fontId="46" fillId="13" borderId="1" xfId="0" applyNumberFormat="1" applyFont="1" applyFill="1" applyBorder="1" applyAlignment="1">
      <alignment horizontal="right"/>
    </xf>
    <xf numFmtId="0" fontId="46" fillId="13" borderId="1" xfId="0" applyFont="1" applyFill="1" applyBorder="1" applyAlignment="1">
      <alignment horizontal="right"/>
    </xf>
    <xf numFmtId="0" fontId="46" fillId="13" borderId="1" xfId="0" applyFont="1" applyFill="1" applyBorder="1" applyAlignment="1">
      <alignment horizontal="center"/>
    </xf>
    <xf numFmtId="38" fontId="46" fillId="0" borderId="1" xfId="1" applyFont="1" applyFill="1" applyBorder="1" applyAlignment="1">
      <alignment horizontal="right"/>
    </xf>
    <xf numFmtId="187" fontId="46" fillId="0" borderId="1" xfId="0" applyNumberFormat="1" applyFont="1" applyBorder="1" applyAlignment="1">
      <alignment horizontal="right" wrapText="1"/>
    </xf>
    <xf numFmtId="0" fontId="46" fillId="13" borderId="1" xfId="0" applyFont="1" applyFill="1" applyBorder="1" applyAlignment="1">
      <alignment horizontal="center" wrapText="1"/>
    </xf>
    <xf numFmtId="0" fontId="46" fillId="0" borderId="1" xfId="0" applyFont="1" applyBorder="1" applyAlignment="1">
      <alignment horizontal="right"/>
    </xf>
    <xf numFmtId="189" fontId="46" fillId="0" borderId="1" xfId="0" applyNumberFormat="1" applyFont="1" applyBorder="1" applyAlignment="1">
      <alignment horizontal="right" wrapText="1"/>
    </xf>
    <xf numFmtId="0" fontId="0" fillId="0" borderId="37" xfId="0" applyBorder="1" applyAlignment="1">
      <alignment horizontal="center"/>
    </xf>
    <xf numFmtId="0" fontId="0" fillId="0" borderId="37" xfId="0" applyBorder="1"/>
    <xf numFmtId="0" fontId="0" fillId="0" borderId="37" xfId="0" applyBorder="1" applyAlignment="1">
      <alignment horizontal="right"/>
    </xf>
    <xf numFmtId="38" fontId="0" fillId="0" borderId="37" xfId="1" applyFont="1" applyBorder="1" applyAlignment="1">
      <alignment horizontal="right"/>
    </xf>
    <xf numFmtId="38" fontId="0" fillId="0" borderId="1" xfId="1" applyFont="1" applyBorder="1" applyAlignment="1">
      <alignment horizontal="right"/>
    </xf>
    <xf numFmtId="187" fontId="0" fillId="0" borderId="1" xfId="0" applyNumberFormat="1" applyBorder="1" applyAlignment="1">
      <alignment horizontal="right"/>
    </xf>
    <xf numFmtId="0" fontId="0" fillId="0" borderId="37" xfId="0" applyBorder="1" applyAlignment="1">
      <alignment horizontal="center" wrapText="1"/>
    </xf>
    <xf numFmtId="38" fontId="45" fillId="0" borderId="37" xfId="1" applyFont="1" applyFill="1" applyBorder="1" applyAlignment="1">
      <alignment horizontal="center"/>
    </xf>
    <xf numFmtId="189" fontId="0" fillId="0" borderId="1" xfId="0" applyNumberFormat="1" applyBorder="1" applyAlignment="1">
      <alignment horizontal="right"/>
    </xf>
    <xf numFmtId="0" fontId="0" fillId="2" borderId="1" xfId="0" applyFill="1" applyBorder="1" applyAlignment="1" applyProtection="1">
      <alignment horizontal="right"/>
      <protection locked="0"/>
    </xf>
    <xf numFmtId="0" fontId="0" fillId="5" borderId="1" xfId="0" applyFill="1" applyBorder="1" applyAlignment="1" applyProtection="1">
      <alignment horizontal="center"/>
      <protection locked="0"/>
    </xf>
    <xf numFmtId="0" fontId="8" fillId="0" borderId="1" xfId="5" applyNumberFormat="1" applyFont="1" applyFill="1" applyBorder="1" applyAlignment="1" applyProtection="1">
      <alignment horizontal="center" vertical="center" wrapText="1" shrinkToFit="1"/>
    </xf>
    <xf numFmtId="181" fontId="6" fillId="0" borderId="1" xfId="5" applyNumberFormat="1" applyFont="1" applyFill="1" applyBorder="1" applyAlignment="1" applyProtection="1">
      <alignment horizontal="center" vertical="center" wrapText="1" shrinkToFit="1"/>
    </xf>
    <xf numFmtId="0" fontId="11" fillId="0" borderId="1" xfId="5" applyNumberFormat="1" applyFont="1" applyFill="1" applyBorder="1" applyAlignment="1" applyProtection="1">
      <alignment horizontal="center" vertical="center" wrapText="1" shrinkToFit="1"/>
    </xf>
    <xf numFmtId="0" fontId="0" fillId="0" borderId="0" xfId="0" applyAlignment="1">
      <alignment shrinkToFit="1"/>
    </xf>
    <xf numFmtId="0" fontId="0" fillId="10" borderId="1" xfId="0" applyFill="1" applyBorder="1" applyAlignment="1">
      <alignment shrinkToFit="1"/>
    </xf>
    <xf numFmtId="0" fontId="0" fillId="10" borderId="10" xfId="0" applyFill="1" applyBorder="1" applyAlignment="1">
      <alignment vertical="center"/>
    </xf>
    <xf numFmtId="0" fontId="0" fillId="10" borderId="8" xfId="0" applyFill="1" applyBorder="1" applyAlignment="1">
      <alignment vertical="center"/>
    </xf>
    <xf numFmtId="0" fontId="0" fillId="10" borderId="7" xfId="0" applyFill="1" applyBorder="1" applyAlignment="1">
      <alignment vertical="center"/>
    </xf>
    <xf numFmtId="0" fontId="0" fillId="10" borderId="3" xfId="0" applyFill="1" applyBorder="1"/>
    <xf numFmtId="0" fontId="0" fillId="10" borderId="10" xfId="0" applyFill="1" applyBorder="1"/>
    <xf numFmtId="0" fontId="0" fillId="10" borderId="7" xfId="0" applyFill="1" applyBorder="1"/>
    <xf numFmtId="0" fontId="0" fillId="10" borderId="27" xfId="0" applyFill="1" applyBorder="1"/>
    <xf numFmtId="0" fontId="0" fillId="10" borderId="34" xfId="0" applyFill="1" applyBorder="1"/>
    <xf numFmtId="0" fontId="0" fillId="10" borderId="36" xfId="0" applyFill="1" applyBorder="1"/>
    <xf numFmtId="0" fontId="0" fillId="10" borderId="2" xfId="0" applyFill="1" applyBorder="1"/>
    <xf numFmtId="0" fontId="0" fillId="10" borderId="0" xfId="0" applyFill="1"/>
    <xf numFmtId="0" fontId="0" fillId="10" borderId="1" xfId="0" applyFill="1" applyBorder="1" applyAlignment="1">
      <alignment horizontal="left" vertical="top" wrapText="1"/>
    </xf>
    <xf numFmtId="0" fontId="0" fillId="10" borderId="1" xfId="0" applyFill="1" applyBorder="1" applyAlignment="1">
      <alignment horizontal="left"/>
    </xf>
    <xf numFmtId="0" fontId="0" fillId="10" borderId="1" xfId="0" applyFill="1" applyBorder="1" applyAlignment="1">
      <alignment horizontal="right" wrapText="1"/>
    </xf>
    <xf numFmtId="0" fontId="45" fillId="13" borderId="1" xfId="0" applyFont="1" applyFill="1" applyBorder="1" applyAlignment="1">
      <alignment horizontal="left"/>
    </xf>
    <xf numFmtId="9" fontId="46" fillId="0" borderId="1" xfId="0" applyNumberFormat="1" applyFont="1" applyBorder="1" applyAlignment="1">
      <alignment horizontal="right"/>
    </xf>
    <xf numFmtId="190" fontId="46" fillId="13" borderId="1" xfId="0" applyNumberFormat="1" applyFont="1" applyFill="1" applyBorder="1" applyAlignment="1">
      <alignment horizontal="right"/>
    </xf>
    <xf numFmtId="191" fontId="46" fillId="13" borderId="1" xfId="0" applyNumberFormat="1" applyFont="1" applyFill="1" applyBorder="1" applyAlignment="1">
      <alignment horizontal="right"/>
    </xf>
    <xf numFmtId="38" fontId="46" fillId="13" borderId="1" xfId="1" applyFont="1" applyFill="1" applyBorder="1" applyAlignment="1" applyProtection="1">
      <alignment horizontal="right"/>
    </xf>
    <xf numFmtId="190" fontId="46" fillId="13" borderId="1" xfId="1" applyNumberFormat="1" applyFont="1" applyFill="1" applyBorder="1" applyAlignment="1" applyProtection="1">
      <alignment horizontal="right"/>
    </xf>
    <xf numFmtId="38" fontId="46" fillId="0" borderId="1" xfId="1" applyFont="1" applyFill="1" applyBorder="1" applyAlignment="1" applyProtection="1">
      <alignment horizontal="right"/>
    </xf>
    <xf numFmtId="190" fontId="0" fillId="0" borderId="1" xfId="0" applyNumberFormat="1" applyBorder="1" applyAlignment="1">
      <alignment horizontal="right"/>
    </xf>
    <xf numFmtId="9" fontId="0" fillId="0" borderId="1" xfId="2" applyFont="1" applyFill="1" applyBorder="1" applyAlignment="1" applyProtection="1"/>
    <xf numFmtId="190" fontId="0" fillId="2" borderId="1" xfId="1" applyNumberFormat="1" applyFont="1" applyFill="1" applyBorder="1" applyAlignment="1" applyProtection="1">
      <alignment horizontal="right"/>
      <protection locked="0"/>
    </xf>
    <xf numFmtId="38" fontId="0" fillId="0" borderId="1" xfId="1" applyFont="1" applyBorder="1" applyAlignment="1" applyProtection="1">
      <alignment horizontal="right"/>
    </xf>
    <xf numFmtId="38" fontId="0" fillId="0" borderId="1" xfId="1" applyFont="1" applyFill="1" applyBorder="1" applyAlignment="1" applyProtection="1"/>
    <xf numFmtId="190" fontId="0" fillId="2" borderId="1" xfId="1" applyNumberFormat="1" applyFont="1" applyFill="1" applyBorder="1" applyAlignment="1" applyProtection="1">
      <protection locked="0"/>
    </xf>
    <xf numFmtId="38" fontId="0" fillId="0" borderId="1" xfId="1" applyFont="1" applyFill="1" applyBorder="1" applyAlignment="1" applyProtection="1">
      <alignment horizontal="right"/>
    </xf>
    <xf numFmtId="187" fontId="0" fillId="0" borderId="1" xfId="0" applyNumberFormat="1" applyBorder="1"/>
    <xf numFmtId="9" fontId="0" fillId="0" borderId="1" xfId="2" applyFont="1" applyBorder="1" applyAlignment="1">
      <alignment horizontal="right"/>
    </xf>
    <xf numFmtId="0" fontId="0" fillId="10" borderId="1" xfId="0" applyFill="1" applyBorder="1" applyAlignment="1">
      <alignment vertical="center"/>
    </xf>
    <xf numFmtId="0" fontId="6" fillId="10" borderId="1" xfId="3" applyFill="1" applyBorder="1" applyAlignment="1">
      <alignment horizontal="center" vertical="center"/>
    </xf>
    <xf numFmtId="0" fontId="6" fillId="10" borderId="1" xfId="3" applyFill="1" applyBorder="1">
      <alignment vertical="center"/>
    </xf>
    <xf numFmtId="0" fontId="0" fillId="10" borderId="1" xfId="0" applyFill="1" applyBorder="1" applyAlignment="1">
      <alignment horizontal="right"/>
    </xf>
    <xf numFmtId="0" fontId="0" fillId="10" borderId="2" xfId="0" applyFill="1" applyBorder="1" applyAlignment="1">
      <alignment horizontal="center"/>
    </xf>
    <xf numFmtId="0" fontId="0" fillId="0" borderId="0" xfId="0" applyAlignment="1" applyProtection="1">
      <alignment vertical="center"/>
      <protection locked="0"/>
    </xf>
    <xf numFmtId="0" fontId="0" fillId="0" borderId="0" xfId="0" applyAlignment="1">
      <alignment horizontal="right"/>
    </xf>
    <xf numFmtId="0" fontId="0" fillId="10" borderId="2" xfId="0" applyFill="1" applyBorder="1" applyAlignment="1">
      <alignment vertical="center"/>
    </xf>
    <xf numFmtId="0" fontId="0" fillId="10" borderId="8" xfId="0" applyFill="1" applyBorder="1"/>
    <xf numFmtId="188" fontId="46" fillId="13" borderId="1" xfId="0" applyNumberFormat="1" applyFont="1" applyFill="1" applyBorder="1" applyAlignment="1">
      <alignment horizontal="right"/>
    </xf>
    <xf numFmtId="193" fontId="46" fillId="13" borderId="1" xfId="0" applyNumberFormat="1" applyFont="1" applyFill="1" applyBorder="1" applyAlignment="1">
      <alignment horizontal="right"/>
    </xf>
    <xf numFmtId="188" fontId="46" fillId="13" borderId="1" xfId="1" applyNumberFormat="1" applyFont="1" applyFill="1" applyBorder="1" applyAlignment="1" applyProtection="1">
      <alignment horizontal="right"/>
    </xf>
    <xf numFmtId="1" fontId="46" fillId="0" borderId="1" xfId="0" applyNumberFormat="1" applyFont="1" applyBorder="1" applyAlignment="1">
      <alignment horizontal="right"/>
    </xf>
    <xf numFmtId="194" fontId="46" fillId="13" borderId="1" xfId="0" applyNumberFormat="1" applyFont="1" applyFill="1" applyBorder="1" applyAlignment="1">
      <alignment horizontal="right"/>
    </xf>
    <xf numFmtId="187" fontId="46" fillId="0" borderId="1" xfId="0" applyNumberFormat="1" applyFont="1" applyBorder="1" applyAlignment="1">
      <alignment horizontal="right"/>
    </xf>
    <xf numFmtId="38" fontId="46" fillId="0" borderId="1" xfId="0" applyNumberFormat="1" applyFont="1" applyBorder="1" applyAlignment="1">
      <alignment horizontal="right"/>
    </xf>
    <xf numFmtId="195" fontId="46" fillId="0" borderId="1" xfId="0" applyNumberFormat="1" applyFont="1" applyBorder="1" applyAlignment="1">
      <alignment horizontal="right"/>
    </xf>
    <xf numFmtId="188" fontId="46" fillId="0" borderId="1" xfId="0" applyNumberFormat="1" applyFont="1" applyBorder="1" applyAlignment="1">
      <alignment horizontal="right" wrapText="1"/>
    </xf>
    <xf numFmtId="196" fontId="0" fillId="0" borderId="1" xfId="0" applyNumberFormat="1" applyBorder="1" applyAlignment="1">
      <alignment horizontal="right"/>
    </xf>
    <xf numFmtId="188" fontId="0" fillId="2" borderId="1" xfId="1" applyNumberFormat="1" applyFont="1" applyFill="1" applyBorder="1" applyAlignment="1" applyProtection="1">
      <protection locked="0"/>
    </xf>
    <xf numFmtId="196" fontId="0" fillId="0" borderId="1" xfId="1" applyNumberFormat="1" applyFont="1" applyBorder="1" applyAlignment="1" applyProtection="1"/>
    <xf numFmtId="196" fontId="0" fillId="0" borderId="1" xfId="0" applyNumberFormat="1" applyBorder="1"/>
    <xf numFmtId="0" fontId="0" fillId="10" borderId="3" xfId="0" applyFill="1" applyBorder="1" applyAlignment="1">
      <alignment horizontal="center"/>
    </xf>
    <xf numFmtId="0" fontId="17" fillId="10" borderId="1" xfId="0" applyFont="1" applyFill="1" applyBorder="1" applyAlignment="1">
      <alignment vertical="center" wrapText="1"/>
    </xf>
    <xf numFmtId="0" fontId="0" fillId="10" borderId="1" xfId="0" applyFill="1" applyBorder="1" applyAlignment="1">
      <alignment vertical="center" wrapText="1"/>
    </xf>
    <xf numFmtId="0" fontId="45" fillId="13" borderId="1" xfId="0" applyFont="1" applyFill="1" applyBorder="1"/>
    <xf numFmtId="0" fontId="45" fillId="13" borderId="1" xfId="0" applyFont="1" applyFill="1" applyBorder="1" applyAlignment="1">
      <alignment shrinkToFit="1"/>
    </xf>
    <xf numFmtId="0" fontId="45" fillId="0" borderId="1" xfId="0" applyFont="1" applyBorder="1"/>
    <xf numFmtId="9" fontId="45" fillId="0" borderId="1" xfId="0" applyNumberFormat="1" applyFont="1" applyBorder="1" applyAlignment="1">
      <alignment horizontal="center"/>
    </xf>
    <xf numFmtId="9" fontId="46" fillId="13" borderId="1" xfId="0" applyNumberFormat="1" applyFont="1" applyFill="1" applyBorder="1"/>
    <xf numFmtId="0" fontId="46" fillId="0" borderId="1" xfId="0" applyFont="1" applyBorder="1" applyAlignment="1">
      <alignment horizontal="left"/>
    </xf>
    <xf numFmtId="38" fontId="46" fillId="0" borderId="1" xfId="1" applyFont="1" applyFill="1" applyBorder="1" applyAlignment="1" applyProtection="1">
      <alignment horizontal="center" wrapText="1"/>
    </xf>
    <xf numFmtId="0" fontId="46" fillId="13" borderId="1" xfId="0" applyFont="1" applyFill="1" applyBorder="1" applyAlignment="1">
      <alignment horizontal="center" shrinkToFit="1"/>
    </xf>
    <xf numFmtId="0" fontId="46" fillId="0" borderId="1" xfId="0" applyFont="1" applyBorder="1"/>
    <xf numFmtId="0" fontId="46" fillId="0" borderId="1" xfId="0" applyFont="1" applyBorder="1" applyAlignment="1">
      <alignment horizontal="center"/>
    </xf>
    <xf numFmtId="0" fontId="47" fillId="0" borderId="1" xfId="0" applyFont="1" applyBorder="1"/>
    <xf numFmtId="0" fontId="0" fillId="10" borderId="1" xfId="0" applyFill="1" applyBorder="1" applyAlignment="1">
      <alignment horizontal="center" shrinkToFit="1"/>
    </xf>
    <xf numFmtId="0" fontId="0" fillId="0" borderId="37" xfId="0" applyBorder="1" applyAlignment="1">
      <alignment shrinkToFit="1"/>
    </xf>
    <xf numFmtId="0" fontId="0" fillId="0" borderId="37" xfId="0" applyBorder="1" applyAlignment="1">
      <alignment horizontal="center" shrinkToFit="1"/>
    </xf>
    <xf numFmtId="38" fontId="0" fillId="0" borderId="37" xfId="1" applyFont="1" applyBorder="1" applyAlignment="1" applyProtection="1">
      <alignment horizontal="right" shrinkToFit="1"/>
    </xf>
    <xf numFmtId="38" fontId="0" fillId="0" borderId="1" xfId="1" applyFont="1" applyBorder="1" applyAlignment="1" applyProtection="1">
      <alignment horizontal="center" shrinkToFit="1"/>
    </xf>
    <xf numFmtId="187" fontId="0" fillId="0" borderId="1" xfId="0" applyNumberFormat="1" applyBorder="1" applyAlignment="1">
      <alignment shrinkToFit="1"/>
    </xf>
    <xf numFmtId="0" fontId="0" fillId="0" borderId="0" xfId="0" applyAlignment="1" applyProtection="1">
      <alignment horizontal="center"/>
      <protection locked="0"/>
    </xf>
    <xf numFmtId="0" fontId="47" fillId="0" borderId="0" xfId="0" applyFont="1"/>
    <xf numFmtId="188" fontId="0" fillId="0" borderId="1" xfId="1" applyNumberFormat="1" applyFont="1" applyBorder="1" applyAlignment="1" applyProtection="1">
      <alignment horizontal="right"/>
    </xf>
    <xf numFmtId="0" fontId="0" fillId="10" borderId="7" xfId="0" applyFill="1" applyBorder="1" applyAlignment="1">
      <alignment horizontal="center"/>
    </xf>
    <xf numFmtId="0" fontId="0" fillId="10" borderId="1" xfId="0" applyFill="1" applyBorder="1" applyAlignment="1">
      <alignment horizontal="center" vertical="top" wrapText="1"/>
    </xf>
    <xf numFmtId="0" fontId="46" fillId="13" borderId="1" xfId="0" applyFont="1" applyFill="1" applyBorder="1" applyAlignment="1">
      <alignment shrinkToFit="1"/>
    </xf>
    <xf numFmtId="0" fontId="46" fillId="13" borderId="7" xfId="0" applyFont="1" applyFill="1" applyBorder="1"/>
    <xf numFmtId="182" fontId="46" fillId="0" borderId="1" xfId="0" applyNumberFormat="1" applyFont="1" applyBorder="1"/>
    <xf numFmtId="187" fontId="46" fillId="0" borderId="1" xfId="0" applyNumberFormat="1" applyFont="1" applyBorder="1"/>
    <xf numFmtId="9" fontId="46" fillId="0" borderId="1" xfId="0" applyNumberFormat="1" applyFont="1" applyBorder="1"/>
    <xf numFmtId="0" fontId="46" fillId="0" borderId="7" xfId="0" applyFont="1" applyBorder="1"/>
    <xf numFmtId="192" fontId="46" fillId="0" borderId="1" xfId="1" applyNumberFormat="1" applyFont="1" applyFill="1" applyBorder="1" applyAlignment="1" applyProtection="1">
      <alignment horizontal="right"/>
    </xf>
    <xf numFmtId="0" fontId="45" fillId="5" borderId="1" xfId="0" applyFont="1" applyFill="1" applyBorder="1" applyAlignment="1" applyProtection="1">
      <alignment horizontal="center"/>
      <protection locked="0"/>
    </xf>
    <xf numFmtId="9" fontId="0" fillId="0" borderId="1" xfId="2" applyFont="1" applyFill="1" applyBorder="1" applyAlignment="1"/>
    <xf numFmtId="192" fontId="0" fillId="0" borderId="1" xfId="1" applyNumberFormat="1" applyFont="1" applyBorder="1" applyAlignment="1"/>
    <xf numFmtId="0" fontId="46" fillId="5" borderId="1" xfId="0" applyFont="1" applyFill="1" applyBorder="1" applyAlignment="1" applyProtection="1">
      <alignment horizontal="center"/>
      <protection locked="0"/>
    </xf>
    <xf numFmtId="198" fontId="0" fillId="0" borderId="0" xfId="0" applyNumberFormat="1"/>
    <xf numFmtId="197" fontId="0" fillId="0" borderId="0" xfId="0" applyNumberFormat="1"/>
    <xf numFmtId="195" fontId="0" fillId="0" borderId="0" xfId="0" applyNumberFormat="1"/>
    <xf numFmtId="182" fontId="0" fillId="0" borderId="0" xfId="0" applyNumberFormat="1"/>
    <xf numFmtId="183" fontId="0" fillId="0" borderId="0" xfId="0" applyNumberFormat="1"/>
    <xf numFmtId="0" fontId="0" fillId="0" borderId="0" xfId="0" applyAlignment="1">
      <alignment horizontal="center" vertical="top"/>
    </xf>
    <xf numFmtId="0" fontId="45" fillId="13" borderId="1" xfId="0" applyFont="1" applyFill="1" applyBorder="1" applyAlignment="1">
      <alignment wrapText="1"/>
    </xf>
    <xf numFmtId="0" fontId="46" fillId="13" borderId="1" xfId="0" applyFont="1" applyFill="1" applyBorder="1" applyAlignment="1">
      <alignment horizontal="right" wrapText="1"/>
    </xf>
    <xf numFmtId="9" fontId="46" fillId="0" borderId="1" xfId="0" applyNumberFormat="1" applyFont="1" applyBorder="1" applyAlignment="1">
      <alignment horizontal="right" wrapText="1"/>
    </xf>
    <xf numFmtId="196" fontId="46" fillId="0" borderId="1" xfId="0" applyNumberFormat="1" applyFont="1" applyBorder="1" applyAlignment="1">
      <alignment horizontal="right" wrapText="1"/>
    </xf>
    <xf numFmtId="0" fontId="46" fillId="0" borderId="1" xfId="0" applyFont="1" applyBorder="1" applyAlignment="1">
      <alignment wrapText="1" shrinkToFit="1"/>
    </xf>
    <xf numFmtId="0" fontId="0" fillId="0" borderId="1" xfId="0" applyBorder="1" applyAlignment="1">
      <alignment horizontal="right" shrinkToFit="1"/>
    </xf>
    <xf numFmtId="0" fontId="45" fillId="0" borderId="0" xfId="0" applyFont="1"/>
    <xf numFmtId="0" fontId="0" fillId="10" borderId="1" xfId="0" applyFill="1" applyBorder="1" applyAlignment="1">
      <alignment horizontal="left" vertical="top"/>
    </xf>
    <xf numFmtId="0" fontId="0" fillId="13" borderId="1" xfId="0" applyFill="1" applyBorder="1"/>
    <xf numFmtId="0" fontId="39" fillId="13" borderId="1" xfId="0" applyFont="1" applyFill="1" applyBorder="1" applyAlignment="1">
      <alignment horizontal="center"/>
    </xf>
    <xf numFmtId="0" fontId="39" fillId="13" borderId="1" xfId="0" applyFont="1" applyFill="1" applyBorder="1" applyAlignment="1">
      <alignment horizontal="right"/>
    </xf>
    <xf numFmtId="38" fontId="39" fillId="13" borderId="1" xfId="1" applyFont="1" applyFill="1" applyBorder="1" applyAlignment="1" applyProtection="1">
      <alignment horizontal="right"/>
    </xf>
    <xf numFmtId="187" fontId="39" fillId="13" borderId="1" xfId="0" applyNumberFormat="1" applyFont="1" applyFill="1" applyBorder="1" applyAlignment="1">
      <alignment horizontal="right" wrapText="1"/>
    </xf>
    <xf numFmtId="0" fontId="39" fillId="13" borderId="1" xfId="0" applyFont="1" applyFill="1" applyBorder="1" applyAlignment="1">
      <alignment horizontal="center" wrapText="1"/>
    </xf>
    <xf numFmtId="0" fontId="39" fillId="13" borderId="1" xfId="0" applyFont="1" applyFill="1" applyBorder="1" applyAlignment="1" applyProtection="1">
      <alignment horizontal="right"/>
      <protection locked="0"/>
    </xf>
    <xf numFmtId="189" fontId="39" fillId="13" borderId="1" xfId="0" applyNumberFormat="1" applyFont="1" applyFill="1" applyBorder="1" applyAlignment="1">
      <alignment horizontal="right" wrapText="1"/>
    </xf>
    <xf numFmtId="0" fontId="25" fillId="14" borderId="0" xfId="0" applyFont="1" applyFill="1"/>
    <xf numFmtId="0" fontId="0" fillId="14" borderId="0" xfId="0" applyFill="1"/>
    <xf numFmtId="0" fontId="0" fillId="0" borderId="41" xfId="0" applyBorder="1"/>
    <xf numFmtId="0" fontId="0" fillId="0" borderId="42" xfId="0" applyBorder="1"/>
    <xf numFmtId="0" fontId="0" fillId="0" borderId="43" xfId="0" applyBorder="1"/>
    <xf numFmtId="0" fontId="0" fillId="0" borderId="44" xfId="0" applyBorder="1"/>
    <xf numFmtId="0" fontId="48" fillId="0" borderId="45" xfId="0" applyFont="1" applyBorder="1" applyAlignment="1">
      <alignment horizontal="center"/>
    </xf>
    <xf numFmtId="0" fontId="48" fillId="0" borderId="7"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5" fillId="15" borderId="0" xfId="0" applyFont="1" applyFill="1"/>
    <xf numFmtId="0" fontId="0" fillId="15" borderId="0" xfId="0" applyFill="1"/>
    <xf numFmtId="0" fontId="47" fillId="15" borderId="0" xfId="0" applyFont="1" applyFill="1"/>
    <xf numFmtId="0" fontId="39" fillId="15" borderId="0" xfId="0" applyFont="1" applyFill="1"/>
    <xf numFmtId="9" fontId="0" fillId="2" borderId="1" xfId="2" applyFont="1" applyFill="1" applyBorder="1" applyAlignment="1" applyProtection="1"/>
    <xf numFmtId="0" fontId="0" fillId="15" borderId="0" xfId="0" applyFill="1" applyAlignment="1">
      <alignment horizontal="center"/>
    </xf>
    <xf numFmtId="0" fontId="0" fillId="15" borderId="0" xfId="0" applyFill="1" applyAlignment="1">
      <alignment vertical="center"/>
    </xf>
    <xf numFmtId="0" fontId="0" fillId="15" borderId="0" xfId="0" applyFill="1" applyAlignment="1">
      <alignment shrinkToFit="1"/>
    </xf>
    <xf numFmtId="0" fontId="0" fillId="15" borderId="7" xfId="0" applyFill="1" applyBorder="1"/>
    <xf numFmtId="9" fontId="0" fillId="15" borderId="8" xfId="2" applyFont="1" applyFill="1" applyBorder="1" applyAlignment="1" applyProtection="1"/>
    <xf numFmtId="0" fontId="46" fillId="13" borderId="1" xfId="0" applyFont="1" applyFill="1" applyBorder="1" applyAlignment="1">
      <alignment horizontal="right" shrinkToFit="1"/>
    </xf>
    <xf numFmtId="9" fontId="46" fillId="0" borderId="1" xfId="0" applyNumberFormat="1" applyFont="1" applyBorder="1" applyAlignment="1">
      <alignment horizontal="right" shrinkToFit="1"/>
    </xf>
    <xf numFmtId="190" fontId="46" fillId="13" borderId="1" xfId="0" applyNumberFormat="1" applyFont="1" applyFill="1" applyBorder="1" applyAlignment="1">
      <alignment horizontal="right" shrinkToFit="1"/>
    </xf>
    <xf numFmtId="191" fontId="46" fillId="13" borderId="1" xfId="0" applyNumberFormat="1" applyFont="1" applyFill="1" applyBorder="1" applyAlignment="1">
      <alignment horizontal="right" shrinkToFit="1"/>
    </xf>
    <xf numFmtId="38" fontId="46" fillId="13" borderId="1" xfId="1" applyFont="1" applyFill="1" applyBorder="1" applyAlignment="1" applyProtection="1">
      <alignment horizontal="right" shrinkToFit="1"/>
    </xf>
    <xf numFmtId="190" fontId="46" fillId="13" borderId="1" xfId="1" applyNumberFormat="1" applyFont="1" applyFill="1" applyBorder="1" applyAlignment="1" applyProtection="1">
      <alignment horizontal="right" shrinkToFit="1"/>
    </xf>
    <xf numFmtId="38" fontId="46" fillId="0" borderId="1" xfId="1" applyFont="1" applyFill="1" applyBorder="1" applyAlignment="1" applyProtection="1">
      <alignment horizontal="right" shrinkToFit="1"/>
    </xf>
    <xf numFmtId="187" fontId="46" fillId="0" borderId="1" xfId="0" applyNumberFormat="1" applyFont="1" applyBorder="1" applyAlignment="1">
      <alignment horizontal="right" shrinkToFit="1"/>
    </xf>
    <xf numFmtId="0" fontId="0" fillId="0" borderId="45" xfId="0" applyBorder="1"/>
    <xf numFmtId="188" fontId="0" fillId="0" borderId="2" xfId="0" applyNumberFormat="1" applyBorder="1" applyAlignment="1">
      <alignment horizontal="left"/>
    </xf>
    <xf numFmtId="0" fontId="0" fillId="0" borderId="7" xfId="0" applyBorder="1" applyAlignment="1">
      <alignment horizontal="center"/>
    </xf>
    <xf numFmtId="0" fontId="0" fillId="0" borderId="44" xfId="0" applyBorder="1" applyAlignment="1">
      <alignment horizontal="center"/>
    </xf>
    <xf numFmtId="191" fontId="0" fillId="0" borderId="2" xfId="0" applyNumberFormat="1" applyBorder="1" applyAlignment="1">
      <alignment horizontal="left"/>
    </xf>
    <xf numFmtId="188" fontId="0" fillId="0" borderId="20" xfId="0" applyNumberFormat="1" applyBorder="1" applyAlignment="1">
      <alignment horizontal="left"/>
    </xf>
    <xf numFmtId="0" fontId="0" fillId="0" borderId="48" xfId="0" applyBorder="1"/>
    <xf numFmtId="0" fontId="0" fillId="0" borderId="49" xfId="0" applyBorder="1"/>
    <xf numFmtId="0" fontId="25" fillId="16" borderId="0" xfId="0" applyFont="1" applyFill="1"/>
    <xf numFmtId="0" fontId="0" fillId="16" borderId="0" xfId="0" applyFill="1"/>
    <xf numFmtId="199" fontId="0" fillId="0" borderId="2" xfId="0" applyNumberFormat="1" applyBorder="1" applyAlignment="1">
      <alignment horizontal="left"/>
    </xf>
    <xf numFmtId="0" fontId="25" fillId="2" borderId="0" xfId="0" applyFont="1" applyFill="1"/>
    <xf numFmtId="0" fontId="0" fillId="2" borderId="0" xfId="0" applyFill="1"/>
    <xf numFmtId="0" fontId="39" fillId="0" borderId="7" xfId="0" applyFont="1" applyBorder="1" applyAlignment="1">
      <alignment vertical="center"/>
    </xf>
    <xf numFmtId="0" fontId="0" fillId="0" borderId="7" xfId="0" applyBorder="1" applyAlignment="1">
      <alignment horizontal="left" vertical="center"/>
    </xf>
    <xf numFmtId="0" fontId="0" fillId="0" borderId="7" xfId="0" applyBorder="1" applyAlignment="1">
      <alignment vertical="center"/>
    </xf>
    <xf numFmtId="0" fontId="0" fillId="0" borderId="44" xfId="0" applyBorder="1" applyAlignment="1">
      <alignment vertical="center"/>
    </xf>
    <xf numFmtId="0" fontId="0" fillId="0" borderId="10" xfId="0" applyBorder="1"/>
    <xf numFmtId="188" fontId="0" fillId="0" borderId="3" xfId="0" applyNumberFormat="1" applyBorder="1" applyAlignment="1">
      <alignment horizontal="left"/>
    </xf>
    <xf numFmtId="0" fontId="0" fillId="0" borderId="7" xfId="0" applyBorder="1" applyAlignment="1">
      <alignment horizontal="center" vertical="center"/>
    </xf>
    <xf numFmtId="0" fontId="0" fillId="0" borderId="44" xfId="0" applyBorder="1" applyAlignment="1">
      <alignment horizontal="center" vertical="center"/>
    </xf>
    <xf numFmtId="0" fontId="0" fillId="0" borderId="27" xfId="0" applyBorder="1"/>
    <xf numFmtId="0" fontId="0" fillId="0" borderId="36" xfId="0" applyBorder="1"/>
    <xf numFmtId="199" fontId="0" fillId="0" borderId="3" xfId="0" applyNumberFormat="1" applyBorder="1" applyAlignment="1">
      <alignment horizontal="left"/>
    </xf>
    <xf numFmtId="0" fontId="46" fillId="13" borderId="1" xfId="0" applyFont="1" applyFill="1" applyBorder="1" applyAlignment="1">
      <alignment vertical="center" shrinkToFit="1"/>
    </xf>
    <xf numFmtId="0" fontId="25" fillId="13" borderId="0" xfId="0" applyFont="1" applyFill="1"/>
    <xf numFmtId="0" fontId="0" fillId="13" borderId="0" xfId="0" applyFill="1"/>
    <xf numFmtId="0" fontId="25" fillId="4" borderId="0" xfId="0" applyFont="1" applyFill="1"/>
    <xf numFmtId="0" fontId="19" fillId="10" borderId="1" xfId="0" applyFont="1" applyFill="1" applyBorder="1" applyAlignment="1">
      <alignment horizontal="left" vertical="top" shrinkToFit="1"/>
    </xf>
    <xf numFmtId="0" fontId="45" fillId="13" borderId="1" xfId="0" applyFont="1" applyFill="1" applyBorder="1" applyAlignment="1">
      <alignment vertical="center" wrapText="1"/>
    </xf>
    <xf numFmtId="0" fontId="46" fillId="13" borderId="1" xfId="0" applyFont="1" applyFill="1" applyBorder="1" applyAlignment="1">
      <alignment horizontal="right" vertical="center" wrapText="1"/>
    </xf>
    <xf numFmtId="9" fontId="46" fillId="0" borderId="1" xfId="0" applyNumberFormat="1" applyFont="1" applyBorder="1" applyAlignment="1">
      <alignment horizontal="right" vertical="center" wrapText="1"/>
    </xf>
    <xf numFmtId="1" fontId="46" fillId="0" borderId="1" xfId="0" applyNumberFormat="1" applyFont="1" applyBorder="1" applyAlignment="1">
      <alignment horizontal="right" vertical="center" wrapText="1"/>
    </xf>
    <xf numFmtId="187" fontId="46" fillId="0" borderId="1" xfId="0" applyNumberFormat="1" applyFont="1" applyBorder="1" applyAlignment="1">
      <alignment horizontal="right" vertical="center" wrapText="1"/>
    </xf>
    <xf numFmtId="0" fontId="46" fillId="0" borderId="1" xfId="0" applyFont="1" applyBorder="1" applyAlignment="1">
      <alignment horizontal="right" vertical="center" wrapText="1"/>
    </xf>
    <xf numFmtId="196" fontId="46" fillId="0" borderId="1" xfId="0" applyNumberFormat="1" applyFont="1" applyBorder="1" applyAlignment="1">
      <alignment horizontal="right" vertical="center" wrapText="1"/>
    </xf>
    <xf numFmtId="0" fontId="46" fillId="0" borderId="1" xfId="0" applyFont="1" applyBorder="1" applyAlignment="1">
      <alignment vertical="center" wrapText="1" shrinkToFit="1"/>
    </xf>
    <xf numFmtId="0" fontId="26" fillId="2" borderId="1" xfId="9" applyFont="1" applyFill="1" applyBorder="1" applyAlignment="1" applyProtection="1">
      <alignment horizontal="center" vertical="center" wrapText="1"/>
      <protection locked="0"/>
    </xf>
    <xf numFmtId="9" fontId="46" fillId="13" borderId="1" xfId="2" applyFont="1" applyFill="1" applyBorder="1" applyAlignment="1" applyProtection="1">
      <alignment horizontal="right"/>
    </xf>
    <xf numFmtId="177" fontId="0" fillId="0" borderId="1" xfId="5" applyNumberFormat="1" applyFont="1" applyFill="1" applyBorder="1" applyAlignment="1" applyProtection="1">
      <alignment vertical="center" shrinkToFit="1"/>
    </xf>
    <xf numFmtId="178" fontId="0" fillId="0" borderId="1" xfId="5" applyNumberFormat="1" applyFont="1" applyFill="1" applyBorder="1" applyAlignment="1" applyProtection="1">
      <alignment horizontal="right" vertical="center" shrinkToFit="1"/>
    </xf>
    <xf numFmtId="179" fontId="0" fillId="0" borderId="1" xfId="5" applyNumberFormat="1" applyFont="1" applyFill="1" applyBorder="1" applyAlignment="1" applyProtection="1">
      <alignment vertical="center" shrinkToFit="1"/>
    </xf>
    <xf numFmtId="0" fontId="0" fillId="0" borderId="1" xfId="0" applyBorder="1" applyAlignment="1">
      <alignment vertical="top" wrapText="1"/>
    </xf>
    <xf numFmtId="0" fontId="0" fillId="0" borderId="38" xfId="0" applyBorder="1" applyAlignment="1">
      <alignment vertical="top" wrapText="1"/>
    </xf>
    <xf numFmtId="0" fontId="17" fillId="4" borderId="28" xfId="0" applyFont="1" applyFill="1" applyBorder="1" applyAlignment="1">
      <alignment vertical="top" wrapText="1"/>
    </xf>
    <xf numFmtId="0" fontId="0" fillId="0" borderId="38" xfId="0" applyBorder="1" applyAlignment="1">
      <alignment wrapText="1"/>
    </xf>
    <xf numFmtId="0" fontId="0" fillId="9" borderId="32" xfId="0" applyFill="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38" fontId="0" fillId="0" borderId="1" xfId="1" applyFont="1" applyBorder="1" applyAlignment="1">
      <alignment vertical="center"/>
    </xf>
    <xf numFmtId="200" fontId="0" fillId="0" borderId="1" xfId="0" applyNumberFormat="1" applyBorder="1"/>
    <xf numFmtId="0" fontId="0" fillId="0" borderId="1" xfId="0" applyBorder="1" applyAlignment="1">
      <alignment vertical="center" shrinkToFit="1"/>
    </xf>
    <xf numFmtId="198" fontId="46" fillId="0" borderId="1" xfId="0" applyNumberFormat="1" applyFont="1" applyBorder="1" applyAlignment="1">
      <alignment horizontal="right" wrapText="1"/>
    </xf>
    <xf numFmtId="198" fontId="0" fillId="0" borderId="1" xfId="0" applyNumberFormat="1" applyBorder="1" applyAlignment="1">
      <alignment horizontal="right"/>
    </xf>
    <xf numFmtId="194" fontId="46" fillId="0" borderId="1" xfId="0" applyNumberFormat="1" applyFont="1" applyBorder="1" applyAlignment="1">
      <alignment horizontal="right" wrapText="1"/>
    </xf>
    <xf numFmtId="194" fontId="0" fillId="0" borderId="1" xfId="0" applyNumberFormat="1" applyBorder="1" applyAlignment="1">
      <alignment horizontal="right"/>
    </xf>
    <xf numFmtId="193" fontId="46" fillId="0" borderId="1" xfId="0" applyNumberFormat="1" applyFont="1" applyBorder="1" applyAlignment="1">
      <alignment horizontal="right" wrapText="1"/>
    </xf>
    <xf numFmtId="193" fontId="0" fillId="0" borderId="1" xfId="0" applyNumberFormat="1" applyBorder="1" applyAlignment="1">
      <alignment horizontal="right"/>
    </xf>
    <xf numFmtId="193" fontId="0" fillId="0" borderId="1" xfId="0" applyNumberFormat="1" applyBorder="1"/>
    <xf numFmtId="193" fontId="0" fillId="0" borderId="1" xfId="1" applyNumberFormat="1" applyFont="1" applyBorder="1" applyAlignment="1" applyProtection="1"/>
    <xf numFmtId="193" fontId="0" fillId="11" borderId="1" xfId="1" applyNumberFormat="1" applyFont="1" applyFill="1" applyBorder="1" applyAlignment="1" applyProtection="1">
      <alignment horizontal="right" vertical="center"/>
    </xf>
    <xf numFmtId="184" fontId="46" fillId="0" borderId="1" xfId="0" applyNumberFormat="1" applyFont="1" applyBorder="1" applyAlignment="1">
      <alignment horizontal="right" wrapText="1"/>
    </xf>
    <xf numFmtId="193" fontId="46" fillId="0" borderId="1" xfId="0" applyNumberFormat="1" applyFont="1" applyBorder="1" applyAlignment="1">
      <alignment horizontal="right"/>
    </xf>
    <xf numFmtId="193" fontId="0" fillId="0" borderId="1" xfId="1" applyNumberFormat="1" applyFont="1" applyBorder="1" applyAlignment="1" applyProtection="1">
      <alignment horizontal="right" shrinkToFit="1"/>
    </xf>
    <xf numFmtId="193" fontId="0" fillId="0" borderId="1" xfId="1" applyNumberFormat="1" applyFont="1" applyBorder="1" applyAlignment="1" applyProtection="1">
      <alignment shrinkToFit="1"/>
    </xf>
    <xf numFmtId="193" fontId="0" fillId="0" borderId="1" xfId="0" applyNumberFormat="1" applyBorder="1" applyAlignment="1">
      <alignment horizontal="right" shrinkToFit="1"/>
    </xf>
    <xf numFmtId="193" fontId="0" fillId="0" borderId="1" xfId="0" applyNumberFormat="1" applyBorder="1" applyAlignment="1">
      <alignment shrinkToFit="1"/>
    </xf>
    <xf numFmtId="193" fontId="0" fillId="0" borderId="1" xfId="0" applyNumberFormat="1" applyBorder="1" applyAlignment="1">
      <alignment vertical="center"/>
    </xf>
    <xf numFmtId="193" fontId="0" fillId="11" borderId="1" xfId="0" applyNumberFormat="1" applyFill="1" applyBorder="1" applyAlignment="1">
      <alignment horizontal="right" vertical="center" wrapText="1"/>
    </xf>
    <xf numFmtId="38" fontId="0" fillId="0" borderId="1" xfId="1" applyFont="1" applyBorder="1" applyAlignment="1">
      <alignment vertical="center" shrinkToFit="1"/>
    </xf>
    <xf numFmtId="0" fontId="0" fillId="2" borderId="1" xfId="0" applyFill="1" applyBorder="1" applyAlignment="1" applyProtection="1">
      <alignment wrapText="1" shrinkToFit="1"/>
      <protection locked="0"/>
    </xf>
    <xf numFmtId="2" fontId="0" fillId="2" borderId="1" xfId="0" applyNumberFormat="1" applyFill="1" applyBorder="1" applyAlignment="1" applyProtection="1">
      <alignment wrapText="1"/>
      <protection locked="0"/>
    </xf>
    <xf numFmtId="0" fontId="45" fillId="13" borderId="1" xfId="0" applyFont="1" applyFill="1" applyBorder="1" applyAlignment="1">
      <alignment horizontal="center"/>
    </xf>
    <xf numFmtId="38" fontId="0" fillId="0" borderId="37" xfId="1" applyFont="1" applyBorder="1" applyAlignment="1" applyProtection="1">
      <alignment horizontal="center" shrinkToFit="1"/>
    </xf>
    <xf numFmtId="197" fontId="0" fillId="5" borderId="1" xfId="0" applyNumberFormat="1" applyFill="1" applyBorder="1" applyProtection="1">
      <protection locked="0"/>
    </xf>
    <xf numFmtId="191" fontId="46" fillId="0" borderId="1" xfId="0" applyNumberFormat="1" applyFont="1" applyBorder="1" applyAlignment="1">
      <alignment horizontal="right" wrapText="1"/>
    </xf>
    <xf numFmtId="0" fontId="46" fillId="13" borderId="1" xfId="0" applyFont="1" applyFill="1" applyBorder="1" applyAlignment="1">
      <alignment wrapText="1"/>
    </xf>
    <xf numFmtId="0" fontId="0" fillId="0" borderId="37" xfId="0" applyBorder="1" applyAlignment="1">
      <alignment wrapText="1"/>
    </xf>
    <xf numFmtId="0" fontId="0" fillId="10" borderId="37" xfId="0" applyFill="1" applyBorder="1"/>
    <xf numFmtId="0" fontId="0" fillId="10" borderId="37" xfId="0" applyFill="1" applyBorder="1" applyAlignment="1">
      <alignment horizontal="center" wrapText="1"/>
    </xf>
    <xf numFmtId="201" fontId="0" fillId="0" borderId="1" xfId="0" applyNumberFormat="1" applyBorder="1"/>
    <xf numFmtId="201" fontId="46" fillId="0" borderId="1" xfId="0" applyNumberFormat="1" applyFont="1" applyBorder="1" applyAlignment="1">
      <alignment horizontal="right" wrapText="1"/>
    </xf>
    <xf numFmtId="201" fontId="0" fillId="0" borderId="1" xfId="0" applyNumberFormat="1" applyBorder="1" applyAlignment="1">
      <alignment horizontal="right"/>
    </xf>
    <xf numFmtId="201" fontId="0" fillId="0" borderId="37" xfId="0" applyNumberFormat="1" applyBorder="1" applyAlignment="1">
      <alignment horizontal="right"/>
    </xf>
    <xf numFmtId="201" fontId="46" fillId="13" borderId="1" xfId="0" applyNumberFormat="1" applyFont="1" applyFill="1" applyBorder="1" applyAlignment="1">
      <alignment horizontal="right" wrapText="1"/>
    </xf>
    <xf numFmtId="201" fontId="0" fillId="2" borderId="1" xfId="0" applyNumberFormat="1" applyFill="1" applyBorder="1" applyProtection="1">
      <protection locked="0"/>
    </xf>
    <xf numFmtId="202" fontId="46" fillId="13" borderId="1" xfId="0" applyNumberFormat="1" applyFont="1" applyFill="1" applyBorder="1" applyAlignment="1">
      <alignment horizontal="right" wrapText="1"/>
    </xf>
    <xf numFmtId="202" fontId="0" fillId="0" borderId="1" xfId="0" applyNumberFormat="1" applyBorder="1"/>
    <xf numFmtId="202" fontId="0" fillId="0" borderId="1" xfId="0" applyNumberFormat="1" applyBorder="1" applyAlignment="1">
      <alignment horizontal="right"/>
    </xf>
    <xf numFmtId="202" fontId="0" fillId="2" borderId="1" xfId="0" applyNumberFormat="1" applyFill="1" applyBorder="1" applyProtection="1">
      <protection locked="0"/>
    </xf>
    <xf numFmtId="202" fontId="0" fillId="2" borderId="1" xfId="0" applyNumberFormat="1" applyFill="1" applyBorder="1" applyAlignment="1" applyProtection="1">
      <alignment wrapText="1"/>
      <protection locked="0"/>
    </xf>
    <xf numFmtId="38" fontId="0" fillId="0" borderId="1" xfId="1" applyFont="1" applyBorder="1" applyAlignment="1">
      <alignment vertical="center" wrapText="1"/>
    </xf>
    <xf numFmtId="0" fontId="0" fillId="0" borderId="40" xfId="0" applyBorder="1"/>
    <xf numFmtId="0" fontId="0" fillId="5" borderId="1" xfId="0" applyFill="1" applyBorder="1" applyAlignment="1" applyProtection="1">
      <alignment horizontal="center" shrinkToFit="1"/>
      <protection locked="0"/>
    </xf>
    <xf numFmtId="0" fontId="46" fillId="13" borderId="1" xfId="0" applyFont="1" applyFill="1" applyBorder="1" applyAlignment="1" applyProtection="1">
      <alignment horizontal="center" shrinkToFit="1"/>
      <protection locked="0"/>
    </xf>
    <xf numFmtId="9" fontId="0" fillId="0" borderId="1" xfId="0" applyNumberFormat="1" applyBorder="1" applyAlignment="1">
      <alignment horizontal="center" shrinkToFit="1"/>
    </xf>
    <xf numFmtId="0" fontId="0" fillId="10" borderId="4" xfId="0" applyFill="1" applyBorder="1" applyAlignment="1">
      <alignment horizontal="left"/>
    </xf>
    <xf numFmtId="38" fontId="0" fillId="0" borderId="4" xfId="1" applyFont="1" applyBorder="1" applyAlignment="1" applyProtection="1">
      <alignment horizontal="right"/>
    </xf>
    <xf numFmtId="193" fontId="0" fillId="0" borderId="4" xfId="0" applyNumberFormat="1" applyBorder="1" applyAlignment="1">
      <alignment horizontal="right"/>
    </xf>
    <xf numFmtId="192" fontId="0" fillId="0" borderId="4" xfId="1" applyNumberFormat="1" applyFont="1" applyBorder="1" applyAlignment="1" applyProtection="1">
      <alignment horizontal="right"/>
    </xf>
    <xf numFmtId="191" fontId="0" fillId="0" borderId="4" xfId="0" applyNumberFormat="1" applyBorder="1" applyAlignment="1">
      <alignment horizontal="right"/>
    </xf>
    <xf numFmtId="182" fontId="0" fillId="0" borderId="1" xfId="0" applyNumberFormat="1" applyBorder="1"/>
    <xf numFmtId="186" fontId="0" fillId="0" borderId="1" xfId="0" applyNumberFormat="1" applyBorder="1"/>
    <xf numFmtId="191" fontId="0" fillId="0" borderId="1" xfId="0" applyNumberFormat="1" applyBorder="1"/>
    <xf numFmtId="188" fontId="0" fillId="0" borderId="1" xfId="0" applyNumberFormat="1" applyBorder="1" applyAlignment="1">
      <alignment horizontal="right"/>
    </xf>
    <xf numFmtId="38" fontId="0" fillId="0" borderId="37" xfId="1" applyFont="1" applyBorder="1" applyAlignment="1" applyProtection="1">
      <alignment horizontal="right"/>
    </xf>
    <xf numFmtId="184" fontId="0" fillId="0" borderId="1" xfId="0" applyNumberFormat="1" applyBorder="1" applyAlignment="1">
      <alignment horizontal="right"/>
    </xf>
    <xf numFmtId="38" fontId="0" fillId="0" borderId="37" xfId="1" applyFont="1" applyFill="1" applyBorder="1" applyAlignment="1" applyProtection="1">
      <alignment horizontal="right"/>
    </xf>
    <xf numFmtId="196" fontId="0" fillId="0" borderId="1" xfId="1" applyNumberFormat="1" applyFont="1" applyBorder="1" applyAlignment="1" applyProtection="1">
      <alignment horizontal="right"/>
    </xf>
    <xf numFmtId="188" fontId="0" fillId="2" borderId="1" xfId="0" applyNumberFormat="1" applyFill="1" applyBorder="1" applyProtection="1">
      <protection locked="0"/>
    </xf>
    <xf numFmtId="193" fontId="0" fillId="2" borderId="1" xfId="0" applyNumberFormat="1" applyFill="1" applyBorder="1" applyProtection="1">
      <protection locked="0"/>
    </xf>
    <xf numFmtId="1" fontId="0" fillId="0" borderId="1" xfId="0" applyNumberFormat="1" applyBorder="1"/>
    <xf numFmtId="194" fontId="0" fillId="2" borderId="1" xfId="0" applyNumberFormat="1" applyFill="1" applyBorder="1" applyProtection="1">
      <protection locked="0"/>
    </xf>
    <xf numFmtId="191" fontId="0" fillId="0" borderId="1" xfId="0" applyNumberFormat="1" applyBorder="1" applyAlignment="1">
      <alignment horizontal="right"/>
    </xf>
    <xf numFmtId="190" fontId="0" fillId="0" borderId="1" xfId="1" applyNumberFormat="1" applyFont="1" applyBorder="1" applyAlignment="1" applyProtection="1">
      <alignment horizontal="right"/>
    </xf>
    <xf numFmtId="190" fontId="0" fillId="2" borderId="1" xfId="0" applyNumberFormat="1" applyFill="1" applyBorder="1" applyProtection="1">
      <protection locked="0"/>
    </xf>
    <xf numFmtId="191" fontId="0" fillId="2" borderId="1" xfId="0" applyNumberFormat="1" applyFill="1" applyBorder="1" applyProtection="1">
      <protection locked="0"/>
    </xf>
    <xf numFmtId="0" fontId="45" fillId="12" borderId="1" xfId="0" applyFont="1" applyFill="1" applyBorder="1"/>
    <xf numFmtId="176" fontId="0" fillId="2" borderId="1" xfId="0" applyNumberFormat="1" applyFill="1" applyBorder="1" applyProtection="1">
      <protection locked="0"/>
    </xf>
    <xf numFmtId="197" fontId="0" fillId="2" borderId="1" xfId="0" applyNumberFormat="1" applyFill="1" applyBorder="1" applyProtection="1">
      <protection locked="0"/>
    </xf>
    <xf numFmtId="192" fontId="46" fillId="13" borderId="1" xfId="0" applyNumberFormat="1" applyFont="1" applyFill="1" applyBorder="1" applyAlignment="1">
      <alignment horizontal="right"/>
    </xf>
    <xf numFmtId="192" fontId="0" fillId="2" borderId="1" xfId="0" applyNumberFormat="1" applyFill="1" applyBorder="1" applyProtection="1">
      <protection locked="0"/>
    </xf>
    <xf numFmtId="201" fontId="46" fillId="13" borderId="1" xfId="0" applyNumberFormat="1" applyFont="1" applyFill="1" applyBorder="1" applyAlignment="1">
      <alignment horizontal="right"/>
    </xf>
    <xf numFmtId="201" fontId="0" fillId="0" borderId="37" xfId="1" applyNumberFormat="1" applyFont="1" applyBorder="1" applyAlignment="1" applyProtection="1">
      <alignment horizontal="right"/>
    </xf>
    <xf numFmtId="192" fontId="0" fillId="0" borderId="37" xfId="0" applyNumberFormat="1" applyBorder="1" applyAlignment="1">
      <alignment horizontal="right"/>
    </xf>
    <xf numFmtId="191" fontId="0" fillId="0" borderId="37" xfId="0" applyNumberFormat="1" applyBorder="1" applyAlignment="1">
      <alignment horizontal="right"/>
    </xf>
    <xf numFmtId="201" fontId="0" fillId="0" borderId="1" xfId="1" applyNumberFormat="1" applyFont="1" applyBorder="1" applyAlignment="1" applyProtection="1"/>
    <xf numFmtId="191" fontId="0" fillId="0" borderId="1" xfId="1" applyNumberFormat="1" applyFont="1" applyBorder="1" applyAlignment="1" applyProtection="1">
      <alignment shrinkToFit="1"/>
    </xf>
    <xf numFmtId="38" fontId="45" fillId="0" borderId="1" xfId="1" applyFont="1" applyFill="1" applyBorder="1" applyAlignment="1"/>
    <xf numFmtId="38" fontId="0" fillId="0" borderId="1" xfId="0" applyNumberFormat="1" applyBorder="1" applyAlignment="1">
      <alignment vertical="center" shrinkToFit="1"/>
    </xf>
    <xf numFmtId="184" fontId="0" fillId="0" borderId="1" xfId="0" applyNumberFormat="1" applyBorder="1" applyAlignment="1">
      <alignment vertical="center" shrinkToFit="1"/>
    </xf>
    <xf numFmtId="184" fontId="0" fillId="11" borderId="1" xfId="0" applyNumberFormat="1" applyFill="1" applyBorder="1" applyAlignment="1">
      <alignment vertical="center" shrinkToFit="1"/>
    </xf>
    <xf numFmtId="38" fontId="0" fillId="0" borderId="1" xfId="1" applyFont="1" applyBorder="1" applyAlignment="1" applyProtection="1">
      <alignment vertical="center" shrinkToFit="1"/>
    </xf>
    <xf numFmtId="184" fontId="0" fillId="0" borderId="1" xfId="1" applyNumberFormat="1" applyFont="1" applyBorder="1" applyAlignment="1" applyProtection="1">
      <alignment shrinkToFit="1"/>
    </xf>
    <xf numFmtId="184" fontId="0" fillId="11" borderId="1" xfId="1" applyNumberFormat="1" applyFont="1" applyFill="1" applyBorder="1" applyAlignment="1" applyProtection="1">
      <alignment vertical="center" shrinkToFit="1"/>
    </xf>
    <xf numFmtId="38" fontId="0" fillId="0" borderId="1" xfId="0" applyNumberFormat="1" applyBorder="1" applyAlignment="1">
      <alignment horizontal="right" vertical="center" shrinkToFit="1"/>
    </xf>
    <xf numFmtId="193" fontId="0" fillId="0" borderId="1" xfId="0" applyNumberFormat="1" applyBorder="1" applyAlignment="1">
      <alignment horizontal="right" vertical="center" shrinkToFit="1"/>
    </xf>
    <xf numFmtId="193" fontId="0" fillId="11" borderId="1" xfId="0" applyNumberFormat="1" applyFill="1" applyBorder="1" applyAlignment="1">
      <alignment horizontal="right" vertical="center" shrinkToFit="1"/>
    </xf>
    <xf numFmtId="193" fontId="0" fillId="11" borderId="1" xfId="1" applyNumberFormat="1" applyFont="1" applyFill="1" applyBorder="1" applyAlignment="1" applyProtection="1">
      <alignment horizontal="right" vertical="center" shrinkToFit="1"/>
    </xf>
    <xf numFmtId="192" fontId="0" fillId="0" borderId="1" xfId="1" applyNumberFormat="1" applyFont="1" applyBorder="1" applyAlignment="1" applyProtection="1">
      <alignment horizontal="right" vertical="center" shrinkToFit="1"/>
    </xf>
    <xf numFmtId="192" fontId="0" fillId="0" borderId="1" xfId="1" applyNumberFormat="1" applyFont="1" applyBorder="1" applyAlignment="1" applyProtection="1">
      <alignment shrinkToFit="1"/>
    </xf>
    <xf numFmtId="184" fontId="0" fillId="0" borderId="1" xfId="1" applyNumberFormat="1" applyFont="1" applyBorder="1" applyAlignment="1" applyProtection="1">
      <alignment horizontal="right" vertical="center" shrinkToFit="1"/>
    </xf>
    <xf numFmtId="184" fontId="0" fillId="11" borderId="1" xfId="1" applyNumberFormat="1" applyFont="1" applyFill="1" applyBorder="1" applyAlignment="1" applyProtection="1">
      <alignment horizontal="right" vertical="center" shrinkToFit="1"/>
    </xf>
    <xf numFmtId="193" fontId="0" fillId="0" borderId="1" xfId="0" applyNumberFormat="1" applyBorder="1" applyAlignment="1">
      <alignment vertical="center" shrinkToFit="1"/>
    </xf>
    <xf numFmtId="193" fontId="0" fillId="11" borderId="1" xfId="0" applyNumberFormat="1" applyFill="1" applyBorder="1" applyAlignment="1">
      <alignment vertical="center" shrinkToFit="1"/>
    </xf>
    <xf numFmtId="193" fontId="0" fillId="11" borderId="1" xfId="1" applyNumberFormat="1" applyFont="1" applyFill="1" applyBorder="1" applyAlignment="1" applyProtection="1">
      <alignment vertical="center" shrinkToFit="1"/>
    </xf>
    <xf numFmtId="192" fontId="0" fillId="0" borderId="1" xfId="1" applyNumberFormat="1" applyFont="1" applyBorder="1" applyAlignment="1">
      <alignment vertical="center" shrinkToFit="1"/>
    </xf>
    <xf numFmtId="191" fontId="0" fillId="0" borderId="1" xfId="0" applyNumberFormat="1" applyBorder="1" applyAlignment="1">
      <alignment vertical="center" shrinkToFit="1"/>
    </xf>
    <xf numFmtId="191" fontId="0" fillId="11" borderId="1" xfId="0" applyNumberFormat="1" applyFill="1" applyBorder="1" applyAlignment="1">
      <alignment vertical="center" shrinkToFit="1"/>
    </xf>
    <xf numFmtId="191" fontId="0" fillId="0" borderId="1" xfId="1" applyNumberFormat="1" applyFont="1" applyBorder="1" applyAlignment="1" applyProtection="1">
      <alignment vertical="center" shrinkToFit="1"/>
    </xf>
    <xf numFmtId="191" fontId="0" fillId="11" borderId="1" xfId="1" applyNumberFormat="1" applyFont="1" applyFill="1" applyBorder="1" applyAlignment="1" applyProtection="1">
      <alignment horizontal="right" vertical="center" shrinkToFit="1"/>
    </xf>
    <xf numFmtId="201" fontId="0" fillId="0" borderId="1" xfId="1" applyNumberFormat="1" applyFont="1" applyFill="1" applyBorder="1" applyAlignment="1" applyProtection="1">
      <alignment horizontal="right"/>
      <protection locked="0"/>
    </xf>
    <xf numFmtId="201" fontId="0" fillId="0" borderId="1" xfId="1" applyNumberFormat="1" applyFont="1" applyFill="1" applyBorder="1" applyAlignment="1" applyProtection="1">
      <protection locked="0"/>
    </xf>
    <xf numFmtId="201" fontId="0" fillId="0" borderId="1" xfId="0" applyNumberFormat="1" applyBorder="1" applyProtection="1">
      <protection locked="0"/>
    </xf>
    <xf numFmtId="38" fontId="0" fillId="0" borderId="37" xfId="1" applyFont="1" applyBorder="1" applyAlignment="1" applyProtection="1">
      <alignment horizontal="right"/>
      <protection locked="0"/>
    </xf>
    <xf numFmtId="201" fontId="0" fillId="0" borderId="37" xfId="1" applyNumberFormat="1" applyFont="1" applyBorder="1" applyAlignment="1" applyProtection="1">
      <alignment horizontal="right"/>
      <protection locked="0"/>
    </xf>
    <xf numFmtId="201" fontId="0" fillId="0" borderId="1" xfId="1" applyNumberFormat="1" applyFont="1" applyFill="1" applyBorder="1" applyAlignment="1" applyProtection="1"/>
    <xf numFmtId="193" fontId="0" fillId="0" borderId="1" xfId="1" applyNumberFormat="1" applyFont="1" applyBorder="1" applyAlignment="1">
      <alignment horizontal="right" vertical="center" shrinkToFit="1"/>
    </xf>
    <xf numFmtId="193" fontId="0" fillId="0" borderId="1" xfId="1" applyNumberFormat="1" applyFont="1" applyBorder="1" applyAlignment="1" applyProtection="1">
      <alignment horizontal="right" vertical="center" shrinkToFit="1"/>
    </xf>
    <xf numFmtId="201" fontId="0" fillId="0" borderId="1" xfId="0" applyNumberFormat="1" applyBorder="1" applyAlignment="1">
      <alignment horizontal="right" vertical="center" shrinkToFit="1"/>
    </xf>
    <xf numFmtId="201" fontId="0" fillId="0" borderId="1" xfId="1" applyNumberFormat="1" applyFont="1" applyBorder="1" applyAlignment="1">
      <alignment horizontal="right" vertical="center" shrinkToFit="1"/>
    </xf>
    <xf numFmtId="193" fontId="0" fillId="0" borderId="17" xfId="1" applyNumberFormat="1" applyFont="1" applyBorder="1" applyAlignment="1">
      <alignment horizontal="right" vertical="center" shrinkToFit="1"/>
    </xf>
    <xf numFmtId="193" fontId="0" fillId="0" borderId="17" xfId="0" applyNumberFormat="1" applyBorder="1" applyAlignment="1">
      <alignment horizontal="right" vertical="center" shrinkToFit="1"/>
    </xf>
    <xf numFmtId="0" fontId="0" fillId="10" borderId="11" xfId="0" applyFill="1" applyBorder="1"/>
    <xf numFmtId="0" fontId="0" fillId="10" borderId="12" xfId="0" applyFill="1" applyBorder="1" applyAlignment="1">
      <alignment horizontal="center" vertical="center"/>
    </xf>
    <xf numFmtId="9" fontId="0" fillId="10" borderId="13" xfId="2" applyFont="1" applyFill="1" applyBorder="1" applyAlignment="1">
      <alignment horizontal="center" vertical="center"/>
    </xf>
    <xf numFmtId="0" fontId="0" fillId="10" borderId="14" xfId="0" applyFill="1" applyBorder="1" applyAlignment="1">
      <alignment horizontal="left" vertical="top" wrapText="1"/>
    </xf>
    <xf numFmtId="0" fontId="0" fillId="10" borderId="14" xfId="0" applyFill="1" applyBorder="1"/>
    <xf numFmtId="0" fontId="0" fillId="10" borderId="35" xfId="0" applyFill="1" applyBorder="1"/>
    <xf numFmtId="0" fontId="0" fillId="10" borderId="16" xfId="0" applyFill="1" applyBorder="1"/>
    <xf numFmtId="0" fontId="0" fillId="10" borderId="17" xfId="0" applyFill="1" applyBorder="1" applyAlignment="1">
      <alignment horizontal="center" wrapText="1"/>
    </xf>
    <xf numFmtId="0" fontId="0" fillId="10" borderId="2" xfId="0" applyFill="1" applyBorder="1" applyAlignment="1">
      <alignment vertical="top" wrapText="1"/>
    </xf>
    <xf numFmtId="0" fontId="0" fillId="10" borderId="1" xfId="0" applyFill="1" applyBorder="1" applyAlignment="1">
      <alignment wrapText="1"/>
    </xf>
    <xf numFmtId="0" fontId="0" fillId="10" borderId="12" xfId="0" applyFill="1" applyBorder="1" applyAlignment="1">
      <alignment horizontal="center"/>
    </xf>
    <xf numFmtId="0" fontId="0" fillId="0" borderId="34" xfId="0" applyBorder="1" applyAlignment="1" applyProtection="1">
      <alignment horizontal="center"/>
      <protection locked="0"/>
    </xf>
    <xf numFmtId="184" fontId="0" fillId="10" borderId="1" xfId="0" applyNumberFormat="1" applyFill="1" applyBorder="1" applyAlignment="1">
      <alignment horizontal="center" vertical="center"/>
    </xf>
    <xf numFmtId="0" fontId="0" fillId="2" borderId="2" xfId="0" applyFill="1" applyBorder="1" applyAlignment="1" applyProtection="1">
      <alignment horizontal="center" shrinkToFit="1"/>
      <protection locked="0"/>
    </xf>
    <xf numFmtId="0" fontId="0" fillId="10" borderId="2" xfId="0" applyFill="1" applyBorder="1" applyAlignment="1">
      <alignment horizontal="centerContinuous"/>
    </xf>
    <xf numFmtId="0" fontId="0" fillId="10" borderId="3" xfId="0" applyFill="1" applyBorder="1" applyAlignment="1">
      <alignment horizontal="centerContinuous"/>
    </xf>
    <xf numFmtId="0" fontId="0" fillId="10" borderId="5" xfId="0" applyFill="1" applyBorder="1" applyAlignment="1">
      <alignment shrinkToFit="1"/>
    </xf>
    <xf numFmtId="0" fontId="0" fillId="10" borderId="11" xfId="0" applyFill="1" applyBorder="1" applyAlignment="1">
      <alignment shrinkToFit="1"/>
    </xf>
    <xf numFmtId="0" fontId="0" fillId="10" borderId="14" xfId="0" applyFill="1" applyBorder="1" applyAlignment="1">
      <alignment shrinkToFit="1"/>
    </xf>
    <xf numFmtId="201" fontId="46" fillId="0" borderId="1" xfId="1" applyNumberFormat="1" applyFont="1" applyFill="1" applyBorder="1" applyAlignment="1" applyProtection="1">
      <alignment horizontal="right"/>
    </xf>
    <xf numFmtId="38" fontId="46" fillId="0" borderId="1" xfId="1" applyFont="1" applyFill="1" applyBorder="1" applyAlignment="1" applyProtection="1">
      <alignment horizontal="right"/>
      <protection locked="0"/>
    </xf>
    <xf numFmtId="0" fontId="0" fillId="10" borderId="1" xfId="0" applyFill="1" applyBorder="1" applyAlignment="1">
      <alignment horizontal="left" indent="2"/>
    </xf>
    <xf numFmtId="0" fontId="0" fillId="10" borderId="5" xfId="0" applyFill="1" applyBorder="1" applyAlignment="1">
      <alignment horizontal="center"/>
    </xf>
    <xf numFmtId="0" fontId="0" fillId="10" borderId="17" xfId="0" applyFill="1" applyBorder="1" applyAlignment="1">
      <alignment horizontal="center"/>
    </xf>
    <xf numFmtId="0" fontId="0" fillId="0" borderId="1" xfId="0" applyBorder="1" applyAlignment="1" applyProtection="1">
      <alignment horizontal="center"/>
      <protection locked="0"/>
    </xf>
    <xf numFmtId="0" fontId="0" fillId="2" borderId="1" xfId="0" applyFill="1" applyBorder="1" applyAlignment="1" applyProtection="1">
      <alignment horizontal="center" shrinkToFit="1"/>
      <protection locked="0"/>
    </xf>
    <xf numFmtId="38" fontId="45" fillId="0" borderId="1" xfId="1" applyFont="1" applyFill="1" applyBorder="1" applyAlignment="1" applyProtection="1"/>
    <xf numFmtId="0" fontId="49" fillId="0" borderId="0" xfId="0" applyFont="1"/>
    <xf numFmtId="0" fontId="50" fillId="0" borderId="0" xfId="0" applyFont="1"/>
    <xf numFmtId="201" fontId="46" fillId="0" borderId="1" xfId="1" applyNumberFormat="1" applyFont="1" applyFill="1" applyBorder="1" applyAlignment="1" applyProtection="1">
      <alignment horizontal="right"/>
      <protection locked="0"/>
    </xf>
    <xf numFmtId="0" fontId="47" fillId="10" borderId="1" xfId="0" applyFont="1" applyFill="1" applyBorder="1"/>
    <xf numFmtId="0" fontId="7" fillId="0" borderId="0" xfId="3" applyFont="1" applyAlignment="1">
      <alignment vertical="top"/>
    </xf>
    <xf numFmtId="0" fontId="6" fillId="0" borderId="0" xfId="3">
      <alignment vertical="center"/>
    </xf>
    <xf numFmtId="0" fontId="9" fillId="4" borderId="1" xfId="3" applyFont="1" applyFill="1" applyBorder="1">
      <alignment vertical="center"/>
    </xf>
    <xf numFmtId="0" fontId="10" fillId="4" borderId="1" xfId="3" applyFont="1" applyFill="1" applyBorder="1" applyAlignment="1">
      <alignment vertical="center" wrapText="1" shrinkToFit="1"/>
    </xf>
    <xf numFmtId="0" fontId="9" fillId="4" borderId="1" xfId="3" applyFont="1" applyFill="1" applyBorder="1" applyAlignment="1">
      <alignment vertical="center" wrapText="1" shrinkToFit="1"/>
    </xf>
    <xf numFmtId="0" fontId="9" fillId="4" borderId="1" xfId="3" applyFont="1" applyFill="1" applyBorder="1" applyAlignment="1">
      <alignment vertical="center" shrinkToFit="1"/>
    </xf>
    <xf numFmtId="0" fontId="9" fillId="4" borderId="1" xfId="3" applyFont="1" applyFill="1" applyBorder="1" applyAlignment="1">
      <alignment horizontal="center" vertical="center" wrapText="1"/>
    </xf>
    <xf numFmtId="181" fontId="9" fillId="4" borderId="1" xfId="3" applyNumberFormat="1" applyFont="1" applyFill="1" applyBorder="1" applyAlignment="1">
      <alignment horizontal="center" vertical="center" wrapText="1"/>
    </xf>
    <xf numFmtId="0" fontId="6" fillId="0" borderId="1" xfId="3" applyBorder="1" applyAlignment="1">
      <alignment vertical="center" shrinkToFit="1"/>
    </xf>
    <xf numFmtId="0" fontId="6" fillId="0" borderId="1" xfId="3" applyBorder="1">
      <alignment vertical="center"/>
    </xf>
    <xf numFmtId="0" fontId="6" fillId="0" borderId="1" xfId="0" applyFont="1" applyBorder="1" applyAlignment="1">
      <alignment vertical="center" wrapText="1" shrinkToFit="1"/>
    </xf>
    <xf numFmtId="181" fontId="3" fillId="0" borderId="0" xfId="4" applyNumberFormat="1">
      <alignment vertical="center"/>
    </xf>
    <xf numFmtId="0" fontId="0" fillId="14" borderId="0" xfId="0" applyFill="1" applyAlignment="1">
      <alignment vertical="center"/>
    </xf>
    <xf numFmtId="0" fontId="0" fillId="0" borderId="1" xfId="0" applyBorder="1" applyAlignment="1">
      <alignment vertical="center" wrapText="1"/>
    </xf>
    <xf numFmtId="0" fontId="46" fillId="0" borderId="2" xfId="0" applyFont="1" applyBorder="1" applyAlignment="1">
      <alignment horizontal="center"/>
    </xf>
    <xf numFmtId="0" fontId="46" fillId="0" borderId="3" xfId="0" applyFont="1" applyBorder="1" applyAlignment="1">
      <alignment horizontal="center"/>
    </xf>
    <xf numFmtId="0" fontId="46" fillId="0" borderId="2" xfId="0" applyFont="1" applyBorder="1" applyAlignment="1">
      <alignment horizontal="center" shrinkToFit="1"/>
    </xf>
    <xf numFmtId="0" fontId="46" fillId="0" borderId="3" xfId="0" applyFont="1" applyBorder="1" applyAlignment="1">
      <alignment horizontal="center" shrinkToFit="1"/>
    </xf>
    <xf numFmtId="0" fontId="0" fillId="10" borderId="5"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2" xfId="0" applyFill="1" applyBorder="1" applyAlignment="1">
      <alignment horizontal="center" vertical="top" wrapText="1"/>
    </xf>
    <xf numFmtId="0" fontId="0" fillId="10" borderId="3" xfId="0" applyFill="1" applyBorder="1" applyAlignment="1">
      <alignment horizontal="center" vertical="top" wrapText="1"/>
    </xf>
    <xf numFmtId="0" fontId="0" fillId="10" borderId="2" xfId="0" applyFill="1" applyBorder="1" applyAlignment="1">
      <alignment horizontal="center"/>
    </xf>
    <xf numFmtId="0" fontId="0" fillId="10" borderId="3" xfId="0" applyFill="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xf>
    <xf numFmtId="0" fontId="39" fillId="0" borderId="7" xfId="0" applyFont="1"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0" fillId="10" borderId="6" xfId="0" applyFill="1" applyBorder="1" applyAlignment="1">
      <alignment horizontal="center" vertical="center" wrapText="1"/>
    </xf>
    <xf numFmtId="0" fontId="0" fillId="0" borderId="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15" borderId="0" xfId="0" applyFill="1" applyAlignment="1">
      <alignment horizontal="center"/>
    </xf>
    <xf numFmtId="0" fontId="0" fillId="10" borderId="7" xfId="0" applyFill="1" applyBorder="1" applyAlignment="1">
      <alignment horizontal="center"/>
    </xf>
    <xf numFmtId="0" fontId="0" fillId="0" borderId="2" xfId="0" applyBorder="1" applyAlignment="1">
      <alignment horizontal="center"/>
    </xf>
    <xf numFmtId="0" fontId="0" fillId="2" borderId="1" xfId="0" applyFill="1" applyBorder="1" applyAlignment="1" applyProtection="1">
      <alignment horizontal="center" shrinkToFit="1"/>
      <protection locked="0"/>
    </xf>
    <xf numFmtId="38" fontId="0" fillId="0" borderId="2" xfId="1" applyFont="1" applyBorder="1" applyAlignment="1" applyProtection="1">
      <alignment vertical="center" shrinkToFit="1"/>
    </xf>
    <xf numFmtId="38" fontId="0" fillId="0" borderId="3" xfId="1" applyFont="1" applyBorder="1" applyAlignment="1" applyProtection="1">
      <alignment vertical="center" shrinkToFit="1"/>
    </xf>
    <xf numFmtId="0" fontId="0" fillId="10" borderId="1" xfId="0" applyFill="1" applyBorder="1" applyAlignment="1">
      <alignment horizontal="center" vertical="top"/>
    </xf>
    <xf numFmtId="184" fontId="0" fillId="0" borderId="2" xfId="1" applyNumberFormat="1" applyFont="1" applyBorder="1" applyAlignment="1" applyProtection="1">
      <alignment shrinkToFit="1"/>
    </xf>
    <xf numFmtId="184" fontId="0" fillId="0" borderId="3" xfId="1" applyNumberFormat="1" applyFont="1" applyBorder="1" applyAlignment="1" applyProtection="1">
      <alignment shrinkToFit="1"/>
    </xf>
    <xf numFmtId="0" fontId="0" fillId="0" borderId="1" xfId="0" applyBorder="1" applyAlignment="1">
      <alignment horizontal="center" vertical="top"/>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2" xfId="0" applyFill="1" applyBorder="1" applyAlignment="1">
      <alignment horizontal="center" vertical="top"/>
    </xf>
    <xf numFmtId="0" fontId="0" fillId="10" borderId="7" xfId="0" applyFill="1" applyBorder="1" applyAlignment="1">
      <alignment horizontal="center" vertical="top"/>
    </xf>
    <xf numFmtId="0" fontId="0" fillId="10" borderId="3" xfId="0" applyFill="1" applyBorder="1" applyAlignment="1">
      <alignment horizontal="center" vertical="top"/>
    </xf>
    <xf numFmtId="38" fontId="0" fillId="0" borderId="2" xfId="0" applyNumberFormat="1" applyBorder="1" applyAlignment="1">
      <alignment vertical="center" shrinkToFit="1"/>
    </xf>
    <xf numFmtId="38" fontId="0" fillId="0" borderId="3" xfId="0" applyNumberFormat="1" applyBorder="1" applyAlignment="1">
      <alignment vertical="center" shrinkToFit="1"/>
    </xf>
    <xf numFmtId="0" fontId="0" fillId="2" borderId="2"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84" fontId="0" fillId="0" borderId="2" xfId="0" applyNumberFormat="1" applyBorder="1" applyAlignment="1">
      <alignment vertical="center" shrinkToFit="1"/>
    </xf>
    <xf numFmtId="184" fontId="0" fillId="0" borderId="3" xfId="0" applyNumberFormat="1" applyBorder="1" applyAlignment="1">
      <alignment vertical="center" shrinkToFi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2" xfId="0" applyFill="1" applyBorder="1" applyAlignment="1">
      <alignment horizontal="center" vertical="top" shrinkToFit="1"/>
    </xf>
    <xf numFmtId="0" fontId="0" fillId="10" borderId="3" xfId="0" applyFill="1" applyBorder="1" applyAlignment="1">
      <alignment horizontal="center" vertical="top" shrinkToFit="1"/>
    </xf>
    <xf numFmtId="0" fontId="0" fillId="10" borderId="10" xfId="0" applyFill="1" applyBorder="1" applyAlignment="1">
      <alignment horizontal="left" vertical="top"/>
    </xf>
    <xf numFmtId="0" fontId="0" fillId="10" borderId="9" xfId="0" applyFill="1" applyBorder="1" applyAlignment="1">
      <alignment horizontal="left" vertical="top"/>
    </xf>
    <xf numFmtId="0" fontId="0" fillId="10" borderId="27" xfId="0" applyFill="1" applyBorder="1" applyAlignment="1">
      <alignment horizontal="left" vertical="top"/>
    </xf>
    <xf numFmtId="0" fontId="0" fillId="10" borderId="36" xfId="0" applyFill="1" applyBorder="1" applyAlignment="1">
      <alignment horizontal="left" vertical="top"/>
    </xf>
    <xf numFmtId="0" fontId="0" fillId="10" borderId="1" xfId="0" applyFill="1" applyBorder="1" applyAlignment="1">
      <alignment horizontal="center"/>
    </xf>
    <xf numFmtId="0" fontId="0" fillId="10" borderId="2" xfId="0" applyFill="1" applyBorder="1" applyAlignment="1">
      <alignment horizontal="center" shrinkToFit="1"/>
    </xf>
    <xf numFmtId="0" fontId="0" fillId="10" borderId="3" xfId="0" applyFill="1" applyBorder="1" applyAlignment="1">
      <alignment horizont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10" borderId="27" xfId="0" applyFill="1" applyBorder="1" applyAlignment="1">
      <alignment horizontal="center" shrinkToFit="1"/>
    </xf>
    <xf numFmtId="0" fontId="0" fillId="10" borderId="36" xfId="0" applyFill="1" applyBorder="1" applyAlignment="1">
      <alignment horizontal="center" shrinkToFit="1"/>
    </xf>
    <xf numFmtId="0" fontId="0" fillId="10" borderId="34" xfId="0" applyFill="1" applyBorder="1" applyAlignment="1">
      <alignment horizontal="center" shrinkToFit="1"/>
    </xf>
    <xf numFmtId="0" fontId="0" fillId="10" borderId="8" xfId="0" applyFill="1" applyBorder="1" applyAlignment="1">
      <alignment horizontal="left" vertical="top"/>
    </xf>
    <xf numFmtId="0" fontId="0" fillId="10" borderId="34" xfId="0" applyFill="1" applyBorder="1" applyAlignment="1">
      <alignment horizontal="left" vertical="top"/>
    </xf>
    <xf numFmtId="0" fontId="0" fillId="0" borderId="1" xfId="0" applyBorder="1" applyAlignment="1">
      <alignment horizontal="right"/>
    </xf>
    <xf numFmtId="0" fontId="0" fillId="10" borderId="1" xfId="0" applyFill="1" applyBorder="1" applyAlignment="1">
      <alignment horizontal="center" vertical="center"/>
    </xf>
    <xf numFmtId="0" fontId="0" fillId="10" borderId="10" xfId="0" applyFill="1" applyBorder="1" applyAlignment="1">
      <alignment horizontal="center" vertical="center"/>
    </xf>
    <xf numFmtId="0" fontId="0" fillId="10" borderId="9" xfId="0" applyFill="1" applyBorder="1" applyAlignment="1">
      <alignment horizontal="center" vertical="center"/>
    </xf>
    <xf numFmtId="0" fontId="0" fillId="10" borderId="27" xfId="0" applyFill="1" applyBorder="1" applyAlignment="1">
      <alignment horizontal="center" vertical="center"/>
    </xf>
    <xf numFmtId="0" fontId="0" fillId="10" borderId="36" xfId="0" applyFill="1" applyBorder="1" applyAlignment="1">
      <alignment horizontal="center" vertical="center"/>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shrinkToFit="1"/>
    </xf>
    <xf numFmtId="0" fontId="0" fillId="0" borderId="3" xfId="0" applyBorder="1" applyAlignment="1">
      <alignment horizontal="center" shrinkToFit="1"/>
    </xf>
    <xf numFmtId="0" fontId="0" fillId="0" borderId="39" xfId="0" applyBorder="1" applyAlignment="1">
      <alignment horizontal="center"/>
    </xf>
    <xf numFmtId="0" fontId="0" fillId="0" borderId="40" xfId="0" applyBorder="1" applyAlignment="1">
      <alignment horizontal="center"/>
    </xf>
    <xf numFmtId="0" fontId="0" fillId="10" borderId="37" xfId="0" applyFill="1" applyBorder="1" applyAlignment="1">
      <alignment horizontal="center"/>
    </xf>
    <xf numFmtId="0" fontId="0" fillId="2" borderId="2"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0" fillId="2" borderId="3" xfId="0" applyFill="1" applyBorder="1" applyAlignment="1" applyProtection="1">
      <alignment horizontal="center" shrinkToFit="1"/>
      <protection locked="0"/>
    </xf>
    <xf numFmtId="0" fontId="0" fillId="0" borderId="1" xfId="0" applyBorder="1" applyAlignment="1">
      <alignment horizontal="center"/>
    </xf>
    <xf numFmtId="0" fontId="19" fillId="10" borderId="5" xfId="0" applyFont="1" applyFill="1" applyBorder="1" applyAlignment="1">
      <alignment horizontal="center" vertical="center" textRotation="255" shrinkToFit="1"/>
    </xf>
    <xf numFmtId="0" fontId="19" fillId="10" borderId="6" xfId="0" applyFont="1" applyFill="1" applyBorder="1" applyAlignment="1">
      <alignment horizontal="center" vertical="center" textRotation="255" shrinkToFit="1"/>
    </xf>
    <xf numFmtId="0" fontId="19" fillId="10" borderId="4" xfId="0" applyFont="1" applyFill="1" applyBorder="1" applyAlignment="1">
      <alignment horizontal="center" vertical="center" textRotation="255" shrinkToFit="1"/>
    </xf>
    <xf numFmtId="0" fontId="0" fillId="10" borderId="7" xfId="0" applyFill="1" applyBorder="1" applyAlignment="1">
      <alignment horizontal="center" vertical="center"/>
    </xf>
    <xf numFmtId="0" fontId="0" fillId="2" borderId="2"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26" fillId="0" borderId="27" xfId="9" applyFont="1" applyBorder="1" applyAlignment="1">
      <alignment horizontal="center" vertical="center" textRotation="255" wrapText="1"/>
    </xf>
    <xf numFmtId="0" fontId="26" fillId="0" borderId="1" xfId="9" applyFont="1" applyBorder="1" applyAlignment="1">
      <alignment horizontal="center" vertical="center" textRotation="255" wrapText="1"/>
    </xf>
    <xf numFmtId="0" fontId="2" fillId="0" borderId="0" xfId="9" applyAlignment="1">
      <alignment horizontal="left" vertical="center" wrapText="1"/>
    </xf>
    <xf numFmtId="0" fontId="36" fillId="0" borderId="0" xfId="9" applyFont="1" applyAlignment="1">
      <alignment horizontal="left" vertical="center"/>
    </xf>
    <xf numFmtId="0" fontId="36" fillId="0" borderId="0" xfId="9" applyFont="1" applyAlignment="1">
      <alignment horizontal="right" vertical="center" wrapText="1"/>
    </xf>
    <xf numFmtId="0" fontId="26" fillId="0" borderId="5" xfId="9" applyFont="1" applyBorder="1" applyAlignment="1">
      <alignment horizontal="center" vertical="center" textRotation="255" wrapText="1"/>
    </xf>
    <xf numFmtId="0" fontId="33" fillId="0" borderId="6" xfId="9" applyFont="1" applyBorder="1" applyAlignment="1">
      <alignment horizontal="center" vertical="center" textRotation="255" wrapText="1"/>
    </xf>
    <xf numFmtId="0" fontId="33" fillId="0" borderId="4" xfId="9" applyFont="1" applyBorder="1" applyAlignment="1">
      <alignment horizontal="center" vertical="center" textRotation="255" wrapText="1"/>
    </xf>
    <xf numFmtId="0" fontId="26" fillId="0" borderId="10" xfId="9" applyFont="1" applyBorder="1" applyAlignment="1">
      <alignment horizontal="center" vertical="center" textRotation="255" wrapText="1"/>
    </xf>
    <xf numFmtId="0" fontId="26" fillId="0" borderId="30" xfId="9" applyFont="1" applyBorder="1" applyAlignment="1">
      <alignment horizontal="center" vertical="center" textRotation="255" wrapText="1"/>
    </xf>
    <xf numFmtId="0" fontId="26" fillId="0" borderId="6" xfId="9" applyFont="1" applyBorder="1" applyAlignment="1">
      <alignment horizontal="center" vertical="center" textRotation="255" wrapText="1"/>
    </xf>
    <xf numFmtId="0" fontId="26" fillId="0" borderId="4" xfId="9" applyFont="1" applyBorder="1" applyAlignment="1">
      <alignment horizontal="center" vertical="center" textRotation="255" wrapText="1"/>
    </xf>
    <xf numFmtId="0" fontId="26" fillId="0" borderId="2" xfId="9" applyFont="1" applyBorder="1" applyAlignment="1">
      <alignment horizontal="center" vertical="center" textRotation="255" wrapText="1"/>
    </xf>
    <xf numFmtId="0" fontId="17" fillId="0" borderId="1" xfId="0" applyFont="1" applyBorder="1" applyAlignment="1">
      <alignment horizontal="left" vertical="top" wrapText="1"/>
    </xf>
    <xf numFmtId="0" fontId="0" fillId="0" borderId="1" xfId="0" applyBorder="1" applyAlignment="1">
      <alignment horizontal="left" vertical="top" wrapText="1"/>
    </xf>
    <xf numFmtId="0" fontId="20" fillId="0" borderId="2" xfId="0" applyFont="1" applyBorder="1" applyAlignment="1">
      <alignment horizontal="center"/>
    </xf>
    <xf numFmtId="0" fontId="20" fillId="0" borderId="3" xfId="0" applyFont="1" applyBorder="1" applyAlignment="1">
      <alignment horizontal="center"/>
    </xf>
    <xf numFmtId="0" fontId="0" fillId="0" borderId="1" xfId="0" applyBorder="1" applyAlignment="1">
      <alignment horizontal="center" vertical="top" wrapText="1"/>
    </xf>
    <xf numFmtId="38" fontId="0" fillId="0" borderId="1" xfId="1" applyFont="1" applyBorder="1" applyAlignment="1">
      <alignment vertical="center"/>
    </xf>
    <xf numFmtId="38" fontId="0" fillId="0" borderId="1" xfId="1" applyFont="1" applyBorder="1" applyAlignment="1">
      <alignment horizontal="center"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cellXfs>
  <cellStyles count="15">
    <cellStyle name="パーセント" xfId="2" builtinId="5"/>
    <cellStyle name="パーセント 2" xfId="7" xr:uid="{00000000-0005-0000-0000-000001000000}"/>
    <cellStyle name="パーセント 3" xfId="11" xr:uid="{00000000-0005-0000-0000-000002000000}"/>
    <cellStyle name="ハイパーリンク" xfId="8" builtinId="8"/>
    <cellStyle name="ハイパーリンク 2" xfId="12" xr:uid="{00000000-0005-0000-0000-000004000000}"/>
    <cellStyle name="桁区切り" xfId="1" builtinId="6"/>
    <cellStyle name="桁区切り 2" xfId="5" xr:uid="{00000000-0005-0000-0000-000006000000}"/>
    <cellStyle name="桁区切り 2 2" xfId="14" xr:uid="{00000000-0005-0000-0000-000007000000}"/>
    <cellStyle name="桁区切り 3" xfId="10" xr:uid="{00000000-0005-0000-0000-000008000000}"/>
    <cellStyle name="標準" xfId="0" builtinId="0"/>
    <cellStyle name="標準 2" xfId="3" xr:uid="{00000000-0005-0000-0000-00000A000000}"/>
    <cellStyle name="標準 3" xfId="9" xr:uid="{00000000-0005-0000-0000-00000B000000}"/>
    <cellStyle name="標準 3 2" xfId="13" xr:uid="{00000000-0005-0000-0000-00000C000000}"/>
    <cellStyle name="標準 5 8" xfId="4" xr:uid="{00000000-0005-0000-0000-00000D000000}"/>
    <cellStyle name="標準 7" xfId="6" xr:uid="{00000000-0005-0000-0000-00000E000000}"/>
  </cellStyles>
  <dxfs count="109">
    <dxf>
      <fill>
        <patternFill>
          <bgColor theme="4" tint="0.79998168889431442"/>
        </patternFill>
      </fill>
    </dxf>
    <dxf>
      <fill>
        <patternFill>
          <bgColor theme="5" tint="0.79998168889431442"/>
        </patternFill>
      </fill>
    </dxf>
    <dxf>
      <fill>
        <patternFill>
          <bgColor rgb="FFFFFF00"/>
        </patternFill>
      </fill>
    </dxf>
    <dxf>
      <fill>
        <patternFill>
          <bgColor rgb="FFFF0000"/>
        </patternFill>
      </fill>
    </dxf>
    <dxf>
      <fill>
        <patternFill>
          <bgColor rgb="FFFF00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FF9696"/>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ont>
        <color auto="1"/>
      </font>
      <fill>
        <patternFill>
          <bgColor rgb="FFFF9696"/>
        </patternFill>
      </fill>
    </dxf>
    <dxf>
      <fill>
        <patternFill patternType="none">
          <bgColor auto="1"/>
        </patternFill>
      </fill>
    </dxf>
    <dxf>
      <fill>
        <patternFill>
          <bgColor rgb="FFFF4B4B"/>
        </patternFill>
      </fill>
    </dxf>
    <dxf>
      <fill>
        <patternFill patternType="none">
          <bgColor auto="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主要エネルギー</a:t>
            </a:r>
            <a:r>
              <a:rPr lang="en-US" altLang="ja-JP" sz="1400" b="0" i="0" u="none" strike="noStrike" baseline="0">
                <a:effectLst/>
              </a:rPr>
              <a:t>CO2</a:t>
            </a:r>
            <a:r>
              <a:rPr lang="ja-JP" altLang="ja-JP" sz="1400" b="0" i="0" u="none" strike="noStrike" baseline="0">
                <a:effectLst/>
              </a:rPr>
              <a:t>排出量</a:t>
            </a:r>
            <a:r>
              <a:rPr lang="ja-JP" altLang="en-US"/>
              <a:t>構成比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EF9-4F45-A0B3-5D6B57F4F7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EF9-4F45-A0B3-5D6B57F4F7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EF9-4F45-A0B3-5D6B57F4F7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EF9-4F45-A0B3-5D6B57F4F7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EF9-4F45-A0B3-5D6B57F4F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診断結果【使用量】!$B$14:$B$18</c:f>
              <c:strCache>
                <c:ptCount val="3"/>
                <c:pt idx="0">
                  <c:v>電気</c:v>
                </c:pt>
                <c:pt idx="1">
                  <c:v>都市ガス</c:v>
                </c:pt>
                <c:pt idx="2">
                  <c:v>液化石油ガス（LPG）</c:v>
                </c:pt>
              </c:strCache>
            </c:strRef>
          </c:cat>
          <c:val>
            <c:numRef>
              <c:f>診断結果【使用量】!$E$14:$E$18</c:f>
              <c:numCache>
                <c:formatCode>0.00_);[Red]\(0.00\)</c:formatCode>
                <c:ptCount val="5"/>
                <c:pt idx="0">
                  <c:v>0</c:v>
                </c:pt>
                <c:pt idx="1">
                  <c:v>0</c:v>
                </c:pt>
                <c:pt idx="2">
                  <c:v>0</c:v>
                </c:pt>
                <c:pt idx="3">
                  <c:v>0</c:v>
                </c:pt>
                <c:pt idx="4">
                  <c:v>0</c:v>
                </c:pt>
              </c:numCache>
            </c:numRef>
          </c:val>
          <c:extLst>
            <c:ext xmlns:c16="http://schemas.microsoft.com/office/drawing/2014/chart" uri="{C3380CC4-5D6E-409C-BE32-E72D297353CC}">
              <c16:uniqueId val="{00000000-3D91-42E0-A2D7-86F2AE1D06E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月別</a:t>
            </a:r>
            <a:r>
              <a:rPr lang="en-US" altLang="ja-JP"/>
              <a:t>CO2</a:t>
            </a:r>
            <a:r>
              <a:rPr lang="ja-JP" altLang="en-US"/>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診断結果【使用量】!$L$41:$L$52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D72-4BF4-8B20-885B63D22F5E}"/>
            </c:ext>
          </c:extLst>
        </c:ser>
        <c:dLbls>
          <c:showLegendKey val="0"/>
          <c:showVal val="0"/>
          <c:showCatName val="0"/>
          <c:showSerName val="0"/>
          <c:showPercent val="0"/>
          <c:showBubbleSize val="0"/>
        </c:dLbls>
        <c:smooth val="0"/>
        <c:axId val="708012975"/>
        <c:axId val="526273327"/>
      </c:lineChart>
      <c:catAx>
        <c:axId val="708012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6273327"/>
        <c:crosses val="autoZero"/>
        <c:auto val="1"/>
        <c:lblAlgn val="ctr"/>
        <c:lblOffset val="100"/>
        <c:noMultiLvlLbl val="0"/>
      </c:catAx>
      <c:valAx>
        <c:axId val="526273327"/>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80129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月別</a:t>
            </a:r>
            <a:r>
              <a:rPr lang="en-US" altLang="ja-JP"/>
              <a:t>CO2</a:t>
            </a:r>
            <a:r>
              <a:rPr lang="ja-JP" altLang="en-US"/>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診断結果【使用量】!$N$40</c:f>
              <c:strCache>
                <c:ptCount val="1"/>
                <c:pt idx="0">
                  <c:v>電気
tCO2</c:v>
                </c:pt>
              </c:strCache>
            </c:strRef>
          </c:tx>
          <c:spPr>
            <a:ln w="28575" cap="rnd">
              <a:solidFill>
                <a:schemeClr val="accent1"/>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診断結果【使用量】!$N$41:$N$52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70E-4D89-8487-BBFBF51C27C0}"/>
            </c:ext>
          </c:extLst>
        </c:ser>
        <c:ser>
          <c:idx val="1"/>
          <c:order val="1"/>
          <c:tx>
            <c:strRef>
              <c:f>診断結果【使用量】!$O$40</c:f>
              <c:strCache>
                <c:ptCount val="1"/>
                <c:pt idx="0">
                  <c:v>都市ガス
tCO2</c:v>
                </c:pt>
              </c:strCache>
            </c:strRef>
          </c:tx>
          <c:spPr>
            <a:ln w="28575" cap="rnd">
              <a:solidFill>
                <a:schemeClr val="accent2"/>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診断結果【使用量】!$O$41:$O$52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770E-4D89-8487-BBFBF51C27C0}"/>
            </c:ext>
          </c:extLst>
        </c:ser>
        <c:ser>
          <c:idx val="2"/>
          <c:order val="2"/>
          <c:tx>
            <c:strRef>
              <c:f>診断結果【使用量】!$P$40</c:f>
              <c:strCache>
                <c:ptCount val="1"/>
                <c:pt idx="0">
                  <c:v>液化石油ガス（LPG）
tCO2</c:v>
                </c:pt>
              </c:strCache>
            </c:strRef>
          </c:tx>
          <c:spPr>
            <a:ln w="28575" cap="rnd">
              <a:solidFill>
                <a:schemeClr val="accent3"/>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診断結果【使用量】!$P$41:$P$52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770E-4D89-8487-BBFBF51C27C0}"/>
            </c:ext>
          </c:extLst>
        </c:ser>
        <c:ser>
          <c:idx val="3"/>
          <c:order val="3"/>
          <c:tx>
            <c:strRef>
              <c:f>診断結果【使用量】!$Q$40</c:f>
              <c:strCache>
                <c:ptCount val="1"/>
                <c:pt idx="0">
                  <c:v>
tCO2</c:v>
                </c:pt>
              </c:strCache>
            </c:strRef>
          </c:tx>
          <c:spPr>
            <a:ln w="28575" cap="rnd">
              <a:solidFill>
                <a:schemeClr val="accent4"/>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診断結果【使用量】!$Q$41:$Q$52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B-770E-4D89-8487-BBFBF51C27C0}"/>
            </c:ext>
          </c:extLst>
        </c:ser>
        <c:ser>
          <c:idx val="4"/>
          <c:order val="4"/>
          <c:tx>
            <c:strRef>
              <c:f>診断結果【使用量】!$R$40</c:f>
              <c:strCache>
                <c:ptCount val="1"/>
                <c:pt idx="0">
                  <c:v>
tCO2</c:v>
                </c:pt>
              </c:strCache>
            </c:strRef>
          </c:tx>
          <c:spPr>
            <a:ln w="28575" cap="rnd">
              <a:solidFill>
                <a:schemeClr val="accent5"/>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診断結果【使用量】!$R$41:$R$52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770E-4D89-8487-BBFBF51C27C0}"/>
            </c:ext>
          </c:extLst>
        </c:ser>
        <c:dLbls>
          <c:showLegendKey val="0"/>
          <c:showVal val="0"/>
          <c:showCatName val="0"/>
          <c:showSerName val="0"/>
          <c:showPercent val="0"/>
          <c:showBubbleSize val="0"/>
        </c:dLbls>
        <c:smooth val="0"/>
        <c:axId val="708012975"/>
        <c:axId val="526273327"/>
      </c:lineChart>
      <c:catAx>
        <c:axId val="708012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6273327"/>
        <c:crosses val="autoZero"/>
        <c:auto val="1"/>
        <c:lblAlgn val="ctr"/>
        <c:lblOffset val="100"/>
        <c:noMultiLvlLbl val="0"/>
      </c:catAx>
      <c:valAx>
        <c:axId val="526273327"/>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8012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主要設備または主要工程別のエネルギー割合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30-4F56-8A6C-8BBCA786C5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30-4F56-8A6C-8BBCA786C5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30-4F56-8A6C-8BBCA786C5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30-4F56-8A6C-8BBCA786C5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730-4F56-8A6C-8BBCA786C5B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30-4F56-8A6C-8BBCA786C5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診断結果【使用量】!$L$70:$Q$70</c:f>
              <c:strCache>
                <c:ptCount val="6"/>
                <c:pt idx="5">
                  <c:v>その他</c:v>
                </c:pt>
              </c:strCache>
            </c:strRef>
          </c:cat>
          <c:val>
            <c:numRef>
              <c:f>診断結果【使用量】!$L$77:$Q$77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51-4396-9390-FB084DF6758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1864360</xdr:colOff>
      <xdr:row>33</xdr:row>
      <xdr:rowOff>97155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60400" y="2882900"/>
          <a:ext cx="5509260" cy="5364480"/>
        </a:xfrm>
        <a:prstGeom prst="rect">
          <a:avLst/>
        </a:prstGeom>
      </xdr:spPr>
    </xdr:pic>
    <xdr:clientData/>
  </xdr:twoCellAnchor>
  <xdr:twoCellAnchor editAs="oneCell">
    <xdr:from>
      <xdr:col>4</xdr:col>
      <xdr:colOff>0</xdr:colOff>
      <xdr:row>10</xdr:row>
      <xdr:rowOff>0</xdr:rowOff>
    </xdr:from>
    <xdr:to>
      <xdr:col>12</xdr:col>
      <xdr:colOff>49571</xdr:colOff>
      <xdr:row>26</xdr:row>
      <xdr:rowOff>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851650" y="2882900"/>
          <a:ext cx="5325151" cy="3657600"/>
        </a:xfrm>
        <a:prstGeom prst="rect">
          <a:avLst/>
        </a:prstGeom>
      </xdr:spPr>
    </xdr:pic>
    <xdr:clientData/>
  </xdr:twoCellAnchor>
  <xdr:twoCellAnchor editAs="oneCell">
    <xdr:from>
      <xdr:col>13</xdr:col>
      <xdr:colOff>0</xdr:colOff>
      <xdr:row>10</xdr:row>
      <xdr:rowOff>0</xdr:rowOff>
    </xdr:from>
    <xdr:to>
      <xdr:col>18</xdr:col>
      <xdr:colOff>553720</xdr:colOff>
      <xdr:row>41</xdr:row>
      <xdr:rowOff>20955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795250" y="2882900"/>
          <a:ext cx="3855720" cy="71170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404190</xdr:colOff>
      <xdr:row>19</xdr:row>
      <xdr:rowOff>118110</xdr:rowOff>
    </xdr:from>
    <xdr:to>
      <xdr:col>7</xdr:col>
      <xdr:colOff>523460</xdr:colOff>
      <xdr:row>33</xdr:row>
      <xdr:rowOff>19878</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125730</xdr:colOff>
      <xdr:row>39</xdr:row>
      <xdr:rowOff>87630</xdr:rowOff>
    </xdr:from>
    <xdr:to>
      <xdr:col>8</xdr:col>
      <xdr:colOff>404192</xdr:colOff>
      <xdr:row>49</xdr:row>
      <xdr:rowOff>87630</xdr:rowOff>
    </xdr:to>
    <xdr:graphicFrame macro="">
      <xdr:nvGraphicFramePr>
        <xdr:cNvPr id="4" name="グラフ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121920</xdr:colOff>
      <xdr:row>50</xdr:row>
      <xdr:rowOff>68580</xdr:rowOff>
    </xdr:from>
    <xdr:to>
      <xdr:col>8</xdr:col>
      <xdr:colOff>390939</xdr:colOff>
      <xdr:row>62</xdr:row>
      <xdr:rowOff>182880</xdr:rowOff>
    </xdr:to>
    <xdr:graphicFrame macro="">
      <xdr:nvGraphicFramePr>
        <xdr:cNvPr id="5" name="グラフ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30479</xdr:colOff>
      <xdr:row>69</xdr:row>
      <xdr:rowOff>118110</xdr:rowOff>
    </xdr:from>
    <xdr:to>
      <xdr:col>7</xdr:col>
      <xdr:colOff>556590</xdr:colOff>
      <xdr:row>81</xdr:row>
      <xdr:rowOff>118110</xdr:rowOff>
    </xdr:to>
    <xdr:graphicFrame macro="">
      <xdr:nvGraphicFramePr>
        <xdr:cNvPr id="6" name="グラフ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586740</xdr:colOff>
      <xdr:row>17</xdr:row>
      <xdr:rowOff>708660</xdr:rowOff>
    </xdr:from>
    <xdr:to>
      <xdr:col>5</xdr:col>
      <xdr:colOff>5353050</xdr:colOff>
      <xdr:row>17</xdr:row>
      <xdr:rowOff>2876550</xdr:rowOff>
    </xdr:to>
    <xdr:pic>
      <xdr:nvPicPr>
        <xdr:cNvPr id="2" name="図 1" descr="https://tenbou.nies.go.jp/science/description/images/057/057-2.jp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2880" y="10157460"/>
          <a:ext cx="476250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0</xdr:rowOff>
    </xdr:from>
    <xdr:to>
      <xdr:col>17</xdr:col>
      <xdr:colOff>552450</xdr:colOff>
      <xdr:row>5</xdr:row>
      <xdr:rowOff>88900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537700" y="469900"/>
          <a:ext cx="5219700" cy="7747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●簡易自己診断ツールでの算定は、左記の係数を用いて計算が行われます。</a:t>
          </a:r>
          <a:endParaRPr kumimoji="1" lang="en-US" altLang="ja-JP" sz="1100"/>
        </a:p>
        <a:p>
          <a:endParaRPr kumimoji="1" lang="en-US" altLang="ja-JP" sz="1100"/>
        </a:p>
        <a:p>
          <a:r>
            <a:rPr kumimoji="1" lang="en-US" altLang="ja-JP" sz="1100"/>
            <a:t>※</a:t>
          </a:r>
          <a:r>
            <a:rPr kumimoji="1" lang="ja-JP" altLang="en-US" sz="1100"/>
            <a:t>係数の変更は原則認められません。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92144</xdr:colOff>
      <xdr:row>19</xdr:row>
      <xdr:rowOff>145869</xdr:rowOff>
    </xdr:from>
    <xdr:to>
      <xdr:col>13</xdr:col>
      <xdr:colOff>662364</xdr:colOff>
      <xdr:row>21</xdr:row>
      <xdr:rowOff>62049</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9335204" y="5068389"/>
          <a:ext cx="57022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377254</xdr:colOff>
      <xdr:row>14</xdr:row>
      <xdr:rowOff>108473</xdr:rowOff>
    </xdr:from>
    <xdr:to>
      <xdr:col>13</xdr:col>
      <xdr:colOff>439944</xdr:colOff>
      <xdr:row>19</xdr:row>
      <xdr:rowOff>145869</xdr:rowOff>
    </xdr:to>
    <xdr:cxnSp macro="">
      <xdr:nvCxnSpPr>
        <xdr:cNvPr id="3" name="直線矢印コネクタ 2">
          <a:extLst>
            <a:ext uri="{FF2B5EF4-FFF2-40B4-BE49-F238E27FC236}">
              <a16:creationId xmlns:a16="http://schemas.microsoft.com/office/drawing/2014/main" id="{00000000-0008-0000-0800-000003000000}"/>
            </a:ext>
          </a:extLst>
        </xdr:cNvPr>
        <xdr:cNvCxnSpPr>
          <a:stCxn id="2" idx="0"/>
          <a:endCxn id="4" idx="4"/>
        </xdr:cNvCxnSpPr>
      </xdr:nvCxnSpPr>
      <xdr:spPr>
        <a:xfrm flipV="1">
          <a:off x="9620314" y="3880373"/>
          <a:ext cx="62690" cy="11880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153746</xdr:colOff>
      <xdr:row>12</xdr:row>
      <xdr:rowOff>184673</xdr:rowOff>
    </xdr:from>
    <xdr:to>
      <xdr:col>14</xdr:col>
      <xdr:colOff>8965</xdr:colOff>
      <xdr:row>14</xdr:row>
      <xdr:rowOff>108473</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9396806" y="3499373"/>
          <a:ext cx="571499"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609601</xdr:colOff>
      <xdr:row>21</xdr:row>
      <xdr:rowOff>206188</xdr:rowOff>
    </xdr:from>
    <xdr:to>
      <xdr:col>16</xdr:col>
      <xdr:colOff>28811</xdr:colOff>
      <xdr:row>29</xdr:row>
      <xdr:rowOff>59937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271261" y="5593528"/>
          <a:ext cx="5149450" cy="168254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●仕様書等にある、定格消費電力で算定してください。</a:t>
          </a:r>
          <a:endParaRPr kumimoji="1" lang="en-US" altLang="ja-JP" sz="1100"/>
        </a:p>
        <a:p>
          <a:endParaRPr kumimoji="1" lang="en-US" altLang="ja-JP" sz="1100"/>
        </a:p>
        <a:p>
          <a:r>
            <a:rPr kumimoji="1" lang="ja-JP" altLang="en-US" sz="1100"/>
            <a:t>・省エネモード、最高・最低能力等は用いないでください。</a:t>
          </a:r>
          <a:endParaRPr kumimoji="1" lang="en-US" altLang="ja-JP" sz="1100"/>
        </a:p>
        <a:p>
          <a:r>
            <a:rPr kumimoji="1" lang="ja-JP" altLang="en-US" sz="1100"/>
            <a:t>・一般的な定格電圧は</a:t>
          </a:r>
          <a:r>
            <a:rPr kumimoji="1" lang="en-US" altLang="ja-JP" sz="1100"/>
            <a:t>100V</a:t>
          </a:r>
          <a:r>
            <a:rPr kumimoji="1" lang="ja-JP" altLang="en-US" sz="1100"/>
            <a:t>ですが、工場等で</a:t>
          </a:r>
          <a:r>
            <a:rPr kumimoji="1" lang="en-US" altLang="ja-JP" sz="1100"/>
            <a:t>200V</a:t>
          </a:r>
          <a:r>
            <a:rPr kumimoji="1" lang="ja-JP" altLang="en-US" sz="1100"/>
            <a:t>等の場合は、該当する電圧の定格能力で算定してください。</a:t>
          </a:r>
          <a:endParaRPr kumimoji="1" lang="en-US" altLang="ja-JP" sz="1100"/>
        </a:p>
        <a:p>
          <a:r>
            <a:rPr kumimoji="1" lang="ja-JP" altLang="en-US" sz="1100"/>
            <a:t>・数量</a:t>
          </a:r>
          <a:r>
            <a:rPr kumimoji="1" lang="en-US" altLang="ja-JP" sz="1100"/>
            <a:t>(n)</a:t>
          </a:r>
          <a:r>
            <a:rPr kumimoji="1" lang="ja-JP" altLang="en-US" sz="1100"/>
            <a:t>の増加は原則認められません。（やむを得ない事情がある場合は事務局へご相談ください。）</a:t>
          </a:r>
        </a:p>
      </xdr:txBody>
    </xdr:sp>
    <xdr:clientData/>
  </xdr:twoCellAnchor>
  <xdr:twoCellAnchor>
    <xdr:from>
      <xdr:col>5</xdr:col>
      <xdr:colOff>17927</xdr:colOff>
      <xdr:row>14</xdr:row>
      <xdr:rowOff>224117</xdr:rowOff>
    </xdr:from>
    <xdr:to>
      <xdr:col>10</xdr:col>
      <xdr:colOff>573741</xdr:colOff>
      <xdr:row>19</xdr:row>
      <xdr:rowOff>134470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3530747" y="3996017"/>
          <a:ext cx="4137214" cy="1060973"/>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●日点灯時間及び年間使用日数は、実際に設備を点灯している時間</a:t>
          </a:r>
          <a:r>
            <a:rPr kumimoji="1" lang="ja-JP" altLang="en-US" sz="1100">
              <a:solidFill>
                <a:sysClr val="windowText" lastClr="000000"/>
              </a:solidFill>
            </a:rPr>
            <a:t>及び日数を記載してください。</a:t>
          </a:r>
          <a:endParaRPr kumimoji="1" lang="en-US" altLang="ja-JP" sz="1100">
            <a:solidFill>
              <a:sysClr val="windowText" lastClr="000000"/>
            </a:solidFill>
          </a:endParaRPr>
        </a:p>
        <a:p>
          <a:r>
            <a:rPr kumimoji="1" lang="ja-JP" altLang="en-US" sz="1100">
              <a:solidFill>
                <a:sysClr val="windowText" lastClr="000000"/>
              </a:solidFill>
            </a:rPr>
            <a:t>例：</a:t>
          </a:r>
          <a:r>
            <a:rPr kumimoji="1" lang="en-US" altLang="ja-JP" sz="1100" u="sng">
              <a:solidFill>
                <a:sysClr val="windowText" lastClr="000000"/>
              </a:solidFill>
            </a:rPr>
            <a:t>8</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日</a:t>
          </a:r>
          <a:r>
            <a:rPr kumimoji="1" lang="en-US" altLang="ja-JP" sz="1100" u="sng">
              <a:solidFill>
                <a:sysClr val="windowText" lastClr="000000"/>
              </a:solidFill>
            </a:rPr>
            <a:t>×250</a:t>
          </a:r>
          <a:r>
            <a:rPr kumimoji="1" lang="ja-JP" altLang="en-US" sz="1100" u="sng">
              <a:solidFill>
                <a:sysClr val="windowText" lastClr="000000"/>
              </a:solidFill>
            </a:rPr>
            <a:t>日</a:t>
          </a:r>
          <a:r>
            <a:rPr kumimoji="1" lang="ja-JP" altLang="en-US" sz="1100">
              <a:solidFill>
                <a:sysClr val="windowText" lastClr="000000"/>
              </a:solidFill>
            </a:rPr>
            <a:t>＝</a:t>
          </a:r>
          <a:r>
            <a:rPr kumimoji="1" lang="en-US" altLang="ja-JP" sz="1100">
              <a:solidFill>
                <a:sysClr val="windowText" lastClr="000000"/>
              </a:solidFill>
            </a:rPr>
            <a:t>2000</a:t>
          </a:r>
          <a:r>
            <a:rPr kumimoji="1" lang="ja-JP" altLang="en-US" sz="1100"/>
            <a:t>時間</a:t>
          </a:r>
          <a:r>
            <a:rPr kumimoji="1" lang="en-US" altLang="ja-JP" sz="1100"/>
            <a:t>/</a:t>
          </a:r>
          <a:r>
            <a:rPr kumimoji="1" lang="ja-JP" altLang="en-US" sz="1100"/>
            <a:t>年（年間点灯時間等、色なしのセルは自動計算されます。）</a:t>
          </a:r>
        </a:p>
      </xdr:txBody>
    </xdr:sp>
    <xdr:clientData/>
  </xdr:twoCellAnchor>
  <xdr:twoCellAnchor>
    <xdr:from>
      <xdr:col>6</xdr:col>
      <xdr:colOff>26671</xdr:colOff>
      <xdr:row>14</xdr:row>
      <xdr:rowOff>83820</xdr:rowOff>
    </xdr:from>
    <xdr:to>
      <xdr:col>6</xdr:col>
      <xdr:colOff>161365</xdr:colOff>
      <xdr:row>17</xdr:row>
      <xdr:rowOff>53788</xdr:rowOff>
    </xdr:to>
    <xdr:cxnSp macro="">
      <xdr:nvCxnSpPr>
        <xdr:cNvPr id="7" name="直線矢印コネクタ 6">
          <a:extLst>
            <a:ext uri="{FF2B5EF4-FFF2-40B4-BE49-F238E27FC236}">
              <a16:creationId xmlns:a16="http://schemas.microsoft.com/office/drawing/2014/main" id="{00000000-0008-0000-0800-000007000000}"/>
            </a:ext>
          </a:extLst>
        </xdr:cNvPr>
        <xdr:cNvCxnSpPr>
          <a:endCxn id="8" idx="4"/>
        </xdr:cNvCxnSpPr>
      </xdr:nvCxnSpPr>
      <xdr:spPr>
        <a:xfrm flipH="1" flipV="1">
          <a:off x="4255771" y="3855720"/>
          <a:ext cx="134694" cy="6633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xdr:colOff>
      <xdr:row>12</xdr:row>
      <xdr:rowOff>160020</xdr:rowOff>
    </xdr:from>
    <xdr:to>
      <xdr:col>7</xdr:col>
      <xdr:colOff>22860</xdr:colOff>
      <xdr:row>14</xdr:row>
      <xdr:rowOff>83820</xdr:rowOff>
    </xdr:to>
    <xdr:sp macro="" textlink="">
      <xdr:nvSpPr>
        <xdr:cNvPr id="8" name="楕円 7">
          <a:extLst>
            <a:ext uri="{FF2B5EF4-FFF2-40B4-BE49-F238E27FC236}">
              <a16:creationId xmlns:a16="http://schemas.microsoft.com/office/drawing/2014/main" id="{00000000-0008-0000-0800-000008000000}"/>
            </a:ext>
          </a:extLst>
        </xdr:cNvPr>
        <xdr:cNvSpPr/>
      </xdr:nvSpPr>
      <xdr:spPr>
        <a:xfrm>
          <a:off x="3543300" y="3474720"/>
          <a:ext cx="142494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689834</xdr:colOff>
      <xdr:row>46</xdr:row>
      <xdr:rowOff>225013</xdr:rowOff>
    </xdr:from>
    <xdr:to>
      <xdr:col>17</xdr:col>
      <xdr:colOff>439718</xdr:colOff>
      <xdr:row>50</xdr:row>
      <xdr:rowOff>225013</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2081734" y="12188413"/>
          <a:ext cx="466164" cy="914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699246</xdr:colOff>
      <xdr:row>41</xdr:row>
      <xdr:rowOff>197224</xdr:rowOff>
    </xdr:from>
    <xdr:to>
      <xdr:col>18</xdr:col>
      <xdr:colOff>35859</xdr:colOff>
      <xdr:row>43</xdr:row>
      <xdr:rowOff>35859</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9942306" y="11010004"/>
          <a:ext cx="2918013" cy="2958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680870</xdr:colOff>
      <xdr:row>44</xdr:row>
      <xdr:rowOff>198119</xdr:rowOff>
    </xdr:from>
    <xdr:to>
      <xdr:col>18</xdr:col>
      <xdr:colOff>72166</xdr:colOff>
      <xdr:row>46</xdr:row>
      <xdr:rowOff>54684</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12072770" y="11704319"/>
          <a:ext cx="823856" cy="31376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699247</xdr:colOff>
      <xdr:row>41</xdr:row>
      <xdr:rowOff>224117</xdr:rowOff>
    </xdr:from>
    <xdr:to>
      <xdr:col>21</xdr:col>
      <xdr:colOff>53788</xdr:colOff>
      <xdr:row>43</xdr:row>
      <xdr:rowOff>53789</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13523707" y="11036897"/>
          <a:ext cx="1503381" cy="28687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125506</xdr:colOff>
      <xdr:row>43</xdr:row>
      <xdr:rowOff>98611</xdr:rowOff>
    </xdr:from>
    <xdr:to>
      <xdr:col>17</xdr:col>
      <xdr:colOff>618565</xdr:colOff>
      <xdr:row>44</xdr:row>
      <xdr:rowOff>161364</xdr:rowOff>
    </xdr:to>
    <xdr:sp macro="" textlink="">
      <xdr:nvSpPr>
        <xdr:cNvPr id="13" name="下矢印 12">
          <a:extLst>
            <a:ext uri="{FF2B5EF4-FFF2-40B4-BE49-F238E27FC236}">
              <a16:creationId xmlns:a16="http://schemas.microsoft.com/office/drawing/2014/main" id="{00000000-0008-0000-0800-00000D000000}"/>
            </a:ext>
          </a:extLst>
        </xdr:cNvPr>
        <xdr:cNvSpPr/>
      </xdr:nvSpPr>
      <xdr:spPr>
        <a:xfrm rot="10800000">
          <a:off x="12233686" y="11368591"/>
          <a:ext cx="493059" cy="298973"/>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647700</xdr:colOff>
      <xdr:row>51</xdr:row>
      <xdr:rowOff>8966</xdr:rowOff>
    </xdr:from>
    <xdr:to>
      <xdr:col>17</xdr:col>
      <xdr:colOff>399379</xdr:colOff>
      <xdr:row>53</xdr:row>
      <xdr:rowOff>53341</xdr:rowOff>
    </xdr:to>
    <xdr:sp macro="" textlink="">
      <xdr:nvSpPr>
        <xdr:cNvPr id="14" name="楕円 13">
          <a:extLst>
            <a:ext uri="{FF2B5EF4-FFF2-40B4-BE49-F238E27FC236}">
              <a16:creationId xmlns:a16="http://schemas.microsoft.com/office/drawing/2014/main" id="{00000000-0008-0000-0800-00000E000000}"/>
            </a:ext>
          </a:extLst>
        </xdr:cNvPr>
        <xdr:cNvSpPr/>
      </xdr:nvSpPr>
      <xdr:spPr>
        <a:xfrm>
          <a:off x="12039600" y="13115366"/>
          <a:ext cx="467959" cy="50919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47</xdr:row>
      <xdr:rowOff>17929</xdr:rowOff>
    </xdr:from>
    <xdr:to>
      <xdr:col>13</xdr:col>
      <xdr:colOff>681317</xdr:colOff>
      <xdr:row>51</xdr:row>
      <xdr:rowOff>125506</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5966460" y="12209929"/>
          <a:ext cx="3957917" cy="1021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●定格能力・消費電力を記入して、算定してください。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・定格能力の合計</a:t>
          </a:r>
          <a:r>
            <a:rPr kumimoji="1" lang="en-US" altLang="ja-JP" sz="1100"/>
            <a:t>(kW)</a:t>
          </a:r>
          <a:r>
            <a:rPr kumimoji="1" lang="ja-JP" altLang="en-US" sz="1100"/>
            <a:t>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14</xdr:col>
      <xdr:colOff>0</xdr:colOff>
      <xdr:row>54</xdr:row>
      <xdr:rowOff>17929</xdr:rowOff>
    </xdr:from>
    <xdr:to>
      <xdr:col>19</xdr:col>
      <xdr:colOff>717175</xdr:colOff>
      <xdr:row>56</xdr:row>
      <xdr:rowOff>143435</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9959340" y="13817749"/>
          <a:ext cx="4298575" cy="582706"/>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●最大・中間・最低能力、低温能力など、定格以外の能力では算定しないでください。</a:t>
          </a:r>
          <a:endParaRPr kumimoji="1" lang="en-US" altLang="ja-JP" sz="1100"/>
        </a:p>
      </xdr:txBody>
    </xdr:sp>
    <xdr:clientData/>
  </xdr:twoCellAnchor>
  <xdr:twoCellAnchor>
    <xdr:from>
      <xdr:col>17</xdr:col>
      <xdr:colOff>0</xdr:colOff>
      <xdr:row>53</xdr:row>
      <xdr:rowOff>53341</xdr:rowOff>
    </xdr:from>
    <xdr:to>
      <xdr:col>17</xdr:col>
      <xdr:colOff>164952</xdr:colOff>
      <xdr:row>54</xdr:row>
      <xdr:rowOff>17929</xdr:rowOff>
    </xdr:to>
    <xdr:cxnSp macro="">
      <xdr:nvCxnSpPr>
        <xdr:cNvPr id="17" name="直線矢印コネクタ 16">
          <a:extLst>
            <a:ext uri="{FF2B5EF4-FFF2-40B4-BE49-F238E27FC236}">
              <a16:creationId xmlns:a16="http://schemas.microsoft.com/office/drawing/2014/main" id="{00000000-0008-0000-0800-000011000000}"/>
            </a:ext>
          </a:extLst>
        </xdr:cNvPr>
        <xdr:cNvCxnSpPr>
          <a:stCxn id="16" idx="0"/>
          <a:endCxn id="14" idx="4"/>
        </xdr:cNvCxnSpPr>
      </xdr:nvCxnSpPr>
      <xdr:spPr>
        <a:xfrm flipV="1">
          <a:off x="12108180" y="13624561"/>
          <a:ext cx="164952" cy="1931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7</xdr:col>
      <xdr:colOff>440764</xdr:colOff>
      <xdr:row>9</xdr:row>
      <xdr:rowOff>62754</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664882" y="366059"/>
          <a:ext cx="4684058" cy="2318871"/>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●仕様書等にある、定格消費電力で算定してください。</a:t>
          </a:r>
          <a:endParaRPr kumimoji="1" lang="en-US" altLang="ja-JP" sz="1100"/>
        </a:p>
        <a:p>
          <a:endParaRPr kumimoji="1" lang="en-US" altLang="ja-JP" sz="1100"/>
        </a:p>
        <a:p>
          <a:r>
            <a:rPr kumimoji="1" lang="ja-JP" altLang="en-US" sz="1100"/>
            <a:t>・仕様書等が手元にない場合は、メーカー</a:t>
          </a:r>
          <a:r>
            <a:rPr kumimoji="1" lang="en-US" altLang="ja-JP" sz="1100"/>
            <a:t>HP</a:t>
          </a:r>
          <a:r>
            <a:rPr kumimoji="1" lang="ja-JP" altLang="en-US" sz="1100"/>
            <a:t>等から収集してください。</a:t>
          </a:r>
          <a:endParaRPr kumimoji="1" lang="en-US" altLang="ja-JP" sz="1100"/>
        </a:p>
        <a:p>
          <a:r>
            <a:rPr kumimoji="1" lang="ja-JP" altLang="en-US" sz="1100"/>
            <a:t>・仕様書等が用意できない場合は、次の方法等で確認し、根拠資料（仕様書等の代わり）を用意してください。</a:t>
          </a:r>
          <a:endParaRPr kumimoji="1" lang="en-US" altLang="ja-JP" sz="1100"/>
        </a:p>
        <a:p>
          <a:endParaRPr kumimoji="1" lang="en-US" altLang="ja-JP" sz="1100"/>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→光源（蛍光灯等）に記載のワット数から算定する（ワット数が読み取れる写真を撮影し、根拠資料として提出する。）</a:t>
          </a:r>
          <a:endParaRPr kumimoji="1" lang="en-US" altLang="ja-JP" sz="1100"/>
        </a:p>
      </xdr:txBody>
    </xdr:sp>
    <xdr:clientData/>
  </xdr:twoCellAnchor>
  <xdr:twoCellAnchor>
    <xdr:from>
      <xdr:col>3</xdr:col>
      <xdr:colOff>534149</xdr:colOff>
      <xdr:row>9</xdr:row>
      <xdr:rowOff>62754</xdr:rowOff>
    </xdr:from>
    <xdr:to>
      <xdr:col>4</xdr:col>
      <xdr:colOff>227852</xdr:colOff>
      <xdr:row>12</xdr:row>
      <xdr:rowOff>134470</xdr:rowOff>
    </xdr:to>
    <xdr:cxnSp macro="">
      <xdr:nvCxnSpPr>
        <xdr:cNvPr id="19" name="直線矢印コネクタ 18">
          <a:extLst>
            <a:ext uri="{FF2B5EF4-FFF2-40B4-BE49-F238E27FC236}">
              <a16:creationId xmlns:a16="http://schemas.microsoft.com/office/drawing/2014/main" id="{00000000-0008-0000-0800-000013000000}"/>
            </a:ext>
          </a:extLst>
        </xdr:cNvPr>
        <xdr:cNvCxnSpPr>
          <a:stCxn id="18" idx="2"/>
          <a:endCxn id="20" idx="0"/>
        </xdr:cNvCxnSpPr>
      </xdr:nvCxnSpPr>
      <xdr:spPr>
        <a:xfrm flipH="1">
          <a:off x="2603502" y="2684930"/>
          <a:ext cx="403409" cy="11624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251014</xdr:colOff>
      <xdr:row>12</xdr:row>
      <xdr:rowOff>134470</xdr:rowOff>
    </xdr:from>
    <xdr:to>
      <xdr:col>4</xdr:col>
      <xdr:colOff>107578</xdr:colOff>
      <xdr:row>14</xdr:row>
      <xdr:rowOff>143436</xdr:rowOff>
    </xdr:to>
    <xdr:sp macro="" textlink="">
      <xdr:nvSpPr>
        <xdr:cNvPr id="20" name="楕円 19">
          <a:extLst>
            <a:ext uri="{FF2B5EF4-FFF2-40B4-BE49-F238E27FC236}">
              <a16:creationId xmlns:a16="http://schemas.microsoft.com/office/drawing/2014/main" id="{00000000-0008-0000-0800-000014000000}"/>
            </a:ext>
          </a:extLst>
        </xdr:cNvPr>
        <xdr:cNvSpPr/>
      </xdr:nvSpPr>
      <xdr:spPr>
        <a:xfrm>
          <a:off x="2331274" y="3449170"/>
          <a:ext cx="57284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569236</xdr:colOff>
      <xdr:row>9</xdr:row>
      <xdr:rowOff>8964</xdr:rowOff>
    </xdr:from>
    <xdr:to>
      <xdr:col>18</xdr:col>
      <xdr:colOff>0</xdr:colOff>
      <xdr:row>11</xdr:row>
      <xdr:rowOff>0</xdr:rowOff>
    </xdr:to>
    <xdr:cxnSp macro="">
      <xdr:nvCxnSpPr>
        <xdr:cNvPr id="21" name="直線矢印コネクタ 20">
          <a:extLst>
            <a:ext uri="{FF2B5EF4-FFF2-40B4-BE49-F238E27FC236}">
              <a16:creationId xmlns:a16="http://schemas.microsoft.com/office/drawing/2014/main" id="{00000000-0008-0000-0800-000015000000}"/>
            </a:ext>
          </a:extLst>
        </xdr:cNvPr>
        <xdr:cNvCxnSpPr>
          <a:stCxn id="33" idx="2"/>
          <a:endCxn id="29" idx="0"/>
        </xdr:cNvCxnSpPr>
      </xdr:nvCxnSpPr>
      <xdr:spPr>
        <a:xfrm>
          <a:off x="12574471" y="2631140"/>
          <a:ext cx="140470" cy="4542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42</xdr:row>
      <xdr:rowOff>116541</xdr:rowOff>
    </xdr:from>
    <xdr:to>
      <xdr:col>13</xdr:col>
      <xdr:colOff>699246</xdr:colOff>
      <xdr:row>47</xdr:row>
      <xdr:rowOff>17929</xdr:rowOff>
    </xdr:to>
    <xdr:cxnSp macro="">
      <xdr:nvCxnSpPr>
        <xdr:cNvPr id="22" name="直線矢印コネクタ 21">
          <a:extLst>
            <a:ext uri="{FF2B5EF4-FFF2-40B4-BE49-F238E27FC236}">
              <a16:creationId xmlns:a16="http://schemas.microsoft.com/office/drawing/2014/main" id="{00000000-0008-0000-0800-000016000000}"/>
            </a:ext>
          </a:extLst>
        </xdr:cNvPr>
        <xdr:cNvCxnSpPr>
          <a:stCxn id="15" idx="0"/>
          <a:endCxn id="10" idx="1"/>
        </xdr:cNvCxnSpPr>
      </xdr:nvCxnSpPr>
      <xdr:spPr>
        <a:xfrm flipV="1">
          <a:off x="7944970" y="11157921"/>
          <a:ext cx="1997336" cy="10520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319206</xdr:colOff>
      <xdr:row>21</xdr:row>
      <xdr:rowOff>6056</xdr:rowOff>
    </xdr:from>
    <xdr:to>
      <xdr:col>13</xdr:col>
      <xdr:colOff>175651</xdr:colOff>
      <xdr:row>21</xdr:row>
      <xdr:rowOff>206188</xdr:rowOff>
    </xdr:to>
    <xdr:cxnSp macro="">
      <xdr:nvCxnSpPr>
        <xdr:cNvPr id="23" name="直線矢印コネクタ 22">
          <a:extLst>
            <a:ext uri="{FF2B5EF4-FFF2-40B4-BE49-F238E27FC236}">
              <a16:creationId xmlns:a16="http://schemas.microsoft.com/office/drawing/2014/main" id="{00000000-0008-0000-0800-000017000000}"/>
            </a:ext>
          </a:extLst>
        </xdr:cNvPr>
        <xdr:cNvCxnSpPr>
          <a:stCxn id="5" idx="0"/>
          <a:endCxn id="2" idx="3"/>
        </xdr:cNvCxnSpPr>
      </xdr:nvCxnSpPr>
      <xdr:spPr>
        <a:xfrm flipV="1">
          <a:off x="8845986" y="5393396"/>
          <a:ext cx="572725" cy="2001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42</xdr:row>
      <xdr:rowOff>138953</xdr:rowOff>
    </xdr:from>
    <xdr:to>
      <xdr:col>18</xdr:col>
      <xdr:colOff>699247</xdr:colOff>
      <xdr:row>47</xdr:row>
      <xdr:rowOff>17929</xdr:rowOff>
    </xdr:to>
    <xdr:cxnSp macro="">
      <xdr:nvCxnSpPr>
        <xdr:cNvPr id="24" name="直線矢印コネクタ 23">
          <a:extLst>
            <a:ext uri="{FF2B5EF4-FFF2-40B4-BE49-F238E27FC236}">
              <a16:creationId xmlns:a16="http://schemas.microsoft.com/office/drawing/2014/main" id="{00000000-0008-0000-0800-000018000000}"/>
            </a:ext>
          </a:extLst>
        </xdr:cNvPr>
        <xdr:cNvCxnSpPr>
          <a:stCxn id="15" idx="0"/>
          <a:endCxn id="12" idx="1"/>
        </xdr:cNvCxnSpPr>
      </xdr:nvCxnSpPr>
      <xdr:spPr>
        <a:xfrm flipV="1">
          <a:off x="7944970" y="11180333"/>
          <a:ext cx="5578737" cy="102959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286871</xdr:colOff>
      <xdr:row>30</xdr:row>
      <xdr:rowOff>80683</xdr:rowOff>
    </xdr:from>
    <xdr:to>
      <xdr:col>12</xdr:col>
      <xdr:colOff>519955</xdr:colOff>
      <xdr:row>35</xdr:row>
      <xdr:rowOff>53789</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367131" y="7525423"/>
          <a:ext cx="6679604" cy="12532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●負荷率は</a:t>
          </a:r>
          <a:r>
            <a:rPr kumimoji="1" lang="en-US" altLang="ja-JP" sz="1100"/>
            <a:t>40</a:t>
          </a:r>
          <a:r>
            <a:rPr kumimoji="1" lang="ja-JP" altLang="en-US" sz="1100"/>
            <a:t>％を参考値とします。負荷率を把握していない場合は、そのまま算定してください。</a:t>
          </a:r>
          <a:endParaRPr kumimoji="1" lang="en-US" altLang="ja-JP" sz="1100"/>
        </a:p>
        <a:p>
          <a:endParaRPr kumimoji="1" lang="en-US" altLang="ja-JP" sz="1100"/>
        </a:p>
        <a:p>
          <a:r>
            <a:rPr kumimoji="1" lang="en-US" altLang="ja-JP" sz="1100"/>
            <a:t>※</a:t>
          </a:r>
          <a:r>
            <a:rPr kumimoji="1" lang="ja-JP" altLang="en-US" sz="1100"/>
            <a:t>省エネ診断や施工事業者の測定等により負荷率を把握している場合は、その値を入力してください。</a:t>
          </a:r>
          <a:endParaRPr kumimoji="1" lang="en-US" altLang="ja-JP" sz="1100"/>
        </a:p>
        <a:p>
          <a:r>
            <a:rPr kumimoji="1" lang="ja-JP" altLang="en-US" sz="1100"/>
            <a:t>（注意メッセージをご確認の上、「はい」を選択して上書きしてください。）</a:t>
          </a:r>
          <a:endParaRPr kumimoji="1" lang="en-US" altLang="ja-JP" sz="1100"/>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把握している値が複数ある場合は、全体平均を求めるなど、一つの値に整理してください。</a:t>
          </a:r>
          <a:endParaRPr kumimoji="1" lang="en-US" altLang="ja-JP" sz="1100"/>
        </a:p>
      </xdr:txBody>
    </xdr:sp>
    <xdr:clientData/>
  </xdr:twoCellAnchor>
  <xdr:twoCellAnchor>
    <xdr:from>
      <xdr:col>2</xdr:col>
      <xdr:colOff>703725</xdr:colOff>
      <xdr:row>32</xdr:row>
      <xdr:rowOff>116542</xdr:rowOff>
    </xdr:from>
    <xdr:to>
      <xdr:col>3</xdr:col>
      <xdr:colOff>286871</xdr:colOff>
      <xdr:row>35</xdr:row>
      <xdr:rowOff>44225</xdr:rowOff>
    </xdr:to>
    <xdr:cxnSp macro="">
      <xdr:nvCxnSpPr>
        <xdr:cNvPr id="26" name="直線矢印コネクタ 25">
          <a:extLst>
            <a:ext uri="{FF2B5EF4-FFF2-40B4-BE49-F238E27FC236}">
              <a16:creationId xmlns:a16="http://schemas.microsoft.com/office/drawing/2014/main" id="{00000000-0008-0000-0800-00001A000000}"/>
            </a:ext>
          </a:extLst>
        </xdr:cNvPr>
        <xdr:cNvCxnSpPr>
          <a:stCxn id="25" idx="1"/>
          <a:endCxn id="27" idx="7"/>
        </xdr:cNvCxnSpPr>
      </xdr:nvCxnSpPr>
      <xdr:spPr>
        <a:xfrm flipH="1">
          <a:off x="2067705" y="8155642"/>
          <a:ext cx="299426" cy="6134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215154</xdr:colOff>
      <xdr:row>34</xdr:row>
      <xdr:rowOff>197223</xdr:rowOff>
    </xdr:from>
    <xdr:to>
      <xdr:col>3</xdr:col>
      <xdr:colOff>70373</xdr:colOff>
      <xdr:row>37</xdr:row>
      <xdr:rowOff>26895</xdr:rowOff>
    </xdr:to>
    <xdr:sp macro="" textlink="">
      <xdr:nvSpPr>
        <xdr:cNvPr id="27" name="楕円 26">
          <a:extLst>
            <a:ext uri="{FF2B5EF4-FFF2-40B4-BE49-F238E27FC236}">
              <a16:creationId xmlns:a16="http://schemas.microsoft.com/office/drawing/2014/main" id="{00000000-0008-0000-0800-00001B000000}"/>
            </a:ext>
          </a:extLst>
        </xdr:cNvPr>
        <xdr:cNvSpPr/>
      </xdr:nvSpPr>
      <xdr:spPr>
        <a:xfrm>
          <a:off x="1579134" y="8693523"/>
          <a:ext cx="571499" cy="54595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xdr:row>
      <xdr:rowOff>0</xdr:rowOff>
    </xdr:from>
    <xdr:to>
      <xdr:col>9</xdr:col>
      <xdr:colOff>0</xdr:colOff>
      <xdr:row>14</xdr:row>
      <xdr:rowOff>0</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a:xfrm>
          <a:off x="4945380" y="2697480"/>
          <a:ext cx="1432560" cy="10744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11</xdr:row>
      <xdr:rowOff>0</xdr:rowOff>
    </xdr:from>
    <xdr:to>
      <xdr:col>19</xdr:col>
      <xdr:colOff>0</xdr:colOff>
      <xdr:row>14</xdr:row>
      <xdr:rowOff>0</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a:xfrm>
          <a:off x="12108180" y="2697480"/>
          <a:ext cx="1432560" cy="10744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9</xdr:row>
      <xdr:rowOff>8965</xdr:rowOff>
    </xdr:from>
    <xdr:to>
      <xdr:col>11</xdr:col>
      <xdr:colOff>443776</xdr:colOff>
      <xdr:row>11</xdr:row>
      <xdr:rowOff>0</xdr:rowOff>
    </xdr:to>
    <xdr:cxnSp macro="">
      <xdr:nvCxnSpPr>
        <xdr:cNvPr id="30" name="直線矢印コネクタ 29">
          <a:extLst>
            <a:ext uri="{FF2B5EF4-FFF2-40B4-BE49-F238E27FC236}">
              <a16:creationId xmlns:a16="http://schemas.microsoft.com/office/drawing/2014/main" id="{00000000-0008-0000-0800-00001E000000}"/>
            </a:ext>
          </a:extLst>
        </xdr:cNvPr>
        <xdr:cNvCxnSpPr>
          <a:stCxn id="32" idx="2"/>
          <a:endCxn id="28" idx="0"/>
        </xdr:cNvCxnSpPr>
      </xdr:nvCxnSpPr>
      <xdr:spPr>
        <a:xfrm flipH="1">
          <a:off x="5617882" y="2631141"/>
          <a:ext cx="2572894" cy="4542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385483</xdr:colOff>
      <xdr:row>1</xdr:row>
      <xdr:rowOff>67235</xdr:rowOff>
    </xdr:from>
    <xdr:to>
      <xdr:col>20</xdr:col>
      <xdr:colOff>627529</xdr:colOff>
      <xdr:row>9</xdr:row>
      <xdr:rowOff>8965</xdr:rowOff>
    </xdr:to>
    <xdr:grpSp>
      <xdr:nvGrpSpPr>
        <xdr:cNvPr id="31" name="グループ化 30">
          <a:extLst>
            <a:ext uri="{FF2B5EF4-FFF2-40B4-BE49-F238E27FC236}">
              <a16:creationId xmlns:a16="http://schemas.microsoft.com/office/drawing/2014/main" id="{00000000-0008-0000-0800-00001F000000}"/>
            </a:ext>
          </a:extLst>
        </xdr:cNvPr>
        <xdr:cNvGrpSpPr/>
      </xdr:nvGrpSpPr>
      <xdr:grpSpPr>
        <a:xfrm>
          <a:off x="6120803" y="443409"/>
          <a:ext cx="8933418" cy="2238906"/>
          <a:chOff x="5253318" y="385482"/>
          <a:chExt cx="8848164" cy="2097742"/>
        </a:xfrm>
      </xdr:grpSpPr>
      <xdr:sp macro="" textlink="">
        <xdr:nvSpPr>
          <xdr:cNvPr id="32" name="テキスト ボックス 31">
            <a:extLst>
              <a:ext uri="{FF2B5EF4-FFF2-40B4-BE49-F238E27FC236}">
                <a16:creationId xmlns:a16="http://schemas.microsoft.com/office/drawing/2014/main" id="{00000000-0008-0000-0800-000020000000}"/>
              </a:ext>
            </a:extLst>
          </xdr:cNvPr>
          <xdr:cNvSpPr txBox="1"/>
        </xdr:nvSpPr>
        <xdr:spPr>
          <a:xfrm>
            <a:off x="5253318" y="385482"/>
            <a:ext cx="4419600" cy="209774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●人感センサ等が導入されている、又は更新により導入する場合</a:t>
            </a:r>
            <a:endParaRPr kumimoji="1" lang="en-US" altLang="ja-JP" sz="1100"/>
          </a:p>
          <a:p>
            <a:endParaRPr kumimoji="1" lang="en-US" altLang="ja-JP" sz="1100"/>
          </a:p>
          <a:p>
            <a:r>
              <a:rPr kumimoji="1" lang="ja-JP" altLang="en-US" sz="1100"/>
              <a:t>・人感センサの列で「○」を選択してください。</a:t>
            </a:r>
            <a:r>
              <a:rPr kumimoji="1" lang="ja-JP" altLang="ja-JP" sz="1100">
                <a:solidFill>
                  <a:schemeClr val="dk1"/>
                </a:solidFill>
                <a:effectLst/>
                <a:latin typeface="+mn-lt"/>
                <a:ea typeface="+mn-ea"/>
                <a:cs typeface="+mn-cs"/>
              </a:rPr>
              <a:t>点灯率のセルが入力色に変わります。</a:t>
            </a:r>
            <a:r>
              <a:rPr kumimoji="1" lang="ja-JP" altLang="en-US" sz="1100"/>
              <a:t>点灯率のセルに点灯率を入力してください。</a:t>
            </a:r>
            <a:endParaRPr kumimoji="1" lang="en-US" altLang="ja-JP" sz="1100"/>
          </a:p>
          <a:p>
            <a:endParaRPr kumimoji="1" lang="en-US" altLang="ja-JP" sz="1100"/>
          </a:p>
          <a:p>
            <a:r>
              <a:rPr kumimoji="1" lang="en-US" altLang="ja-JP" sz="1100"/>
              <a:t>※</a:t>
            </a:r>
            <a:r>
              <a:rPr kumimoji="1" lang="ja-JP" altLang="en-US" sz="1100"/>
              <a:t>点灯率は人感センサ等による自動制御のみ考慮します。人による運用対策（昼休み中に職員が消灯して</a:t>
            </a:r>
            <a:r>
              <a:rPr kumimoji="1" lang="en-US" altLang="ja-JP" sz="1100"/>
              <a:t>90</a:t>
            </a:r>
            <a:r>
              <a:rPr kumimoji="1" lang="ja-JP" altLang="en-US" sz="1100"/>
              <a:t>％）等は含みません。</a:t>
            </a:r>
            <a:endParaRPr kumimoji="1" lang="en-US" altLang="ja-JP" sz="1100"/>
          </a:p>
        </xdr:txBody>
      </xdr:sp>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9681882" y="385482"/>
            <a:ext cx="4419600" cy="2097741"/>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●点灯率の根拠資料について</a:t>
            </a:r>
            <a:endParaRPr kumimoji="1" lang="en-US" altLang="ja-JP" sz="1100"/>
          </a:p>
          <a:p>
            <a:endParaRPr kumimoji="1" lang="en-US" altLang="ja-JP" sz="1100"/>
          </a:p>
          <a:p>
            <a:r>
              <a:rPr kumimoji="1" lang="ja-JP" altLang="en-US" sz="1100"/>
              <a:t>・次の方法等で確認し、根拠資料を用意してください。</a:t>
            </a:r>
            <a:endParaRPr kumimoji="1" lang="en-US" altLang="ja-JP" sz="1100"/>
          </a:p>
          <a:p>
            <a:endParaRPr kumimoji="1" lang="en-US" altLang="ja-JP" sz="1100"/>
          </a:p>
          <a:p>
            <a:r>
              <a:rPr kumimoji="1" lang="ja-JP" altLang="en-US" sz="1100"/>
              <a:t>→管理システム等で把握している（記録を提出する）</a:t>
            </a:r>
            <a:endParaRPr kumimoji="1" lang="en-US" altLang="ja-JP" sz="1100"/>
          </a:p>
          <a:p>
            <a:r>
              <a:rPr kumimoji="1" lang="ja-JP" altLang="ja-JP" sz="1100">
                <a:solidFill>
                  <a:schemeClr val="dk1"/>
                </a:solidFill>
                <a:effectLst/>
                <a:latin typeface="+mn-lt"/>
                <a:ea typeface="+mn-ea"/>
                <a:cs typeface="+mn-cs"/>
              </a:rPr>
              <a:t>→省エネ診断を受診する（診断結果報告書を提出する。）</a:t>
            </a:r>
            <a:endParaRPr lang="ja-JP" altLang="ja-JP">
              <a:effectLst/>
            </a:endParaRPr>
          </a:p>
          <a:p>
            <a:r>
              <a:rPr kumimoji="1" lang="ja-JP" altLang="ja-JP" sz="1100">
                <a:solidFill>
                  <a:schemeClr val="dk1"/>
                </a:solidFill>
                <a:effectLst/>
                <a:latin typeface="+mn-lt"/>
                <a:ea typeface="+mn-ea"/>
                <a:cs typeface="+mn-cs"/>
              </a:rPr>
              <a:t>→施工事業者へ測定等を依頼する（測定結果を提出する。）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メーカー等へ問い合わせる（回答された値の確認できるもの（メール等）を提出する。）</a:t>
            </a:r>
            <a:endParaRPr kumimoji="1" lang="en-US" altLang="ja-JP" sz="1100">
              <a:solidFill>
                <a:schemeClr val="dk1"/>
              </a:solidFill>
              <a:effectLst/>
              <a:latin typeface="+mn-lt"/>
              <a:ea typeface="+mn-ea"/>
              <a:cs typeface="+mn-cs"/>
            </a:endParaRPr>
          </a:p>
        </xdr:txBody>
      </xdr:sp>
    </xdr:grpSp>
    <xdr:clientData/>
  </xdr:twoCellAnchor>
  <xdr:twoCellAnchor>
    <xdr:from>
      <xdr:col>0</xdr:col>
      <xdr:colOff>636494</xdr:colOff>
      <xdr:row>44</xdr:row>
      <xdr:rowOff>152400</xdr:rowOff>
    </xdr:from>
    <xdr:to>
      <xdr:col>7</xdr:col>
      <xdr:colOff>690282</xdr:colOff>
      <xdr:row>54</xdr:row>
      <xdr:rowOff>161364</xdr:rowOff>
    </xdr:to>
    <xdr:sp macro="" textlink="">
      <xdr:nvSpPr>
        <xdr:cNvPr id="34" name="テキスト ボックス 33">
          <a:extLst>
            <a:ext uri="{FF2B5EF4-FFF2-40B4-BE49-F238E27FC236}">
              <a16:creationId xmlns:a16="http://schemas.microsoft.com/office/drawing/2014/main" id="{00000000-0008-0000-0800-000022000000}"/>
            </a:ext>
          </a:extLst>
        </xdr:cNvPr>
        <xdr:cNvSpPr txBox="1"/>
      </xdr:nvSpPr>
      <xdr:spPr>
        <a:xfrm>
          <a:off x="636494" y="11658600"/>
          <a:ext cx="4999168" cy="2302584"/>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・仕様書等が手元にない場合は、メーカー</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3</xdr:col>
      <xdr:colOff>713835</xdr:colOff>
      <xdr:row>43</xdr:row>
      <xdr:rowOff>90442</xdr:rowOff>
    </xdr:from>
    <xdr:to>
      <xdr:col>4</xdr:col>
      <xdr:colOff>340659</xdr:colOff>
      <xdr:row>44</xdr:row>
      <xdr:rowOff>152400</xdr:rowOff>
    </xdr:to>
    <xdr:cxnSp macro="">
      <xdr:nvCxnSpPr>
        <xdr:cNvPr id="35" name="直線矢印コネクタ 34">
          <a:extLst>
            <a:ext uri="{FF2B5EF4-FFF2-40B4-BE49-F238E27FC236}">
              <a16:creationId xmlns:a16="http://schemas.microsoft.com/office/drawing/2014/main" id="{00000000-0008-0000-0800-000023000000}"/>
            </a:ext>
          </a:extLst>
        </xdr:cNvPr>
        <xdr:cNvCxnSpPr>
          <a:stCxn id="34" idx="0"/>
          <a:endCxn id="36" idx="5"/>
        </xdr:cNvCxnSpPr>
      </xdr:nvCxnSpPr>
      <xdr:spPr>
        <a:xfrm flipH="1" flipV="1">
          <a:off x="2794095" y="11360422"/>
          <a:ext cx="343104" cy="2981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224117</xdr:colOff>
      <xdr:row>41</xdr:row>
      <xdr:rowOff>151057</xdr:rowOff>
    </xdr:from>
    <xdr:to>
      <xdr:col>4</xdr:col>
      <xdr:colOff>80681</xdr:colOff>
      <xdr:row>43</xdr:row>
      <xdr:rowOff>160023</xdr:rowOff>
    </xdr:to>
    <xdr:sp macro="" textlink="">
      <xdr:nvSpPr>
        <xdr:cNvPr id="36" name="楕円 35">
          <a:extLst>
            <a:ext uri="{FF2B5EF4-FFF2-40B4-BE49-F238E27FC236}">
              <a16:creationId xmlns:a16="http://schemas.microsoft.com/office/drawing/2014/main" id="{00000000-0008-0000-0800-000024000000}"/>
            </a:ext>
          </a:extLst>
        </xdr:cNvPr>
        <xdr:cNvSpPr/>
      </xdr:nvSpPr>
      <xdr:spPr>
        <a:xfrm>
          <a:off x="2304377" y="10963837"/>
          <a:ext cx="57284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71719</xdr:colOff>
      <xdr:row>41</xdr:row>
      <xdr:rowOff>116541</xdr:rowOff>
    </xdr:from>
    <xdr:to>
      <xdr:col>7</xdr:col>
      <xdr:colOff>699248</xdr:colOff>
      <xdr:row>43</xdr:row>
      <xdr:rowOff>125507</xdr:rowOff>
    </xdr:to>
    <xdr:sp macro="" textlink="">
      <xdr:nvSpPr>
        <xdr:cNvPr id="37" name="楕円 36">
          <a:extLst>
            <a:ext uri="{FF2B5EF4-FFF2-40B4-BE49-F238E27FC236}">
              <a16:creationId xmlns:a16="http://schemas.microsoft.com/office/drawing/2014/main" id="{00000000-0008-0000-0800-000025000000}"/>
            </a:ext>
          </a:extLst>
        </xdr:cNvPr>
        <xdr:cNvSpPr/>
      </xdr:nvSpPr>
      <xdr:spPr>
        <a:xfrm>
          <a:off x="4300819" y="10929321"/>
          <a:ext cx="1343809"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224118</xdr:colOff>
      <xdr:row>35</xdr:row>
      <xdr:rowOff>116542</xdr:rowOff>
    </xdr:from>
    <xdr:to>
      <xdr:col>16</xdr:col>
      <xdr:colOff>224118</xdr:colOff>
      <xdr:row>37</xdr:row>
      <xdr:rowOff>215154</xdr:rowOff>
    </xdr:to>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a:off x="3736938" y="8841442"/>
          <a:ext cx="7879080" cy="58629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●年間冷房（暖房）時間は、</a:t>
          </a:r>
          <a:r>
            <a:rPr kumimoji="1" lang="ja-JP" altLang="en-US" sz="1100"/>
            <a:t>実際に設備を稼働している時間を記載してください。（根拠資料の提出は任意です。）</a:t>
          </a:r>
          <a:endParaRPr kumimoji="1" lang="en-US" altLang="ja-JP" sz="1100"/>
        </a:p>
        <a:p>
          <a:r>
            <a:rPr kumimoji="1" lang="ja-JP" altLang="en-US" sz="1100"/>
            <a:t>例：</a:t>
          </a:r>
          <a:r>
            <a:rPr kumimoji="1" lang="en-US" altLang="ja-JP" sz="1100" u="none">
              <a:solidFill>
                <a:sysClr val="windowText" lastClr="000000"/>
              </a:solidFill>
            </a:rPr>
            <a:t>6</a:t>
          </a:r>
          <a:r>
            <a:rPr kumimoji="1" lang="ja-JP" altLang="en-US" sz="1100" u="none">
              <a:solidFill>
                <a:sysClr val="windowText" lastClr="000000"/>
              </a:solidFill>
            </a:rPr>
            <a:t>～</a:t>
          </a:r>
          <a:r>
            <a:rPr kumimoji="1" lang="en-US" altLang="ja-JP" sz="1100" u="none">
              <a:solidFill>
                <a:sysClr val="windowText" lastClr="000000"/>
              </a:solidFill>
            </a:rPr>
            <a:t>9</a:t>
          </a:r>
          <a:r>
            <a:rPr kumimoji="1" lang="ja-JP" altLang="en-US" sz="1100" u="none">
              <a:solidFill>
                <a:sysClr val="windowText" lastClr="000000"/>
              </a:solidFill>
            </a:rPr>
            <a:t>月に冷房→</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u="none">
              <a:solidFill>
                <a:sysClr val="windowText" lastClr="000000"/>
              </a:solidFill>
            </a:rPr>
            <a:t>122</a:t>
          </a:r>
          <a:r>
            <a:rPr kumimoji="1" lang="ja-JP" altLang="en-US" sz="1100" u="none">
              <a:solidFill>
                <a:sysClr val="windowText" lastClr="000000"/>
              </a:solidFill>
            </a:rPr>
            <a:t>日</a:t>
          </a:r>
          <a:r>
            <a:rPr kumimoji="1" lang="ja-JP" altLang="en-US" sz="1100">
              <a:solidFill>
                <a:sysClr val="windowText" lastClr="000000"/>
              </a:solidFill>
            </a:rPr>
            <a:t>＝</a:t>
          </a:r>
          <a:r>
            <a:rPr kumimoji="1" lang="en-US" altLang="ja-JP" sz="1100" u="sng">
              <a:solidFill>
                <a:sysClr val="windowText" lastClr="000000"/>
              </a:solidFill>
            </a:rPr>
            <a:t>976</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r>
            <a:rPr kumimoji="1" lang="ja-JP" altLang="en-US" sz="1100" u="none">
              <a:solidFill>
                <a:sysClr val="windowText" lastClr="000000"/>
              </a:solidFill>
            </a:rPr>
            <a:t>、</a:t>
          </a:r>
          <a:r>
            <a:rPr kumimoji="1" lang="en-US" altLang="ja-JP" sz="1100" u="none">
              <a:solidFill>
                <a:sysClr val="windowText" lastClr="000000"/>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a:t>
          </a:r>
          <a:r>
            <a:rPr kumimoji="1" lang="ja-JP" altLang="en-US" sz="1100">
              <a:solidFill>
                <a:schemeClr val="dk1"/>
              </a:solidFill>
              <a:effectLst/>
              <a:latin typeface="+mn-lt"/>
              <a:ea typeface="+mn-ea"/>
              <a:cs typeface="+mn-cs"/>
            </a:rPr>
            <a:t>暖房</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181</a:t>
          </a:r>
          <a:r>
            <a:rPr kumimoji="1" lang="ja-JP" altLang="ja-JP" sz="1100">
              <a:solidFill>
                <a:schemeClr val="dk1"/>
              </a:solidFill>
              <a:effectLst/>
              <a:latin typeface="+mn-lt"/>
              <a:ea typeface="+mn-ea"/>
              <a:cs typeface="+mn-cs"/>
            </a:rPr>
            <a:t>日＝</a:t>
          </a:r>
          <a:r>
            <a:rPr kumimoji="1" lang="en-US" altLang="ja-JP" sz="1100" u="sng">
              <a:solidFill>
                <a:sysClr val="windowText" lastClr="000000"/>
              </a:solidFill>
              <a:effectLst/>
              <a:latin typeface="+mn-lt"/>
              <a:ea typeface="+mn-ea"/>
              <a:cs typeface="+mn-cs"/>
            </a:rPr>
            <a:t>1448</a:t>
          </a:r>
          <a:r>
            <a:rPr kumimoji="1" lang="ja-JP" altLang="ja-JP" sz="1100" u="sng">
              <a:solidFill>
                <a:sysClr val="windowText" lastClr="000000"/>
              </a:solidFill>
              <a:effectLst/>
              <a:latin typeface="+mn-lt"/>
              <a:ea typeface="+mn-ea"/>
              <a:cs typeface="+mn-cs"/>
            </a:rPr>
            <a:t>時間</a:t>
          </a:r>
          <a:r>
            <a:rPr kumimoji="1" lang="en-US" altLang="ja-JP" sz="1100" u="sng">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年</a:t>
          </a:r>
          <a:endParaRPr kumimoji="1" lang="ja-JP" altLang="en-US" sz="1100" u="sng">
            <a:solidFill>
              <a:sysClr val="windowText" lastClr="000000"/>
            </a:solidFill>
          </a:endParaRPr>
        </a:p>
      </xdr:txBody>
    </xdr:sp>
    <xdr:clientData/>
  </xdr:twoCellAnchor>
  <xdr:twoCellAnchor>
    <xdr:from>
      <xdr:col>4</xdr:col>
      <xdr:colOff>340659</xdr:colOff>
      <xdr:row>43</xdr:row>
      <xdr:rowOff>55926</xdr:rowOff>
    </xdr:from>
    <xdr:to>
      <xdr:col>6</xdr:col>
      <xdr:colOff>268647</xdr:colOff>
      <xdr:row>44</xdr:row>
      <xdr:rowOff>152400</xdr:rowOff>
    </xdr:to>
    <xdr:cxnSp macro="">
      <xdr:nvCxnSpPr>
        <xdr:cNvPr id="39" name="直線矢印コネクタ 38">
          <a:extLst>
            <a:ext uri="{FF2B5EF4-FFF2-40B4-BE49-F238E27FC236}">
              <a16:creationId xmlns:a16="http://schemas.microsoft.com/office/drawing/2014/main" id="{00000000-0008-0000-0800-000027000000}"/>
            </a:ext>
          </a:extLst>
        </xdr:cNvPr>
        <xdr:cNvCxnSpPr>
          <a:stCxn id="34" idx="0"/>
          <a:endCxn id="37" idx="3"/>
        </xdr:cNvCxnSpPr>
      </xdr:nvCxnSpPr>
      <xdr:spPr>
        <a:xfrm flipV="1">
          <a:off x="3137199" y="11325906"/>
          <a:ext cx="1360548" cy="33269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32658</xdr:colOff>
      <xdr:row>21</xdr:row>
      <xdr:rowOff>226039</xdr:rowOff>
    </xdr:from>
    <xdr:to>
      <xdr:col>8</xdr:col>
      <xdr:colOff>385482</xdr:colOff>
      <xdr:row>29</xdr:row>
      <xdr:rowOff>75306</xdr:rowOff>
    </xdr:to>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703218" y="5613379"/>
          <a:ext cx="5343924" cy="1678067"/>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■対象外設備の考え方</a:t>
          </a:r>
          <a:endParaRPr kumimoji="1" lang="en-US" altLang="ja-JP" sz="1100"/>
        </a:p>
        <a:p>
          <a:endParaRPr kumimoji="1" lang="en-US" altLang="ja-JP" sz="1100"/>
        </a:p>
        <a:p>
          <a:r>
            <a:rPr kumimoji="1" lang="ja-JP" altLang="en-US" sz="1100"/>
            <a:t>・現状の台数では暗いので、台数を増やして明るくしたい→対象外（増設）</a:t>
          </a:r>
          <a:endParaRPr kumimoji="1" lang="en-US" altLang="ja-JP" sz="1100"/>
        </a:p>
        <a:p>
          <a:r>
            <a:rPr kumimoji="1" lang="ja-JP" altLang="en-US" sz="1100"/>
            <a:t>・ダウンライトから同等以下の電力の</a:t>
          </a:r>
          <a:r>
            <a:rPr kumimoji="1" lang="en-US" altLang="ja-JP" sz="1100"/>
            <a:t>LED</a:t>
          </a:r>
          <a:r>
            <a:rPr kumimoji="1" lang="ja-JP" altLang="en-US" sz="1100"/>
            <a:t>スポットライトに更新して、効率よく照らしたい（設備の種類が変わる、消費電力・数量は増加しない）→対象（可）</a:t>
          </a:r>
          <a:endParaRPr kumimoji="1" lang="en-US" altLang="ja-JP" sz="1100"/>
        </a:p>
        <a:p>
          <a:r>
            <a:rPr kumimoji="1" lang="ja-JP" altLang="en-US" sz="1100"/>
            <a:t>・設備ごと交換ができない箇所をバイパス工事で</a:t>
          </a:r>
          <a:r>
            <a:rPr kumimoji="1" lang="en-US" altLang="ja-JP" sz="1100"/>
            <a:t>LED</a:t>
          </a:r>
          <a:r>
            <a:rPr kumimoji="1" lang="ja-JP" altLang="en-US" sz="1100"/>
            <a:t>へ光源交換したい→対象外（光源のみの交換）</a:t>
          </a:r>
          <a:endParaRPr kumimoji="1" lang="en-US" altLang="ja-JP" sz="1100"/>
        </a:p>
      </xdr:txBody>
    </xdr:sp>
    <xdr:clientData/>
  </xdr:twoCellAnchor>
  <xdr:twoCellAnchor>
    <xdr:from>
      <xdr:col>8</xdr:col>
      <xdr:colOff>506507</xdr:colOff>
      <xdr:row>37</xdr:row>
      <xdr:rowOff>98612</xdr:rowOff>
    </xdr:from>
    <xdr:to>
      <xdr:col>8</xdr:col>
      <xdr:colOff>645459</xdr:colOff>
      <xdr:row>41</xdr:row>
      <xdr:rowOff>152400</xdr:rowOff>
    </xdr:to>
    <xdr:cxnSp macro="">
      <xdr:nvCxnSpPr>
        <xdr:cNvPr id="41" name="直線矢印コネクタ 40">
          <a:extLst>
            <a:ext uri="{FF2B5EF4-FFF2-40B4-BE49-F238E27FC236}">
              <a16:creationId xmlns:a16="http://schemas.microsoft.com/office/drawing/2014/main" id="{00000000-0008-0000-0800-000029000000}"/>
            </a:ext>
          </a:extLst>
        </xdr:cNvPr>
        <xdr:cNvCxnSpPr>
          <a:endCxn id="42" idx="0"/>
        </xdr:cNvCxnSpPr>
      </xdr:nvCxnSpPr>
      <xdr:spPr>
        <a:xfrm flipH="1">
          <a:off x="6168167" y="9311192"/>
          <a:ext cx="138952" cy="16539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277907</xdr:colOff>
      <xdr:row>41</xdr:row>
      <xdr:rowOff>152400</xdr:rowOff>
    </xdr:from>
    <xdr:to>
      <xdr:col>9</xdr:col>
      <xdr:colOff>17930</xdr:colOff>
      <xdr:row>43</xdr:row>
      <xdr:rowOff>76200</xdr:rowOff>
    </xdr:to>
    <xdr:sp macro="" textlink="">
      <xdr:nvSpPr>
        <xdr:cNvPr id="42" name="楕円 41">
          <a:extLst>
            <a:ext uri="{FF2B5EF4-FFF2-40B4-BE49-F238E27FC236}">
              <a16:creationId xmlns:a16="http://schemas.microsoft.com/office/drawing/2014/main" id="{00000000-0008-0000-0800-00002A000000}"/>
            </a:ext>
          </a:extLst>
        </xdr:cNvPr>
        <xdr:cNvSpPr/>
      </xdr:nvSpPr>
      <xdr:spPr>
        <a:xfrm>
          <a:off x="5939567" y="10965180"/>
          <a:ext cx="456303"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286870</xdr:colOff>
      <xdr:row>41</xdr:row>
      <xdr:rowOff>143436</xdr:rowOff>
    </xdr:from>
    <xdr:to>
      <xdr:col>12</xdr:col>
      <xdr:colOff>26894</xdr:colOff>
      <xdr:row>43</xdr:row>
      <xdr:rowOff>67236</xdr:rowOff>
    </xdr:to>
    <xdr:sp macro="" textlink="">
      <xdr:nvSpPr>
        <xdr:cNvPr id="43" name="楕円 42">
          <a:extLst>
            <a:ext uri="{FF2B5EF4-FFF2-40B4-BE49-F238E27FC236}">
              <a16:creationId xmlns:a16="http://schemas.microsoft.com/office/drawing/2014/main" id="{00000000-0008-0000-0800-00002B000000}"/>
            </a:ext>
          </a:extLst>
        </xdr:cNvPr>
        <xdr:cNvSpPr/>
      </xdr:nvSpPr>
      <xdr:spPr>
        <a:xfrm>
          <a:off x="8097370" y="10956216"/>
          <a:ext cx="456304"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515470</xdr:colOff>
      <xdr:row>37</xdr:row>
      <xdr:rowOff>107577</xdr:rowOff>
    </xdr:from>
    <xdr:to>
      <xdr:col>13</xdr:col>
      <xdr:colOff>62753</xdr:colOff>
      <xdr:row>41</xdr:row>
      <xdr:rowOff>143436</xdr:rowOff>
    </xdr:to>
    <xdr:cxnSp macro="">
      <xdr:nvCxnSpPr>
        <xdr:cNvPr id="44" name="直線矢印コネクタ 43">
          <a:extLst>
            <a:ext uri="{FF2B5EF4-FFF2-40B4-BE49-F238E27FC236}">
              <a16:creationId xmlns:a16="http://schemas.microsoft.com/office/drawing/2014/main" id="{00000000-0008-0000-0800-00002C000000}"/>
            </a:ext>
          </a:extLst>
        </xdr:cNvPr>
        <xdr:cNvCxnSpPr>
          <a:endCxn id="43" idx="0"/>
        </xdr:cNvCxnSpPr>
      </xdr:nvCxnSpPr>
      <xdr:spPr>
        <a:xfrm flipH="1">
          <a:off x="8325970" y="9320157"/>
          <a:ext cx="979843" cy="163605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528917</xdr:colOff>
      <xdr:row>61</xdr:row>
      <xdr:rowOff>62752</xdr:rowOff>
    </xdr:from>
    <xdr:to>
      <xdr:col>15</xdr:col>
      <xdr:colOff>44825</xdr:colOff>
      <xdr:row>66</xdr:row>
      <xdr:rowOff>35859</xdr:rowOff>
    </xdr:to>
    <xdr:sp macro="" textlink="">
      <xdr:nvSpPr>
        <xdr:cNvPr id="55" name="テキスト ボックス 54">
          <a:extLst>
            <a:ext uri="{FF2B5EF4-FFF2-40B4-BE49-F238E27FC236}">
              <a16:creationId xmlns:a16="http://schemas.microsoft.com/office/drawing/2014/main" id="{00000000-0008-0000-0800-000037000000}"/>
            </a:ext>
          </a:extLst>
        </xdr:cNvPr>
        <xdr:cNvSpPr txBox="1"/>
      </xdr:nvSpPr>
      <xdr:spPr>
        <a:xfrm>
          <a:off x="4041737" y="15737092"/>
          <a:ext cx="6678708" cy="113134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負荷率は</a:t>
          </a:r>
          <a:r>
            <a:rPr kumimoji="1" lang="en-US" altLang="ja-JP" sz="1100" u="sng">
              <a:solidFill>
                <a:sysClr val="windowText" lastClr="000000"/>
              </a:solidFill>
            </a:rPr>
            <a:t>40</a:t>
          </a:r>
          <a:r>
            <a:rPr kumimoji="1" lang="ja-JP" altLang="en-US" sz="1100" u="sng">
              <a:solidFill>
                <a:sysClr val="windowText" lastClr="000000"/>
              </a:solidFill>
            </a:rPr>
            <a:t>％</a:t>
          </a:r>
          <a:r>
            <a:rPr kumimoji="1" lang="ja-JP" altLang="en-US" sz="1100">
              <a:solidFill>
                <a:sysClr val="windowText" lastClr="000000"/>
              </a:solidFill>
            </a:rPr>
            <a:t>を</a:t>
          </a:r>
          <a:r>
            <a:rPr kumimoji="1" lang="ja-JP" altLang="en-US" sz="1100"/>
            <a:t>参考値とします。負荷率を把握していない場合は、そのまま算定してください。</a:t>
          </a:r>
          <a:endParaRPr kumimoji="1" lang="en-US" altLang="ja-JP" sz="1100"/>
        </a:p>
        <a:p>
          <a:endParaRPr kumimoji="1" lang="en-US" altLang="ja-JP" sz="1100"/>
        </a:p>
        <a:p>
          <a:r>
            <a:rPr kumimoji="1" lang="en-US" altLang="ja-JP" sz="1100"/>
            <a:t>※</a:t>
          </a:r>
          <a:r>
            <a:rPr kumimoji="1" lang="ja-JP" altLang="en-US" sz="1100"/>
            <a:t>省エネ診断や施工事業者の測定等により負荷率を把握している場合は、その値を入力してください。</a:t>
          </a:r>
          <a:endParaRPr kumimoji="1" lang="en-US" altLang="ja-JP" sz="1100"/>
        </a:p>
        <a:p>
          <a:r>
            <a:rPr kumimoji="1" lang="ja-JP" altLang="en-US" sz="1100"/>
            <a:t>（注意メッセージをご確認の上、「はい」を選択して上書きしてください。）</a:t>
          </a:r>
          <a:endParaRPr kumimoji="1" lang="en-US" altLang="ja-JP" sz="1100"/>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把握している値が複数ある場合は、全体平均を求めるなど、一つの値に整理してください。</a:t>
          </a:r>
          <a:endParaRPr kumimoji="1" lang="en-US" altLang="ja-JP" sz="1100"/>
        </a:p>
      </xdr:txBody>
    </xdr:sp>
    <xdr:clientData/>
  </xdr:twoCellAnchor>
  <xdr:twoCellAnchor>
    <xdr:from>
      <xdr:col>2</xdr:col>
      <xdr:colOff>703724</xdr:colOff>
      <xdr:row>63</xdr:row>
      <xdr:rowOff>98612</xdr:rowOff>
    </xdr:from>
    <xdr:to>
      <xdr:col>5</xdr:col>
      <xdr:colOff>528917</xdr:colOff>
      <xdr:row>66</xdr:row>
      <xdr:rowOff>28755</xdr:rowOff>
    </xdr:to>
    <xdr:cxnSp macro="">
      <xdr:nvCxnSpPr>
        <xdr:cNvPr id="56" name="直線矢印コネクタ 55">
          <a:extLst>
            <a:ext uri="{FF2B5EF4-FFF2-40B4-BE49-F238E27FC236}">
              <a16:creationId xmlns:a16="http://schemas.microsoft.com/office/drawing/2014/main" id="{00000000-0008-0000-0800-000038000000}"/>
            </a:ext>
          </a:extLst>
        </xdr:cNvPr>
        <xdr:cNvCxnSpPr>
          <a:stCxn id="55" idx="1"/>
          <a:endCxn id="57" idx="7"/>
        </xdr:cNvCxnSpPr>
      </xdr:nvCxnSpPr>
      <xdr:spPr>
        <a:xfrm flipH="1">
          <a:off x="2067704" y="16245392"/>
          <a:ext cx="1974033" cy="6159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215153</xdr:colOff>
      <xdr:row>65</xdr:row>
      <xdr:rowOff>180637</xdr:rowOff>
    </xdr:from>
    <xdr:to>
      <xdr:col>3</xdr:col>
      <xdr:colOff>70372</xdr:colOff>
      <xdr:row>68</xdr:row>
      <xdr:rowOff>17929</xdr:rowOff>
    </xdr:to>
    <xdr:sp macro="" textlink="">
      <xdr:nvSpPr>
        <xdr:cNvPr id="57" name="楕円 56">
          <a:extLst>
            <a:ext uri="{FF2B5EF4-FFF2-40B4-BE49-F238E27FC236}">
              <a16:creationId xmlns:a16="http://schemas.microsoft.com/office/drawing/2014/main" id="{00000000-0008-0000-0800-000039000000}"/>
            </a:ext>
          </a:extLst>
        </xdr:cNvPr>
        <xdr:cNvSpPr/>
      </xdr:nvSpPr>
      <xdr:spPr>
        <a:xfrm>
          <a:off x="1579133" y="16784617"/>
          <a:ext cx="571499" cy="55357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322729</xdr:colOff>
      <xdr:row>76</xdr:row>
      <xdr:rowOff>44824</xdr:rowOff>
    </xdr:from>
    <xdr:to>
      <xdr:col>12</xdr:col>
      <xdr:colOff>304800</xdr:colOff>
      <xdr:row>86</xdr:row>
      <xdr:rowOff>53787</xdr:rowOff>
    </xdr:to>
    <xdr:sp macro="" textlink="">
      <xdr:nvSpPr>
        <xdr:cNvPr id="58" name="テキスト ボックス 57">
          <a:extLst>
            <a:ext uri="{FF2B5EF4-FFF2-40B4-BE49-F238E27FC236}">
              <a16:creationId xmlns:a16="http://schemas.microsoft.com/office/drawing/2014/main" id="{00000000-0008-0000-0800-00003A000000}"/>
            </a:ext>
          </a:extLst>
        </xdr:cNvPr>
        <xdr:cNvSpPr txBox="1"/>
      </xdr:nvSpPr>
      <xdr:spPr>
        <a:xfrm>
          <a:off x="3835549" y="19673944"/>
          <a:ext cx="4996031" cy="2294963"/>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・仕様書等が手元にない場合は、メーカー</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7</xdr:col>
      <xdr:colOff>421340</xdr:colOff>
      <xdr:row>74</xdr:row>
      <xdr:rowOff>160023</xdr:rowOff>
    </xdr:from>
    <xdr:to>
      <xdr:col>8</xdr:col>
      <xdr:colOff>672353</xdr:colOff>
      <xdr:row>76</xdr:row>
      <xdr:rowOff>44824</xdr:rowOff>
    </xdr:to>
    <xdr:cxnSp macro="">
      <xdr:nvCxnSpPr>
        <xdr:cNvPr id="59" name="直線矢印コネクタ 58">
          <a:extLst>
            <a:ext uri="{FF2B5EF4-FFF2-40B4-BE49-F238E27FC236}">
              <a16:creationId xmlns:a16="http://schemas.microsoft.com/office/drawing/2014/main" id="{00000000-0008-0000-0800-00003B000000}"/>
            </a:ext>
          </a:extLst>
        </xdr:cNvPr>
        <xdr:cNvCxnSpPr>
          <a:stCxn id="58" idx="0"/>
          <a:endCxn id="60" idx="4"/>
        </xdr:cNvCxnSpPr>
      </xdr:nvCxnSpPr>
      <xdr:spPr>
        <a:xfrm flipH="1" flipV="1">
          <a:off x="5366720" y="19324323"/>
          <a:ext cx="967293" cy="3496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206187</xdr:colOff>
      <xdr:row>72</xdr:row>
      <xdr:rowOff>151057</xdr:rowOff>
    </xdr:from>
    <xdr:to>
      <xdr:col>8</xdr:col>
      <xdr:colOff>636493</xdr:colOff>
      <xdr:row>74</xdr:row>
      <xdr:rowOff>160023</xdr:rowOff>
    </xdr:to>
    <xdr:sp macro="" textlink="">
      <xdr:nvSpPr>
        <xdr:cNvPr id="60" name="楕円 59">
          <a:extLst>
            <a:ext uri="{FF2B5EF4-FFF2-40B4-BE49-F238E27FC236}">
              <a16:creationId xmlns:a16="http://schemas.microsoft.com/office/drawing/2014/main" id="{00000000-0008-0000-0800-00003C000000}"/>
            </a:ext>
          </a:extLst>
        </xdr:cNvPr>
        <xdr:cNvSpPr/>
      </xdr:nvSpPr>
      <xdr:spPr>
        <a:xfrm>
          <a:off x="4435287" y="18858157"/>
          <a:ext cx="1862866"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215153</xdr:colOff>
      <xdr:row>72</xdr:row>
      <xdr:rowOff>152400</xdr:rowOff>
    </xdr:from>
    <xdr:to>
      <xdr:col>12</xdr:col>
      <xdr:colOff>708212</xdr:colOff>
      <xdr:row>74</xdr:row>
      <xdr:rowOff>80682</xdr:rowOff>
    </xdr:to>
    <xdr:sp macro="" textlink="">
      <xdr:nvSpPr>
        <xdr:cNvPr id="61" name="楕円 60">
          <a:extLst>
            <a:ext uri="{FF2B5EF4-FFF2-40B4-BE49-F238E27FC236}">
              <a16:creationId xmlns:a16="http://schemas.microsoft.com/office/drawing/2014/main" id="{00000000-0008-0000-0800-00003D000000}"/>
            </a:ext>
          </a:extLst>
        </xdr:cNvPr>
        <xdr:cNvSpPr/>
      </xdr:nvSpPr>
      <xdr:spPr>
        <a:xfrm>
          <a:off x="7309373" y="18859500"/>
          <a:ext cx="1925619" cy="3854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672353</xdr:colOff>
      <xdr:row>74</xdr:row>
      <xdr:rowOff>22917</xdr:rowOff>
    </xdr:from>
    <xdr:to>
      <xdr:col>10</xdr:col>
      <xdr:colOff>497416</xdr:colOff>
      <xdr:row>76</xdr:row>
      <xdr:rowOff>44824</xdr:rowOff>
    </xdr:to>
    <xdr:cxnSp macro="">
      <xdr:nvCxnSpPr>
        <xdr:cNvPr id="62" name="直線矢印コネクタ 61">
          <a:extLst>
            <a:ext uri="{FF2B5EF4-FFF2-40B4-BE49-F238E27FC236}">
              <a16:creationId xmlns:a16="http://schemas.microsoft.com/office/drawing/2014/main" id="{00000000-0008-0000-0800-00003E000000}"/>
            </a:ext>
          </a:extLst>
        </xdr:cNvPr>
        <xdr:cNvCxnSpPr>
          <a:stCxn id="58" idx="0"/>
          <a:endCxn id="61" idx="3"/>
        </xdr:cNvCxnSpPr>
      </xdr:nvCxnSpPr>
      <xdr:spPr>
        <a:xfrm flipV="1">
          <a:off x="6334013" y="19187217"/>
          <a:ext cx="1257623" cy="4867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528918</xdr:colOff>
      <xdr:row>66</xdr:row>
      <xdr:rowOff>116541</xdr:rowOff>
    </xdr:from>
    <xdr:to>
      <xdr:col>16</xdr:col>
      <xdr:colOff>528918</xdr:colOff>
      <xdr:row>68</xdr:row>
      <xdr:rowOff>215153</xdr:rowOff>
    </xdr:to>
    <xdr:sp macro="" textlink="">
      <xdr:nvSpPr>
        <xdr:cNvPr id="63" name="テキスト ボックス 62">
          <a:extLst>
            <a:ext uri="{FF2B5EF4-FFF2-40B4-BE49-F238E27FC236}">
              <a16:creationId xmlns:a16="http://schemas.microsoft.com/office/drawing/2014/main" id="{00000000-0008-0000-0800-00003F000000}"/>
            </a:ext>
          </a:extLst>
        </xdr:cNvPr>
        <xdr:cNvSpPr txBox="1"/>
      </xdr:nvSpPr>
      <xdr:spPr>
        <a:xfrm>
          <a:off x="4041738" y="16949121"/>
          <a:ext cx="7879080" cy="58629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●年間冷房（暖房）時間は、実際に設備を稼働している時間を記載してください。（根拠資料の提出は任意です。）</a:t>
          </a:r>
          <a:endParaRPr kumimoji="1" lang="en-US" altLang="ja-JP" sz="1100"/>
        </a:p>
        <a:p>
          <a:r>
            <a:rPr kumimoji="1" lang="ja-JP" altLang="en-US" sz="1100"/>
            <a:t>例：</a:t>
          </a:r>
          <a:r>
            <a:rPr kumimoji="1" lang="en-US" altLang="ja-JP" sz="1100" u="none">
              <a:solidFill>
                <a:sysClr val="windowText" lastClr="000000"/>
              </a:solidFill>
            </a:rPr>
            <a:t>6</a:t>
          </a:r>
          <a:r>
            <a:rPr kumimoji="1" lang="ja-JP" altLang="en-US" sz="1100" u="none">
              <a:solidFill>
                <a:sysClr val="windowText" lastClr="000000"/>
              </a:solidFill>
            </a:rPr>
            <a:t>～</a:t>
          </a:r>
          <a:r>
            <a:rPr kumimoji="1" lang="en-US" altLang="ja-JP" sz="1100" u="none">
              <a:solidFill>
                <a:sysClr val="windowText" lastClr="000000"/>
              </a:solidFill>
            </a:rPr>
            <a:t>9</a:t>
          </a:r>
          <a:r>
            <a:rPr kumimoji="1" lang="ja-JP" altLang="en-US" sz="1100" u="none">
              <a:solidFill>
                <a:sysClr val="windowText" lastClr="000000"/>
              </a:solidFill>
            </a:rPr>
            <a:t>月に冷房→</a:t>
          </a:r>
          <a:r>
            <a:rPr kumimoji="1" lang="en-US" altLang="ja-JP" sz="1100" u="none">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u="none">
              <a:solidFill>
                <a:sysClr val="windowText" lastClr="000000"/>
              </a:solidFill>
            </a:rPr>
            <a:t>122</a:t>
          </a:r>
          <a:r>
            <a:rPr kumimoji="1" lang="ja-JP" altLang="en-US" sz="1100" u="none">
              <a:solidFill>
                <a:sysClr val="windowText" lastClr="000000"/>
              </a:solidFill>
            </a:rPr>
            <a:t>日</a:t>
          </a:r>
          <a:r>
            <a:rPr kumimoji="1" lang="ja-JP" altLang="en-US" sz="1100"/>
            <a:t>＝</a:t>
          </a:r>
          <a:r>
            <a:rPr kumimoji="1" lang="en-US" altLang="ja-JP" sz="1100" u="sng">
              <a:solidFill>
                <a:sysClr val="windowText" lastClr="000000"/>
              </a:solidFill>
            </a:rPr>
            <a:t>1220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r>
            <a:rPr kumimoji="1" lang="ja-JP" altLang="en-US" sz="1100" u="none">
              <a:solidFill>
                <a:sysClr val="windowText" lastClr="000000"/>
              </a:solidFill>
            </a:rPr>
            <a:t>、</a:t>
          </a:r>
          <a:r>
            <a:rPr kumimoji="1" lang="en-US" altLang="ja-JP" sz="1100" u="none">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a:t>
          </a:r>
          <a:r>
            <a:rPr kumimoji="1" lang="ja-JP" altLang="en-US" sz="1100">
              <a:solidFill>
                <a:schemeClr val="dk1"/>
              </a:solidFill>
              <a:effectLst/>
              <a:latin typeface="+mn-lt"/>
              <a:ea typeface="+mn-ea"/>
              <a:cs typeface="+mn-cs"/>
            </a:rPr>
            <a:t>暖房</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日</a:t>
          </a:r>
          <a:r>
            <a:rPr kumimoji="1" lang="ja-JP" altLang="ja-JP" sz="1100">
              <a:solidFill>
                <a:sysClr val="windowText" lastClr="000000"/>
              </a:solidFill>
              <a:effectLst/>
              <a:latin typeface="+mn-lt"/>
              <a:ea typeface="+mn-ea"/>
              <a:cs typeface="+mn-cs"/>
            </a:rPr>
            <a:t>＝</a:t>
          </a:r>
          <a:r>
            <a:rPr kumimoji="1" lang="en-US" altLang="ja-JP" sz="1100" u="sng">
              <a:solidFill>
                <a:sysClr val="windowText" lastClr="000000"/>
              </a:solidFill>
              <a:effectLst/>
              <a:latin typeface="+mn-lt"/>
              <a:ea typeface="+mn-ea"/>
              <a:cs typeface="+mn-cs"/>
            </a:rPr>
            <a:t>1810</a:t>
          </a:r>
          <a:r>
            <a:rPr kumimoji="1" lang="ja-JP" altLang="ja-JP" sz="1100" u="sng">
              <a:solidFill>
                <a:sysClr val="windowText" lastClr="000000"/>
              </a:solidFill>
              <a:effectLst/>
              <a:latin typeface="+mn-lt"/>
              <a:ea typeface="+mn-ea"/>
              <a:cs typeface="+mn-cs"/>
            </a:rPr>
            <a:t>時間</a:t>
          </a:r>
          <a:r>
            <a:rPr kumimoji="1" lang="en-US" altLang="ja-JP" sz="1100" u="sng">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年</a:t>
          </a:r>
          <a:endParaRPr kumimoji="1" lang="ja-JP" altLang="en-US" sz="1100" u="sng">
            <a:solidFill>
              <a:sysClr val="windowText" lastClr="000000"/>
            </a:solidFill>
          </a:endParaRPr>
        </a:p>
      </xdr:txBody>
    </xdr:sp>
    <xdr:clientData/>
  </xdr:twoCellAnchor>
  <xdr:twoCellAnchor>
    <xdr:from>
      <xdr:col>9</xdr:col>
      <xdr:colOff>403411</xdr:colOff>
      <xdr:row>68</xdr:row>
      <xdr:rowOff>107577</xdr:rowOff>
    </xdr:from>
    <xdr:to>
      <xdr:col>9</xdr:col>
      <xdr:colOff>470648</xdr:colOff>
      <xdr:row>72</xdr:row>
      <xdr:rowOff>134469</xdr:rowOff>
    </xdr:to>
    <xdr:cxnSp macro="">
      <xdr:nvCxnSpPr>
        <xdr:cNvPr id="64" name="直線矢印コネクタ 63">
          <a:extLst>
            <a:ext uri="{FF2B5EF4-FFF2-40B4-BE49-F238E27FC236}">
              <a16:creationId xmlns:a16="http://schemas.microsoft.com/office/drawing/2014/main" id="{00000000-0008-0000-0800-000040000000}"/>
            </a:ext>
          </a:extLst>
        </xdr:cNvPr>
        <xdr:cNvCxnSpPr>
          <a:endCxn id="65" idx="0"/>
        </xdr:cNvCxnSpPr>
      </xdr:nvCxnSpPr>
      <xdr:spPr>
        <a:xfrm>
          <a:off x="6781351" y="17427837"/>
          <a:ext cx="67237" cy="14137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242048</xdr:colOff>
      <xdr:row>72</xdr:row>
      <xdr:rowOff>134469</xdr:rowOff>
    </xdr:from>
    <xdr:to>
      <xdr:col>9</xdr:col>
      <xdr:colOff>699248</xdr:colOff>
      <xdr:row>74</xdr:row>
      <xdr:rowOff>58269</xdr:rowOff>
    </xdr:to>
    <xdr:sp macro="" textlink="">
      <xdr:nvSpPr>
        <xdr:cNvPr id="65" name="楕円 64">
          <a:extLst>
            <a:ext uri="{FF2B5EF4-FFF2-40B4-BE49-F238E27FC236}">
              <a16:creationId xmlns:a16="http://schemas.microsoft.com/office/drawing/2014/main" id="{00000000-0008-0000-0800-000041000000}"/>
            </a:ext>
          </a:extLst>
        </xdr:cNvPr>
        <xdr:cNvSpPr/>
      </xdr:nvSpPr>
      <xdr:spPr>
        <a:xfrm>
          <a:off x="6619988" y="18841569"/>
          <a:ext cx="4572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295836</xdr:colOff>
      <xdr:row>72</xdr:row>
      <xdr:rowOff>206188</xdr:rowOff>
    </xdr:from>
    <xdr:to>
      <xdr:col>14</xdr:col>
      <xdr:colOff>35859</xdr:colOff>
      <xdr:row>74</xdr:row>
      <xdr:rowOff>129988</xdr:rowOff>
    </xdr:to>
    <xdr:sp macro="" textlink="">
      <xdr:nvSpPr>
        <xdr:cNvPr id="66" name="楕円 65">
          <a:extLst>
            <a:ext uri="{FF2B5EF4-FFF2-40B4-BE49-F238E27FC236}">
              <a16:creationId xmlns:a16="http://schemas.microsoft.com/office/drawing/2014/main" id="{00000000-0008-0000-0800-000042000000}"/>
            </a:ext>
          </a:extLst>
        </xdr:cNvPr>
        <xdr:cNvSpPr/>
      </xdr:nvSpPr>
      <xdr:spPr>
        <a:xfrm>
          <a:off x="9538896" y="18913288"/>
          <a:ext cx="456303"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519953</xdr:colOff>
      <xdr:row>68</xdr:row>
      <xdr:rowOff>89647</xdr:rowOff>
    </xdr:from>
    <xdr:to>
      <xdr:col>13</xdr:col>
      <xdr:colOff>524436</xdr:colOff>
      <xdr:row>72</xdr:row>
      <xdr:rowOff>206188</xdr:rowOff>
    </xdr:to>
    <xdr:cxnSp macro="">
      <xdr:nvCxnSpPr>
        <xdr:cNvPr id="67" name="直線矢印コネクタ 66">
          <a:extLst>
            <a:ext uri="{FF2B5EF4-FFF2-40B4-BE49-F238E27FC236}">
              <a16:creationId xmlns:a16="http://schemas.microsoft.com/office/drawing/2014/main" id="{00000000-0008-0000-0800-000043000000}"/>
            </a:ext>
          </a:extLst>
        </xdr:cNvPr>
        <xdr:cNvCxnSpPr>
          <a:endCxn id="66" idx="0"/>
        </xdr:cNvCxnSpPr>
      </xdr:nvCxnSpPr>
      <xdr:spPr>
        <a:xfrm>
          <a:off x="9763013" y="17409907"/>
          <a:ext cx="4483" cy="15033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528919</xdr:colOff>
      <xdr:row>78</xdr:row>
      <xdr:rowOff>17929</xdr:rowOff>
    </xdr:from>
    <xdr:to>
      <xdr:col>16</xdr:col>
      <xdr:colOff>152401</xdr:colOff>
      <xdr:row>86</xdr:row>
      <xdr:rowOff>53787</xdr:rowOff>
    </xdr:to>
    <xdr:sp macro=""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9055699" y="20104249"/>
          <a:ext cx="2488602" cy="18646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●定格能力・消費電力を記入して、算定してください。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・定格能力の合計</a:t>
          </a:r>
          <a:r>
            <a:rPr kumimoji="1" lang="en-US" altLang="ja-JP" sz="1100"/>
            <a:t>(kW)</a:t>
          </a:r>
          <a:r>
            <a:rPr kumimoji="1" lang="ja-JP" altLang="en-US" sz="1100"/>
            <a:t>の増加は原則認められません。</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16</xdr:col>
      <xdr:colOff>708210</xdr:colOff>
      <xdr:row>72</xdr:row>
      <xdr:rowOff>206189</xdr:rowOff>
    </xdr:from>
    <xdr:to>
      <xdr:col>22</xdr:col>
      <xdr:colOff>62753</xdr:colOff>
      <xdr:row>74</xdr:row>
      <xdr:rowOff>44824</xdr:rowOff>
    </xdr:to>
    <xdr:sp macro="" textlink="">
      <xdr:nvSpPr>
        <xdr:cNvPr id="69" name="正方形/長方形 68">
          <a:extLst>
            <a:ext uri="{FF2B5EF4-FFF2-40B4-BE49-F238E27FC236}">
              <a16:creationId xmlns:a16="http://schemas.microsoft.com/office/drawing/2014/main" id="{00000000-0008-0000-0800-000045000000}"/>
            </a:ext>
          </a:extLst>
        </xdr:cNvPr>
        <xdr:cNvSpPr/>
      </xdr:nvSpPr>
      <xdr:spPr>
        <a:xfrm>
          <a:off x="12100110" y="18913289"/>
          <a:ext cx="3652223" cy="2958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645459</xdr:colOff>
      <xdr:row>72</xdr:row>
      <xdr:rowOff>215153</xdr:rowOff>
    </xdr:from>
    <xdr:to>
      <xdr:col>26</xdr:col>
      <xdr:colOff>44824</xdr:colOff>
      <xdr:row>74</xdr:row>
      <xdr:rowOff>44825</xdr:rowOff>
    </xdr:to>
    <xdr:sp macro="" textlink="">
      <xdr:nvSpPr>
        <xdr:cNvPr id="70" name="正方形/長方形 69">
          <a:extLst>
            <a:ext uri="{FF2B5EF4-FFF2-40B4-BE49-F238E27FC236}">
              <a16:creationId xmlns:a16="http://schemas.microsoft.com/office/drawing/2014/main" id="{00000000-0008-0000-0800-000046000000}"/>
            </a:ext>
          </a:extLst>
        </xdr:cNvPr>
        <xdr:cNvSpPr/>
      </xdr:nvSpPr>
      <xdr:spPr>
        <a:xfrm>
          <a:off x="16335039" y="18922253"/>
          <a:ext cx="2081605" cy="28687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152401</xdr:colOff>
      <xdr:row>79</xdr:row>
      <xdr:rowOff>116541</xdr:rowOff>
    </xdr:from>
    <xdr:to>
      <xdr:col>17</xdr:col>
      <xdr:colOff>1</xdr:colOff>
      <xdr:row>82</xdr:row>
      <xdr:rowOff>35858</xdr:rowOff>
    </xdr:to>
    <xdr:cxnSp macro="">
      <xdr:nvCxnSpPr>
        <xdr:cNvPr id="71" name="直線矢印コネクタ 70">
          <a:extLst>
            <a:ext uri="{FF2B5EF4-FFF2-40B4-BE49-F238E27FC236}">
              <a16:creationId xmlns:a16="http://schemas.microsoft.com/office/drawing/2014/main" id="{00000000-0008-0000-0800-000047000000}"/>
            </a:ext>
          </a:extLst>
        </xdr:cNvPr>
        <xdr:cNvCxnSpPr>
          <a:stCxn id="68" idx="3"/>
          <a:endCxn id="83" idx="1"/>
        </xdr:cNvCxnSpPr>
      </xdr:nvCxnSpPr>
      <xdr:spPr>
        <a:xfrm flipV="1">
          <a:off x="11544301" y="20431461"/>
          <a:ext cx="563880" cy="6051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82</xdr:row>
      <xdr:rowOff>35858</xdr:rowOff>
    </xdr:from>
    <xdr:to>
      <xdr:col>17</xdr:col>
      <xdr:colOff>0</xdr:colOff>
      <xdr:row>85</xdr:row>
      <xdr:rowOff>116541</xdr:rowOff>
    </xdr:to>
    <xdr:cxnSp macro="">
      <xdr:nvCxnSpPr>
        <xdr:cNvPr id="72" name="直線矢印コネクタ 71">
          <a:extLst>
            <a:ext uri="{FF2B5EF4-FFF2-40B4-BE49-F238E27FC236}">
              <a16:creationId xmlns:a16="http://schemas.microsoft.com/office/drawing/2014/main" id="{00000000-0008-0000-0800-000048000000}"/>
            </a:ext>
          </a:extLst>
        </xdr:cNvPr>
        <xdr:cNvCxnSpPr>
          <a:stCxn id="68" idx="3"/>
          <a:endCxn id="84" idx="1"/>
        </xdr:cNvCxnSpPr>
      </xdr:nvCxnSpPr>
      <xdr:spPr>
        <a:xfrm>
          <a:off x="11544301" y="21036578"/>
          <a:ext cx="563879" cy="7664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680870</xdr:colOff>
      <xdr:row>75</xdr:row>
      <xdr:rowOff>198119</xdr:rowOff>
    </xdr:from>
    <xdr:to>
      <xdr:col>21</xdr:col>
      <xdr:colOff>72166</xdr:colOff>
      <xdr:row>77</xdr:row>
      <xdr:rowOff>54684</xdr:rowOff>
    </xdr:to>
    <xdr:sp macro="" textlink="">
      <xdr:nvSpPr>
        <xdr:cNvPr id="78" name="正方形/長方形 77">
          <a:extLst>
            <a:ext uri="{FF2B5EF4-FFF2-40B4-BE49-F238E27FC236}">
              <a16:creationId xmlns:a16="http://schemas.microsoft.com/office/drawing/2014/main" id="{00000000-0008-0000-0800-00004E000000}"/>
            </a:ext>
          </a:extLst>
        </xdr:cNvPr>
        <xdr:cNvSpPr/>
      </xdr:nvSpPr>
      <xdr:spPr>
        <a:xfrm>
          <a:off x="14221610" y="19598639"/>
          <a:ext cx="823856" cy="31376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125506</xdr:colOff>
      <xdr:row>74</xdr:row>
      <xdr:rowOff>98611</xdr:rowOff>
    </xdr:from>
    <xdr:to>
      <xdr:col>20</xdr:col>
      <xdr:colOff>618565</xdr:colOff>
      <xdr:row>75</xdr:row>
      <xdr:rowOff>161364</xdr:rowOff>
    </xdr:to>
    <xdr:sp macro="" textlink="">
      <xdr:nvSpPr>
        <xdr:cNvPr id="79" name="下矢印 78">
          <a:extLst>
            <a:ext uri="{FF2B5EF4-FFF2-40B4-BE49-F238E27FC236}">
              <a16:creationId xmlns:a16="http://schemas.microsoft.com/office/drawing/2014/main" id="{00000000-0008-0000-0800-00004F000000}"/>
            </a:ext>
          </a:extLst>
        </xdr:cNvPr>
        <xdr:cNvSpPr/>
      </xdr:nvSpPr>
      <xdr:spPr>
        <a:xfrm rot="10800000">
          <a:off x="14382526" y="19262911"/>
          <a:ext cx="493059" cy="298973"/>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367552</xdr:colOff>
      <xdr:row>90</xdr:row>
      <xdr:rowOff>53787</xdr:rowOff>
    </xdr:from>
    <xdr:to>
      <xdr:col>16</xdr:col>
      <xdr:colOff>295835</xdr:colOff>
      <xdr:row>92</xdr:row>
      <xdr:rowOff>224117</xdr:rowOff>
    </xdr:to>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a:off x="8178052" y="22883307"/>
          <a:ext cx="3509683" cy="62753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●最大・中間・最低能力、低温能力など、定格以外の能力では算定しないでください。</a:t>
          </a:r>
          <a:endParaRPr kumimoji="1" lang="en-US" altLang="ja-JP" sz="1100"/>
        </a:p>
      </xdr:txBody>
    </xdr:sp>
    <xdr:clientData/>
  </xdr:twoCellAnchor>
  <xdr:twoCellAnchor>
    <xdr:from>
      <xdr:col>16</xdr:col>
      <xdr:colOff>295835</xdr:colOff>
      <xdr:row>88</xdr:row>
      <xdr:rowOff>111834</xdr:rowOff>
    </xdr:from>
    <xdr:to>
      <xdr:col>17</xdr:col>
      <xdr:colOff>26894</xdr:colOff>
      <xdr:row>91</xdr:row>
      <xdr:rowOff>138952</xdr:rowOff>
    </xdr:to>
    <xdr:cxnSp macro="">
      <xdr:nvCxnSpPr>
        <xdr:cNvPr id="81" name="直線矢印コネクタ 80">
          <a:extLst>
            <a:ext uri="{FF2B5EF4-FFF2-40B4-BE49-F238E27FC236}">
              <a16:creationId xmlns:a16="http://schemas.microsoft.com/office/drawing/2014/main" id="{00000000-0008-0000-0800-000051000000}"/>
            </a:ext>
          </a:extLst>
        </xdr:cNvPr>
        <xdr:cNvCxnSpPr>
          <a:stCxn id="80" idx="3"/>
          <a:endCxn id="85" idx="2"/>
        </xdr:cNvCxnSpPr>
      </xdr:nvCxnSpPr>
      <xdr:spPr>
        <a:xfrm flipV="1">
          <a:off x="11687735" y="22484154"/>
          <a:ext cx="447339" cy="7129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20171</xdr:colOff>
      <xdr:row>81</xdr:row>
      <xdr:rowOff>98613</xdr:rowOff>
    </xdr:from>
    <xdr:to>
      <xdr:col>17</xdr:col>
      <xdr:colOff>699247</xdr:colOff>
      <xdr:row>83</xdr:row>
      <xdr:rowOff>142988</xdr:rowOff>
    </xdr:to>
    <xdr:sp macro="" textlink="">
      <xdr:nvSpPr>
        <xdr:cNvPr id="82" name="楕円 81">
          <a:extLst>
            <a:ext uri="{FF2B5EF4-FFF2-40B4-BE49-F238E27FC236}">
              <a16:creationId xmlns:a16="http://schemas.microsoft.com/office/drawing/2014/main" id="{00000000-0008-0000-0800-000052000000}"/>
            </a:ext>
          </a:extLst>
        </xdr:cNvPr>
        <xdr:cNvSpPr/>
      </xdr:nvSpPr>
      <xdr:spPr>
        <a:xfrm>
          <a:off x="12128351" y="20870733"/>
          <a:ext cx="679076" cy="5015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78</xdr:row>
      <xdr:rowOff>0</xdr:rowOff>
    </xdr:from>
    <xdr:to>
      <xdr:col>21</xdr:col>
      <xdr:colOff>1</xdr:colOff>
      <xdr:row>81</xdr:row>
      <xdr:rowOff>1</xdr:rowOff>
    </xdr:to>
    <xdr:sp macro="" textlink="">
      <xdr:nvSpPr>
        <xdr:cNvPr id="83" name="正方形/長方形 82">
          <a:extLst>
            <a:ext uri="{FF2B5EF4-FFF2-40B4-BE49-F238E27FC236}">
              <a16:creationId xmlns:a16="http://schemas.microsoft.com/office/drawing/2014/main" id="{00000000-0008-0000-0800-000053000000}"/>
            </a:ext>
          </a:extLst>
        </xdr:cNvPr>
        <xdr:cNvSpPr/>
      </xdr:nvSpPr>
      <xdr:spPr>
        <a:xfrm>
          <a:off x="12108181" y="20086320"/>
          <a:ext cx="2865120" cy="6858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84</xdr:row>
      <xdr:rowOff>0</xdr:rowOff>
    </xdr:from>
    <xdr:to>
      <xdr:col>21</xdr:col>
      <xdr:colOff>0</xdr:colOff>
      <xdr:row>87</xdr:row>
      <xdr:rowOff>1</xdr:rowOff>
    </xdr:to>
    <xdr:sp macro="" textlink="">
      <xdr:nvSpPr>
        <xdr:cNvPr id="84" name="正方形/長方形 83">
          <a:extLst>
            <a:ext uri="{FF2B5EF4-FFF2-40B4-BE49-F238E27FC236}">
              <a16:creationId xmlns:a16="http://schemas.microsoft.com/office/drawing/2014/main" id="{00000000-0008-0000-0800-000054000000}"/>
            </a:ext>
          </a:extLst>
        </xdr:cNvPr>
        <xdr:cNvSpPr/>
      </xdr:nvSpPr>
      <xdr:spPr>
        <a:xfrm>
          <a:off x="12108180" y="21457920"/>
          <a:ext cx="2865120" cy="6858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26894</xdr:colOff>
      <xdr:row>87</xdr:row>
      <xdr:rowOff>89647</xdr:rowOff>
    </xdr:from>
    <xdr:to>
      <xdr:col>17</xdr:col>
      <xdr:colOff>705970</xdr:colOff>
      <xdr:row>89</xdr:row>
      <xdr:rowOff>134022</xdr:rowOff>
    </xdr:to>
    <xdr:sp macro="" textlink="">
      <xdr:nvSpPr>
        <xdr:cNvPr id="85" name="楕円 84">
          <a:extLst>
            <a:ext uri="{FF2B5EF4-FFF2-40B4-BE49-F238E27FC236}">
              <a16:creationId xmlns:a16="http://schemas.microsoft.com/office/drawing/2014/main" id="{00000000-0008-0000-0800-000055000000}"/>
            </a:ext>
          </a:extLst>
        </xdr:cNvPr>
        <xdr:cNvSpPr/>
      </xdr:nvSpPr>
      <xdr:spPr>
        <a:xfrm>
          <a:off x="12135074" y="22233367"/>
          <a:ext cx="679076" cy="5015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26894</xdr:colOff>
      <xdr:row>90</xdr:row>
      <xdr:rowOff>89647</xdr:rowOff>
    </xdr:from>
    <xdr:to>
      <xdr:col>17</xdr:col>
      <xdr:colOff>705970</xdr:colOff>
      <xdr:row>92</xdr:row>
      <xdr:rowOff>134023</xdr:rowOff>
    </xdr:to>
    <xdr:sp macro="" textlink="">
      <xdr:nvSpPr>
        <xdr:cNvPr id="86" name="楕円 85">
          <a:extLst>
            <a:ext uri="{FF2B5EF4-FFF2-40B4-BE49-F238E27FC236}">
              <a16:creationId xmlns:a16="http://schemas.microsoft.com/office/drawing/2014/main" id="{00000000-0008-0000-0800-000056000000}"/>
            </a:ext>
          </a:extLst>
        </xdr:cNvPr>
        <xdr:cNvSpPr/>
      </xdr:nvSpPr>
      <xdr:spPr>
        <a:xfrm>
          <a:off x="12135074" y="22919167"/>
          <a:ext cx="679076" cy="501576"/>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295835</xdr:colOff>
      <xdr:row>83</xdr:row>
      <xdr:rowOff>68221</xdr:rowOff>
    </xdr:from>
    <xdr:to>
      <xdr:col>17</xdr:col>
      <xdr:colOff>119619</xdr:colOff>
      <xdr:row>91</xdr:row>
      <xdr:rowOff>138952</xdr:rowOff>
    </xdr:to>
    <xdr:cxnSp macro="">
      <xdr:nvCxnSpPr>
        <xdr:cNvPr id="87" name="直線矢印コネクタ 86">
          <a:extLst>
            <a:ext uri="{FF2B5EF4-FFF2-40B4-BE49-F238E27FC236}">
              <a16:creationId xmlns:a16="http://schemas.microsoft.com/office/drawing/2014/main" id="{00000000-0008-0000-0800-000057000000}"/>
            </a:ext>
          </a:extLst>
        </xdr:cNvPr>
        <xdr:cNvCxnSpPr>
          <a:stCxn id="80" idx="3"/>
          <a:endCxn id="82" idx="3"/>
        </xdr:cNvCxnSpPr>
      </xdr:nvCxnSpPr>
      <xdr:spPr>
        <a:xfrm flipV="1">
          <a:off x="11687735" y="21297541"/>
          <a:ext cx="540064" cy="18995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295835</xdr:colOff>
      <xdr:row>91</xdr:row>
      <xdr:rowOff>111835</xdr:rowOff>
    </xdr:from>
    <xdr:to>
      <xdr:col>17</xdr:col>
      <xdr:colOff>26894</xdr:colOff>
      <xdr:row>91</xdr:row>
      <xdr:rowOff>138952</xdr:rowOff>
    </xdr:to>
    <xdr:cxnSp macro="">
      <xdr:nvCxnSpPr>
        <xdr:cNvPr id="88" name="直線矢印コネクタ 87">
          <a:extLst>
            <a:ext uri="{FF2B5EF4-FFF2-40B4-BE49-F238E27FC236}">
              <a16:creationId xmlns:a16="http://schemas.microsoft.com/office/drawing/2014/main" id="{00000000-0008-0000-0800-000058000000}"/>
            </a:ext>
          </a:extLst>
        </xdr:cNvPr>
        <xdr:cNvCxnSpPr>
          <a:stCxn id="80" idx="3"/>
          <a:endCxn id="86" idx="2"/>
        </xdr:cNvCxnSpPr>
      </xdr:nvCxnSpPr>
      <xdr:spPr>
        <a:xfrm flipV="1">
          <a:off x="11687735" y="23169955"/>
          <a:ext cx="447339" cy="271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215153</xdr:colOff>
      <xdr:row>95</xdr:row>
      <xdr:rowOff>8963</xdr:rowOff>
    </xdr:from>
    <xdr:to>
      <xdr:col>17</xdr:col>
      <xdr:colOff>331694</xdr:colOff>
      <xdr:row>103</xdr:row>
      <xdr:rowOff>80682</xdr:rowOff>
    </xdr:to>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4444253" y="24118643"/>
          <a:ext cx="7995621" cy="196147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●仕様書等にある、定格能力等で算定してください。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・仕様書等が手元にない、能力で不明点がある場合は、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a:t>
          </a:r>
          <a:r>
            <a:rPr kumimoji="1" lang="ja-JP" altLang="en-US" sz="1100">
              <a:solidFill>
                <a:schemeClr val="dk1"/>
              </a:solidFill>
              <a:effectLst/>
              <a:latin typeface="+mn-lt"/>
              <a:ea typeface="+mn-ea"/>
              <a:cs typeface="+mn-cs"/>
            </a:rPr>
            <a:t>メーカーへ</a:t>
          </a:r>
          <a:r>
            <a:rPr kumimoji="1" lang="ja-JP" altLang="ja-JP" sz="1100">
              <a:solidFill>
                <a:schemeClr val="dk1"/>
              </a:solidFill>
              <a:effectLst/>
              <a:latin typeface="+mn-lt"/>
              <a:ea typeface="+mn-ea"/>
              <a:cs typeface="+mn-cs"/>
            </a:rPr>
            <a:t>問合せ</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確認してください。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11</xdr:col>
      <xdr:colOff>658905</xdr:colOff>
      <xdr:row>103</xdr:row>
      <xdr:rowOff>80682</xdr:rowOff>
    </xdr:from>
    <xdr:to>
      <xdr:col>12</xdr:col>
      <xdr:colOff>197224</xdr:colOff>
      <xdr:row>110</xdr:row>
      <xdr:rowOff>0</xdr:rowOff>
    </xdr:to>
    <xdr:cxnSp macro="">
      <xdr:nvCxnSpPr>
        <xdr:cNvPr id="90" name="直線矢印コネクタ 89">
          <a:extLst>
            <a:ext uri="{FF2B5EF4-FFF2-40B4-BE49-F238E27FC236}">
              <a16:creationId xmlns:a16="http://schemas.microsoft.com/office/drawing/2014/main" id="{00000000-0008-0000-0800-00005A000000}"/>
            </a:ext>
          </a:extLst>
        </xdr:cNvPr>
        <xdr:cNvCxnSpPr/>
      </xdr:nvCxnSpPr>
      <xdr:spPr>
        <a:xfrm>
          <a:off x="8469405" y="26080122"/>
          <a:ext cx="254599" cy="21443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358590</xdr:colOff>
      <xdr:row>109</xdr:row>
      <xdr:rowOff>197223</xdr:rowOff>
    </xdr:from>
    <xdr:to>
      <xdr:col>14</xdr:col>
      <xdr:colOff>179295</xdr:colOff>
      <xdr:row>111</xdr:row>
      <xdr:rowOff>53787</xdr:rowOff>
    </xdr:to>
    <xdr:sp macro="" textlink="">
      <xdr:nvSpPr>
        <xdr:cNvPr id="91" name="楕円 90">
          <a:extLst>
            <a:ext uri="{FF2B5EF4-FFF2-40B4-BE49-F238E27FC236}">
              <a16:creationId xmlns:a16="http://schemas.microsoft.com/office/drawing/2014/main" id="{00000000-0008-0000-0800-00005B000000}"/>
            </a:ext>
          </a:extLst>
        </xdr:cNvPr>
        <xdr:cNvSpPr/>
      </xdr:nvSpPr>
      <xdr:spPr>
        <a:xfrm>
          <a:off x="7452810" y="28193103"/>
          <a:ext cx="2685825" cy="31376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573740</xdr:colOff>
      <xdr:row>104</xdr:row>
      <xdr:rowOff>35860</xdr:rowOff>
    </xdr:from>
    <xdr:to>
      <xdr:col>21</xdr:col>
      <xdr:colOff>304800</xdr:colOff>
      <xdr:row>106</xdr:row>
      <xdr:rowOff>170331</xdr:rowOff>
    </xdr:to>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a:off x="9100520" y="26271520"/>
          <a:ext cx="6177580" cy="606911"/>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●稼働時間及び年間使用日数は、実際に設備を点灯している時間及び日数を記載してください。</a:t>
          </a:r>
          <a:endParaRPr kumimoji="1" lang="en-US" altLang="ja-JP" sz="1100"/>
        </a:p>
        <a:p>
          <a:r>
            <a:rPr kumimoji="1" lang="ja-JP" altLang="en-US" sz="1100"/>
            <a:t>例：</a:t>
          </a:r>
          <a:r>
            <a:rPr kumimoji="1" lang="en-US" altLang="ja-JP" sz="1100" u="sng">
              <a:solidFill>
                <a:sysClr val="windowText" lastClr="000000"/>
              </a:solidFill>
            </a:rPr>
            <a:t>14</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日</a:t>
          </a:r>
          <a:r>
            <a:rPr kumimoji="1" lang="en-US" altLang="ja-JP" sz="1100" u="sng">
              <a:solidFill>
                <a:sysClr val="windowText" lastClr="000000"/>
              </a:solidFill>
            </a:rPr>
            <a:t>×365</a:t>
          </a:r>
          <a:r>
            <a:rPr kumimoji="1" lang="ja-JP" altLang="en-US" sz="1100" u="sng">
              <a:solidFill>
                <a:sysClr val="windowText" lastClr="000000"/>
              </a:solidFill>
            </a:rPr>
            <a:t>日</a:t>
          </a:r>
          <a:r>
            <a:rPr kumimoji="1" lang="ja-JP" altLang="en-US" sz="1100">
              <a:solidFill>
                <a:sysClr val="windowText" lastClr="000000"/>
              </a:solidFill>
            </a:rPr>
            <a:t>＝</a:t>
          </a:r>
          <a:r>
            <a:rPr kumimoji="1" lang="en-US" altLang="ja-JP" sz="1100">
              <a:solidFill>
                <a:sysClr val="windowText" lastClr="000000"/>
              </a:solidFill>
            </a:rPr>
            <a:t>5110</a:t>
          </a:r>
          <a:r>
            <a:rPr kumimoji="1" lang="ja-JP" altLang="en-US" sz="1100"/>
            <a:t>時間</a:t>
          </a:r>
          <a:r>
            <a:rPr kumimoji="1" lang="en-US" altLang="ja-JP" sz="1100"/>
            <a:t>/</a:t>
          </a:r>
          <a:r>
            <a:rPr kumimoji="1" lang="ja-JP" altLang="en-US" sz="1100"/>
            <a:t>年（年間稼働時間等、色なしのセルは自動計算されます。）</a:t>
          </a:r>
        </a:p>
      </xdr:txBody>
    </xdr:sp>
    <xdr:clientData/>
  </xdr:twoCellAnchor>
  <xdr:twoCellAnchor>
    <xdr:from>
      <xdr:col>15</xdr:col>
      <xdr:colOff>322731</xdr:colOff>
      <xdr:row>109</xdr:row>
      <xdr:rowOff>179294</xdr:rowOff>
    </xdr:from>
    <xdr:to>
      <xdr:col>17</xdr:col>
      <xdr:colOff>134472</xdr:colOff>
      <xdr:row>111</xdr:row>
      <xdr:rowOff>44824</xdr:rowOff>
    </xdr:to>
    <xdr:sp macro="" textlink="">
      <xdr:nvSpPr>
        <xdr:cNvPr id="93" name="楕円 92">
          <a:extLst>
            <a:ext uri="{FF2B5EF4-FFF2-40B4-BE49-F238E27FC236}">
              <a16:creationId xmlns:a16="http://schemas.microsoft.com/office/drawing/2014/main" id="{00000000-0008-0000-0800-00005D000000}"/>
            </a:ext>
          </a:extLst>
        </xdr:cNvPr>
        <xdr:cNvSpPr/>
      </xdr:nvSpPr>
      <xdr:spPr>
        <a:xfrm>
          <a:off x="10998351" y="28175174"/>
          <a:ext cx="1244301"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228601</xdr:colOff>
      <xdr:row>106</xdr:row>
      <xdr:rowOff>170331</xdr:rowOff>
    </xdr:from>
    <xdr:to>
      <xdr:col>17</xdr:col>
      <xdr:colOff>80682</xdr:colOff>
      <xdr:row>109</xdr:row>
      <xdr:rowOff>179294</xdr:rowOff>
    </xdr:to>
    <xdr:cxnSp macro="">
      <xdr:nvCxnSpPr>
        <xdr:cNvPr id="94" name="直線矢印コネクタ 93">
          <a:extLst>
            <a:ext uri="{FF2B5EF4-FFF2-40B4-BE49-F238E27FC236}">
              <a16:creationId xmlns:a16="http://schemas.microsoft.com/office/drawing/2014/main" id="{00000000-0008-0000-0800-00005E000000}"/>
            </a:ext>
          </a:extLst>
        </xdr:cNvPr>
        <xdr:cNvCxnSpPr>
          <a:stCxn id="92" idx="2"/>
          <a:endCxn id="93" idx="0"/>
        </xdr:cNvCxnSpPr>
      </xdr:nvCxnSpPr>
      <xdr:spPr>
        <a:xfrm flipH="1">
          <a:off x="11620501" y="26878431"/>
          <a:ext cx="568361" cy="12967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573742</xdr:colOff>
      <xdr:row>127</xdr:row>
      <xdr:rowOff>80681</xdr:rowOff>
    </xdr:from>
    <xdr:to>
      <xdr:col>8</xdr:col>
      <xdr:colOff>484095</xdr:colOff>
      <xdr:row>138</xdr:row>
      <xdr:rowOff>134470</xdr:rowOff>
    </xdr:to>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1244302" y="32328521"/>
          <a:ext cx="4901453" cy="256838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●仕様書等にある、定格出力等で算定してください。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a:t>
          </a:r>
          <a:r>
            <a:rPr kumimoji="1" lang="ja-JP" altLang="en-US" sz="1100">
              <a:solidFill>
                <a:schemeClr val="dk1"/>
              </a:solidFill>
              <a:effectLst/>
              <a:latin typeface="+mn-lt"/>
              <a:ea typeface="+mn-ea"/>
              <a:cs typeface="+mn-cs"/>
            </a:rPr>
            <a:t>、能力で不明点がある</a:t>
          </a:r>
          <a:r>
            <a:rPr kumimoji="1" lang="ja-JP" altLang="ja-JP" sz="1100">
              <a:solidFill>
                <a:schemeClr val="dk1"/>
              </a:solidFill>
              <a:effectLst/>
              <a:latin typeface="+mn-lt"/>
              <a:ea typeface="+mn-ea"/>
              <a:cs typeface="+mn-cs"/>
            </a:rPr>
            <a:t>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等から収集したり、メーカーへ問合せて</a:t>
          </a:r>
          <a:r>
            <a:rPr kumimoji="1" lang="ja-JP" altLang="en-US" sz="1100">
              <a:solidFill>
                <a:schemeClr val="dk1"/>
              </a:solidFill>
              <a:effectLst/>
              <a:latin typeface="+mn-lt"/>
              <a:ea typeface="+mn-ea"/>
              <a:cs typeface="+mn-cs"/>
            </a:rPr>
            <a:t>確認してください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5</xdr:col>
      <xdr:colOff>183777</xdr:colOff>
      <xdr:row>138</xdr:row>
      <xdr:rowOff>134470</xdr:rowOff>
    </xdr:from>
    <xdr:to>
      <xdr:col>7</xdr:col>
      <xdr:colOff>708212</xdr:colOff>
      <xdr:row>142</xdr:row>
      <xdr:rowOff>197223</xdr:rowOff>
    </xdr:to>
    <xdr:cxnSp macro="">
      <xdr:nvCxnSpPr>
        <xdr:cNvPr id="101" name="直線矢印コネクタ 100">
          <a:extLst>
            <a:ext uri="{FF2B5EF4-FFF2-40B4-BE49-F238E27FC236}">
              <a16:creationId xmlns:a16="http://schemas.microsoft.com/office/drawing/2014/main" id="{00000000-0008-0000-0800-000065000000}"/>
            </a:ext>
          </a:extLst>
        </xdr:cNvPr>
        <xdr:cNvCxnSpPr>
          <a:stCxn id="100" idx="2"/>
          <a:endCxn id="102" idx="0"/>
        </xdr:cNvCxnSpPr>
      </xdr:nvCxnSpPr>
      <xdr:spPr>
        <a:xfrm>
          <a:off x="3696597" y="34896910"/>
          <a:ext cx="1956995" cy="143435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690283</xdr:colOff>
      <xdr:row>142</xdr:row>
      <xdr:rowOff>197223</xdr:rowOff>
    </xdr:from>
    <xdr:to>
      <xdr:col>9</xdr:col>
      <xdr:colOff>8964</xdr:colOff>
      <xdr:row>144</xdr:row>
      <xdr:rowOff>71717</xdr:rowOff>
    </xdr:to>
    <xdr:sp macro="" textlink="">
      <xdr:nvSpPr>
        <xdr:cNvPr id="102" name="楕円 101">
          <a:extLst>
            <a:ext uri="{FF2B5EF4-FFF2-40B4-BE49-F238E27FC236}">
              <a16:creationId xmlns:a16="http://schemas.microsoft.com/office/drawing/2014/main" id="{00000000-0008-0000-0800-000066000000}"/>
            </a:ext>
          </a:extLst>
        </xdr:cNvPr>
        <xdr:cNvSpPr/>
      </xdr:nvSpPr>
      <xdr:spPr>
        <a:xfrm>
          <a:off x="4919383" y="36331263"/>
          <a:ext cx="1467521" cy="33169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663387</xdr:colOff>
      <xdr:row>142</xdr:row>
      <xdr:rowOff>188259</xdr:rowOff>
    </xdr:from>
    <xdr:to>
      <xdr:col>5</xdr:col>
      <xdr:colOff>134470</xdr:colOff>
      <xdr:row>144</xdr:row>
      <xdr:rowOff>62753</xdr:rowOff>
    </xdr:to>
    <xdr:sp macro="" textlink="">
      <xdr:nvSpPr>
        <xdr:cNvPr id="103" name="楕円 102">
          <a:extLst>
            <a:ext uri="{FF2B5EF4-FFF2-40B4-BE49-F238E27FC236}">
              <a16:creationId xmlns:a16="http://schemas.microsoft.com/office/drawing/2014/main" id="{00000000-0008-0000-0800-000067000000}"/>
            </a:ext>
          </a:extLst>
        </xdr:cNvPr>
        <xdr:cNvSpPr/>
      </xdr:nvSpPr>
      <xdr:spPr>
        <a:xfrm>
          <a:off x="1333947" y="36322299"/>
          <a:ext cx="2313343" cy="33169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412376</xdr:colOff>
      <xdr:row>138</xdr:row>
      <xdr:rowOff>134470</xdr:rowOff>
    </xdr:from>
    <xdr:to>
      <xdr:col>5</xdr:col>
      <xdr:colOff>183777</xdr:colOff>
      <xdr:row>142</xdr:row>
      <xdr:rowOff>188259</xdr:rowOff>
    </xdr:to>
    <xdr:cxnSp macro="">
      <xdr:nvCxnSpPr>
        <xdr:cNvPr id="104" name="直線矢印コネクタ 103">
          <a:extLst>
            <a:ext uri="{FF2B5EF4-FFF2-40B4-BE49-F238E27FC236}">
              <a16:creationId xmlns:a16="http://schemas.microsoft.com/office/drawing/2014/main" id="{00000000-0008-0000-0800-000068000000}"/>
            </a:ext>
          </a:extLst>
        </xdr:cNvPr>
        <xdr:cNvCxnSpPr>
          <a:stCxn id="100" idx="2"/>
          <a:endCxn id="103" idx="0"/>
        </xdr:cNvCxnSpPr>
      </xdr:nvCxnSpPr>
      <xdr:spPr>
        <a:xfrm flipH="1">
          <a:off x="2492636" y="34896910"/>
          <a:ext cx="1203961" cy="14253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143</xdr:row>
      <xdr:rowOff>0</xdr:rowOff>
    </xdr:from>
    <xdr:to>
      <xdr:col>11</xdr:col>
      <xdr:colOff>708211</xdr:colOff>
      <xdr:row>144</xdr:row>
      <xdr:rowOff>107576</xdr:rowOff>
    </xdr:to>
    <xdr:sp macro="" textlink="">
      <xdr:nvSpPr>
        <xdr:cNvPr id="105" name="楕円 104">
          <a:extLst>
            <a:ext uri="{FF2B5EF4-FFF2-40B4-BE49-F238E27FC236}">
              <a16:creationId xmlns:a16="http://schemas.microsoft.com/office/drawing/2014/main" id="{00000000-0008-0000-0800-000069000000}"/>
            </a:ext>
          </a:extLst>
        </xdr:cNvPr>
        <xdr:cNvSpPr/>
      </xdr:nvSpPr>
      <xdr:spPr>
        <a:xfrm>
          <a:off x="7810500" y="36362640"/>
          <a:ext cx="708211" cy="3361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690283</xdr:colOff>
      <xdr:row>127</xdr:row>
      <xdr:rowOff>80682</xdr:rowOff>
    </xdr:from>
    <xdr:to>
      <xdr:col>15</xdr:col>
      <xdr:colOff>89648</xdr:colOff>
      <xdr:row>136</xdr:row>
      <xdr:rowOff>125506</xdr:rowOff>
    </xdr:to>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a:off x="6351943" y="32328522"/>
          <a:ext cx="4413325" cy="2102224"/>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●負荷率の根拠資料について</a:t>
          </a:r>
          <a:endParaRPr kumimoji="1" lang="en-US" altLang="ja-JP" sz="1100"/>
        </a:p>
        <a:p>
          <a:endParaRPr kumimoji="1" lang="en-US" altLang="ja-JP" sz="1100"/>
        </a:p>
        <a:p>
          <a:r>
            <a:rPr kumimoji="1" lang="ja-JP" altLang="en-US" sz="1100"/>
            <a:t>・次の方法等で確認し、根拠資料を用意してください。</a:t>
          </a:r>
          <a:endParaRPr kumimoji="1" lang="en-US" altLang="ja-JP" sz="1100"/>
        </a:p>
        <a:p>
          <a:endParaRPr kumimoji="1" lang="en-US" altLang="ja-JP" sz="1100"/>
        </a:p>
        <a:p>
          <a:r>
            <a:rPr kumimoji="1" lang="ja-JP" altLang="en-US" sz="1100"/>
            <a:t>→管理システム等で把握している（記録を提出する）</a:t>
          </a:r>
          <a:endParaRPr kumimoji="1" lang="en-US" altLang="ja-JP" sz="1100"/>
        </a:p>
        <a:p>
          <a:r>
            <a:rPr kumimoji="1" lang="ja-JP" altLang="ja-JP" sz="1100">
              <a:solidFill>
                <a:schemeClr val="dk1"/>
              </a:solidFill>
              <a:effectLst/>
              <a:latin typeface="+mn-lt"/>
              <a:ea typeface="+mn-ea"/>
              <a:cs typeface="+mn-cs"/>
            </a:rPr>
            <a:t>→省エネ診断を受診する（診断結果報告書を提出する。）</a:t>
          </a:r>
          <a:endParaRPr lang="ja-JP" altLang="ja-JP">
            <a:effectLst/>
          </a:endParaRPr>
        </a:p>
        <a:p>
          <a:r>
            <a:rPr kumimoji="1" lang="ja-JP" altLang="ja-JP" sz="1100">
              <a:solidFill>
                <a:schemeClr val="dk1"/>
              </a:solidFill>
              <a:effectLst/>
              <a:latin typeface="+mn-lt"/>
              <a:ea typeface="+mn-ea"/>
              <a:cs typeface="+mn-cs"/>
            </a:rPr>
            <a:t>→施工事業者へ測定等を依頼する（測定結果を提出する。）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メーカー等へ問い合わせる（回答された値の確認できるもの（メール等）を提出する。）</a:t>
          </a:r>
          <a:endParaRPr kumimoji="1" lang="en-US" altLang="ja-JP" sz="1100">
            <a:solidFill>
              <a:schemeClr val="dk1"/>
            </a:solidFill>
            <a:effectLst/>
            <a:latin typeface="+mn-lt"/>
            <a:ea typeface="+mn-ea"/>
            <a:cs typeface="+mn-cs"/>
          </a:endParaRPr>
        </a:p>
      </xdr:txBody>
    </xdr:sp>
    <xdr:clientData/>
  </xdr:twoCellAnchor>
  <xdr:twoCellAnchor>
    <xdr:from>
      <xdr:col>11</xdr:col>
      <xdr:colOff>354106</xdr:colOff>
      <xdr:row>136</xdr:row>
      <xdr:rowOff>125506</xdr:rowOff>
    </xdr:from>
    <xdr:to>
      <xdr:col>12</xdr:col>
      <xdr:colOff>31377</xdr:colOff>
      <xdr:row>143</xdr:row>
      <xdr:rowOff>0</xdr:rowOff>
    </xdr:to>
    <xdr:cxnSp macro="">
      <xdr:nvCxnSpPr>
        <xdr:cNvPr id="107" name="直線矢印コネクタ 106">
          <a:extLst>
            <a:ext uri="{FF2B5EF4-FFF2-40B4-BE49-F238E27FC236}">
              <a16:creationId xmlns:a16="http://schemas.microsoft.com/office/drawing/2014/main" id="{00000000-0008-0000-0800-00006B000000}"/>
            </a:ext>
          </a:extLst>
        </xdr:cNvPr>
        <xdr:cNvCxnSpPr>
          <a:stCxn id="106" idx="2"/>
          <a:endCxn id="105" idx="0"/>
        </xdr:cNvCxnSpPr>
      </xdr:nvCxnSpPr>
      <xdr:spPr>
        <a:xfrm flipH="1">
          <a:off x="8164606" y="34430746"/>
          <a:ext cx="393551" cy="193189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331693</xdr:colOff>
      <xdr:row>130</xdr:row>
      <xdr:rowOff>89646</xdr:rowOff>
    </xdr:from>
    <xdr:to>
      <xdr:col>23</xdr:col>
      <xdr:colOff>8963</xdr:colOff>
      <xdr:row>134</xdr:row>
      <xdr:rowOff>125506</xdr:rowOff>
    </xdr:to>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a:off x="11723593" y="33023286"/>
          <a:ext cx="4645510" cy="95026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●インバーターが導入されている、又は更新により導入する場合</a:t>
          </a:r>
          <a:endParaRPr kumimoji="1" lang="en-US" altLang="ja-JP" sz="1100"/>
        </a:p>
        <a:p>
          <a:endParaRPr kumimoji="1" lang="en-US" altLang="ja-JP" sz="1100"/>
        </a:p>
        <a:p>
          <a:r>
            <a:rPr kumimoji="1" lang="ja-JP" altLang="en-US" sz="1100"/>
            <a:t>・インバーターの列で「○」を選択してください。</a:t>
          </a:r>
          <a:endParaRPr kumimoji="1" lang="en-US" altLang="ja-JP" sz="1100"/>
        </a:p>
        <a:p>
          <a:r>
            <a:rPr kumimoji="1" lang="ja-JP" altLang="en-US" sz="1100"/>
            <a:t>（インバーターの負荷率制御を考慮した算定へ自動計算されます。）</a:t>
          </a:r>
          <a:endParaRPr kumimoji="1" lang="en-US" altLang="ja-JP" sz="1100"/>
        </a:p>
      </xdr:txBody>
    </xdr:sp>
    <xdr:clientData/>
  </xdr:twoCellAnchor>
  <xdr:twoCellAnchor>
    <xdr:from>
      <xdr:col>26</xdr:col>
      <xdr:colOff>134471</xdr:colOff>
      <xdr:row>142</xdr:row>
      <xdr:rowOff>170330</xdr:rowOff>
    </xdr:from>
    <xdr:to>
      <xdr:col>26</xdr:col>
      <xdr:colOff>582707</xdr:colOff>
      <xdr:row>144</xdr:row>
      <xdr:rowOff>89648</xdr:rowOff>
    </xdr:to>
    <xdr:sp macro="" textlink="">
      <xdr:nvSpPr>
        <xdr:cNvPr id="109" name="楕円 108">
          <a:extLst>
            <a:ext uri="{FF2B5EF4-FFF2-40B4-BE49-F238E27FC236}">
              <a16:creationId xmlns:a16="http://schemas.microsoft.com/office/drawing/2014/main" id="{00000000-0008-0000-0800-00006D000000}"/>
            </a:ext>
          </a:extLst>
        </xdr:cNvPr>
        <xdr:cNvSpPr/>
      </xdr:nvSpPr>
      <xdr:spPr>
        <a:xfrm>
          <a:off x="18506291" y="36304370"/>
          <a:ext cx="448236" cy="3765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116541</xdr:colOff>
      <xdr:row>142</xdr:row>
      <xdr:rowOff>170330</xdr:rowOff>
    </xdr:from>
    <xdr:to>
      <xdr:col>12</xdr:col>
      <xdr:colOff>564777</xdr:colOff>
      <xdr:row>144</xdr:row>
      <xdr:rowOff>89648</xdr:rowOff>
    </xdr:to>
    <xdr:sp macro="" textlink="">
      <xdr:nvSpPr>
        <xdr:cNvPr id="110" name="楕円 109">
          <a:extLst>
            <a:ext uri="{FF2B5EF4-FFF2-40B4-BE49-F238E27FC236}">
              <a16:creationId xmlns:a16="http://schemas.microsoft.com/office/drawing/2014/main" id="{00000000-0008-0000-0800-00006E000000}"/>
            </a:ext>
          </a:extLst>
        </xdr:cNvPr>
        <xdr:cNvSpPr/>
      </xdr:nvSpPr>
      <xdr:spPr>
        <a:xfrm>
          <a:off x="8643321" y="36304370"/>
          <a:ext cx="448236" cy="3765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499134</xdr:colOff>
      <xdr:row>132</xdr:row>
      <xdr:rowOff>107576</xdr:rowOff>
    </xdr:from>
    <xdr:to>
      <xdr:col>16</xdr:col>
      <xdr:colOff>331693</xdr:colOff>
      <xdr:row>142</xdr:row>
      <xdr:rowOff>226783</xdr:rowOff>
    </xdr:to>
    <xdr:cxnSp macro="">
      <xdr:nvCxnSpPr>
        <xdr:cNvPr id="111" name="直線矢印コネクタ 110">
          <a:extLst>
            <a:ext uri="{FF2B5EF4-FFF2-40B4-BE49-F238E27FC236}">
              <a16:creationId xmlns:a16="http://schemas.microsoft.com/office/drawing/2014/main" id="{00000000-0008-0000-0800-00006F000000}"/>
            </a:ext>
          </a:extLst>
        </xdr:cNvPr>
        <xdr:cNvCxnSpPr>
          <a:stCxn id="108" idx="1"/>
          <a:endCxn id="110" idx="7"/>
        </xdr:cNvCxnSpPr>
      </xdr:nvCxnSpPr>
      <xdr:spPr>
        <a:xfrm flipH="1">
          <a:off x="9025914" y="33498416"/>
          <a:ext cx="2697679" cy="28624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8963</xdr:colOff>
      <xdr:row>132</xdr:row>
      <xdr:rowOff>107576</xdr:rowOff>
    </xdr:from>
    <xdr:to>
      <xdr:col>26</xdr:col>
      <xdr:colOff>134471</xdr:colOff>
      <xdr:row>143</xdr:row>
      <xdr:rowOff>129989</xdr:rowOff>
    </xdr:to>
    <xdr:cxnSp macro="">
      <xdr:nvCxnSpPr>
        <xdr:cNvPr id="112" name="直線矢印コネクタ 111">
          <a:extLst>
            <a:ext uri="{FF2B5EF4-FFF2-40B4-BE49-F238E27FC236}">
              <a16:creationId xmlns:a16="http://schemas.microsoft.com/office/drawing/2014/main" id="{00000000-0008-0000-0800-000070000000}"/>
            </a:ext>
          </a:extLst>
        </xdr:cNvPr>
        <xdr:cNvCxnSpPr>
          <a:stCxn id="108" idx="3"/>
          <a:endCxn id="109" idx="2"/>
        </xdr:cNvCxnSpPr>
      </xdr:nvCxnSpPr>
      <xdr:spPr>
        <a:xfrm>
          <a:off x="16369103" y="33498416"/>
          <a:ext cx="2137188" cy="29942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574191</xdr:colOff>
      <xdr:row>99</xdr:row>
      <xdr:rowOff>143434</xdr:rowOff>
    </xdr:from>
    <xdr:to>
      <xdr:col>29</xdr:col>
      <xdr:colOff>578226</xdr:colOff>
      <xdr:row>101</xdr:row>
      <xdr:rowOff>216048</xdr:rowOff>
    </xdr:to>
    <xdr:cxnSp macro="">
      <xdr:nvCxnSpPr>
        <xdr:cNvPr id="113" name="直線矢印コネクタ 112">
          <a:extLst>
            <a:ext uri="{FF2B5EF4-FFF2-40B4-BE49-F238E27FC236}">
              <a16:creationId xmlns:a16="http://schemas.microsoft.com/office/drawing/2014/main" id="{00000000-0008-0000-0800-000071000000}"/>
            </a:ext>
          </a:extLst>
        </xdr:cNvPr>
        <xdr:cNvCxnSpPr>
          <a:stCxn id="124" idx="2"/>
          <a:endCxn id="163" idx="0"/>
        </xdr:cNvCxnSpPr>
      </xdr:nvCxnSpPr>
      <xdr:spPr>
        <a:xfrm flipH="1">
          <a:off x="19616571" y="25197994"/>
          <a:ext cx="1345155" cy="5450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403413</xdr:colOff>
      <xdr:row>145</xdr:row>
      <xdr:rowOff>89646</xdr:rowOff>
    </xdr:from>
    <xdr:to>
      <xdr:col>23</xdr:col>
      <xdr:colOff>457199</xdr:colOff>
      <xdr:row>149</xdr:row>
      <xdr:rowOff>197223</xdr:rowOff>
    </xdr:to>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12511593" y="36909486"/>
          <a:ext cx="4305746" cy="1021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●更新後の規格・出力等を記入して、算定してください。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21</xdr:col>
      <xdr:colOff>349624</xdr:colOff>
      <xdr:row>142</xdr:row>
      <xdr:rowOff>125506</xdr:rowOff>
    </xdr:from>
    <xdr:to>
      <xdr:col>22</xdr:col>
      <xdr:colOff>627529</xdr:colOff>
      <xdr:row>144</xdr:row>
      <xdr:rowOff>44824</xdr:rowOff>
    </xdr:to>
    <xdr:sp macro="" textlink="">
      <xdr:nvSpPr>
        <xdr:cNvPr id="115" name="楕円 114">
          <a:extLst>
            <a:ext uri="{FF2B5EF4-FFF2-40B4-BE49-F238E27FC236}">
              <a16:creationId xmlns:a16="http://schemas.microsoft.com/office/drawing/2014/main" id="{00000000-0008-0000-0800-000073000000}"/>
            </a:ext>
          </a:extLst>
        </xdr:cNvPr>
        <xdr:cNvSpPr/>
      </xdr:nvSpPr>
      <xdr:spPr>
        <a:xfrm>
          <a:off x="15322924" y="36259546"/>
          <a:ext cx="994185" cy="3765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407894</xdr:colOff>
      <xdr:row>144</xdr:row>
      <xdr:rowOff>44824</xdr:rowOff>
    </xdr:from>
    <xdr:to>
      <xdr:col>22</xdr:col>
      <xdr:colOff>129988</xdr:colOff>
      <xdr:row>145</xdr:row>
      <xdr:rowOff>89646</xdr:rowOff>
    </xdr:to>
    <xdr:cxnSp macro="">
      <xdr:nvCxnSpPr>
        <xdr:cNvPr id="116" name="直線矢印コネクタ 115">
          <a:extLst>
            <a:ext uri="{FF2B5EF4-FFF2-40B4-BE49-F238E27FC236}">
              <a16:creationId xmlns:a16="http://schemas.microsoft.com/office/drawing/2014/main" id="{00000000-0008-0000-0800-000074000000}"/>
            </a:ext>
          </a:extLst>
        </xdr:cNvPr>
        <xdr:cNvCxnSpPr>
          <a:stCxn id="114" idx="0"/>
          <a:endCxn id="115" idx="4"/>
        </xdr:cNvCxnSpPr>
      </xdr:nvCxnSpPr>
      <xdr:spPr>
        <a:xfrm flipV="1">
          <a:off x="14664914" y="36636064"/>
          <a:ext cx="1154654" cy="2734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143</xdr:row>
      <xdr:rowOff>1</xdr:rowOff>
    </xdr:from>
    <xdr:to>
      <xdr:col>18</xdr:col>
      <xdr:colOff>708212</xdr:colOff>
      <xdr:row>144</xdr:row>
      <xdr:rowOff>53789</xdr:rowOff>
    </xdr:to>
    <xdr:sp macro="" textlink="">
      <xdr:nvSpPr>
        <xdr:cNvPr id="122" name="楕円 121">
          <a:extLst>
            <a:ext uri="{FF2B5EF4-FFF2-40B4-BE49-F238E27FC236}">
              <a16:creationId xmlns:a16="http://schemas.microsoft.com/office/drawing/2014/main" id="{00000000-0008-0000-0800-00007A000000}"/>
            </a:ext>
          </a:extLst>
        </xdr:cNvPr>
        <xdr:cNvSpPr/>
      </xdr:nvSpPr>
      <xdr:spPr>
        <a:xfrm>
          <a:off x="12824460" y="36362641"/>
          <a:ext cx="708212" cy="28238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708212</xdr:colOff>
      <xdr:row>143</xdr:row>
      <xdr:rowOff>143436</xdr:rowOff>
    </xdr:from>
    <xdr:to>
      <xdr:col>20</xdr:col>
      <xdr:colOff>407894</xdr:colOff>
      <xdr:row>145</xdr:row>
      <xdr:rowOff>89646</xdr:rowOff>
    </xdr:to>
    <xdr:cxnSp macro="">
      <xdr:nvCxnSpPr>
        <xdr:cNvPr id="123" name="直線矢印コネクタ 122">
          <a:extLst>
            <a:ext uri="{FF2B5EF4-FFF2-40B4-BE49-F238E27FC236}">
              <a16:creationId xmlns:a16="http://schemas.microsoft.com/office/drawing/2014/main" id="{00000000-0008-0000-0800-00007B000000}"/>
            </a:ext>
          </a:extLst>
        </xdr:cNvPr>
        <xdr:cNvCxnSpPr>
          <a:stCxn id="114" idx="0"/>
          <a:endCxn id="122" idx="6"/>
        </xdr:cNvCxnSpPr>
      </xdr:nvCxnSpPr>
      <xdr:spPr>
        <a:xfrm flipH="1" flipV="1">
          <a:off x="13532672" y="36506076"/>
          <a:ext cx="1132242" cy="4034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80686</xdr:colOff>
      <xdr:row>94</xdr:row>
      <xdr:rowOff>322731</xdr:rowOff>
    </xdr:from>
    <xdr:to>
      <xdr:col>33</xdr:col>
      <xdr:colOff>403412</xdr:colOff>
      <xdr:row>99</xdr:row>
      <xdr:rowOff>143434</xdr:rowOff>
    </xdr:to>
    <xdr:sp macro="" textlink="">
      <xdr:nvSpPr>
        <xdr:cNvPr id="124" name="テキスト ボックス 123">
          <a:extLst>
            <a:ext uri="{FF2B5EF4-FFF2-40B4-BE49-F238E27FC236}">
              <a16:creationId xmlns:a16="http://schemas.microsoft.com/office/drawing/2014/main" id="{00000000-0008-0000-0800-00007C000000}"/>
            </a:ext>
          </a:extLst>
        </xdr:cNvPr>
        <xdr:cNvSpPr txBox="1"/>
      </xdr:nvSpPr>
      <xdr:spPr>
        <a:xfrm>
          <a:off x="18452506" y="24066651"/>
          <a:ext cx="5016646" cy="113134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●定格（標準）加熱能力・相当蒸発量等を記入して、算定してください。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・能力の合計の増加は原則認められません。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9</xdr:col>
      <xdr:colOff>573737</xdr:colOff>
      <xdr:row>112</xdr:row>
      <xdr:rowOff>215150</xdr:rowOff>
    </xdr:from>
    <xdr:to>
      <xdr:col>16</xdr:col>
      <xdr:colOff>268940</xdr:colOff>
      <xdr:row>118</xdr:row>
      <xdr:rowOff>163285</xdr:rowOff>
    </xdr:to>
    <xdr:sp macro="" textlink="">
      <xdr:nvSpPr>
        <xdr:cNvPr id="125" name="テキスト ボックス 124">
          <a:extLst>
            <a:ext uri="{FF2B5EF4-FFF2-40B4-BE49-F238E27FC236}">
              <a16:creationId xmlns:a16="http://schemas.microsoft.com/office/drawing/2014/main" id="{00000000-0008-0000-0800-00007D000000}"/>
            </a:ext>
          </a:extLst>
        </xdr:cNvPr>
        <xdr:cNvSpPr txBox="1"/>
      </xdr:nvSpPr>
      <xdr:spPr>
        <a:xfrm>
          <a:off x="6951677" y="28896830"/>
          <a:ext cx="4709163" cy="13197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●ボイラー・給湯器の効率について</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・蒸気・温水の発生効率を指し、仕様書等に記載されている能力です。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u="sng"/>
            <a:t>給湯器（</a:t>
          </a:r>
          <a:r>
            <a:rPr kumimoji="1" lang="en-US" altLang="ja-JP" sz="1100" u="sng"/>
            <a:t>HP</a:t>
          </a:r>
          <a:r>
            <a:rPr kumimoji="1" lang="ja-JP" altLang="en-US" sz="1100" u="sng"/>
            <a:t>）</a:t>
          </a:r>
          <a:r>
            <a:rPr kumimoji="1" lang="ja-JP" altLang="en-US" sz="1100"/>
            <a:t>の場合「加熱能力</a:t>
          </a:r>
          <a:r>
            <a:rPr kumimoji="1" lang="en-US" altLang="ja-JP" sz="1100"/>
            <a:t>÷</a:t>
          </a:r>
          <a:r>
            <a:rPr kumimoji="1" lang="ja-JP" altLang="en-US" sz="1100"/>
            <a:t>消費電力」のため、効率が</a:t>
          </a:r>
          <a:r>
            <a:rPr kumimoji="1" lang="en-US" altLang="ja-JP" sz="1100">
              <a:solidFill>
                <a:sysClr val="windowText" lastClr="000000"/>
              </a:solidFill>
            </a:rPr>
            <a:t>100</a:t>
          </a:r>
          <a:r>
            <a:rPr kumimoji="1" lang="ja-JP" altLang="en-US" sz="1100">
              <a:solidFill>
                <a:sysClr val="windowText" lastClr="000000"/>
              </a:solidFill>
            </a:rPr>
            <a:t>％を</a:t>
          </a:r>
          <a:r>
            <a:rPr kumimoji="1" lang="ja-JP" altLang="en-US" sz="1100"/>
            <a:t>超える場合があります。</a:t>
          </a:r>
          <a:endParaRPr kumimoji="1" lang="en-US" altLang="ja-JP" sz="1100"/>
        </a:p>
      </xdr:txBody>
    </xdr:sp>
    <xdr:clientData/>
  </xdr:twoCellAnchor>
  <xdr:twoCellAnchor>
    <xdr:from>
      <xdr:col>0</xdr:col>
      <xdr:colOff>654422</xdr:colOff>
      <xdr:row>151</xdr:row>
      <xdr:rowOff>358589</xdr:rowOff>
    </xdr:from>
    <xdr:to>
      <xdr:col>9</xdr:col>
      <xdr:colOff>71717</xdr:colOff>
      <xdr:row>164</xdr:row>
      <xdr:rowOff>179295</xdr:rowOff>
    </xdr:to>
    <xdr:sp macro="" textlink="">
      <xdr:nvSpPr>
        <xdr:cNvPr id="126" name="テキスト ボックス 125">
          <a:extLst>
            <a:ext uri="{FF2B5EF4-FFF2-40B4-BE49-F238E27FC236}">
              <a16:creationId xmlns:a16="http://schemas.microsoft.com/office/drawing/2014/main" id="{00000000-0008-0000-0800-00007E000000}"/>
            </a:ext>
          </a:extLst>
        </xdr:cNvPr>
        <xdr:cNvSpPr txBox="1"/>
      </xdr:nvSpPr>
      <xdr:spPr>
        <a:xfrm>
          <a:off x="654422" y="41064629"/>
          <a:ext cx="5795235" cy="2929666"/>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●仕様書等にある、能力等で算定してください。</a:t>
          </a:r>
          <a:endParaRPr kumimoji="1" lang="en-US" altLang="ja-JP" sz="1100"/>
        </a:p>
        <a:p>
          <a:endParaRPr kumimoji="1" lang="en-US" altLang="ja-JP" sz="1100"/>
        </a:p>
        <a:p>
          <a:r>
            <a:rPr kumimoji="1" lang="ja-JP" altLang="en-US" sz="1100"/>
            <a:t>・動力・電灯など種別は分けて記載してください。（把握しやすい様に。）</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a:t>
          </a:r>
          <a:r>
            <a:rPr kumimoji="1" lang="ja-JP" altLang="en-US" sz="1100">
              <a:solidFill>
                <a:schemeClr val="dk1"/>
              </a:solidFill>
              <a:effectLst/>
              <a:latin typeface="+mn-lt"/>
              <a:ea typeface="+mn-ea"/>
              <a:cs typeface="+mn-cs"/>
            </a:rPr>
            <a:t>、能力で不明点がある</a:t>
          </a:r>
          <a:r>
            <a:rPr kumimoji="1" lang="ja-JP" altLang="ja-JP" sz="1100">
              <a:solidFill>
                <a:schemeClr val="dk1"/>
              </a:solidFill>
              <a:effectLst/>
              <a:latin typeface="+mn-lt"/>
              <a:ea typeface="+mn-ea"/>
              <a:cs typeface="+mn-cs"/>
            </a:rPr>
            <a:t>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等から収集したり、メーカーへ問合せて</a:t>
          </a:r>
          <a:r>
            <a:rPr kumimoji="1" lang="ja-JP" altLang="en-US" sz="1100">
              <a:solidFill>
                <a:schemeClr val="dk1"/>
              </a:solidFill>
              <a:effectLst/>
              <a:latin typeface="+mn-lt"/>
              <a:ea typeface="+mn-ea"/>
              <a:cs typeface="+mn-cs"/>
            </a:rPr>
            <a:t>確認してください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→本体の銘板や仕様表等から読み取る（能力等が読み取れる写真を撮影し、根拠資料として提出する。）</a:t>
          </a:r>
          <a:endParaRPr kumimoji="1" lang="en-US" altLang="ja-JP" sz="1100"/>
        </a:p>
      </xdr:txBody>
    </xdr:sp>
    <xdr:clientData/>
  </xdr:twoCellAnchor>
  <xdr:twoCellAnchor>
    <xdr:from>
      <xdr:col>16</xdr:col>
      <xdr:colOff>331695</xdr:colOff>
      <xdr:row>136</xdr:row>
      <xdr:rowOff>35859</xdr:rowOff>
    </xdr:from>
    <xdr:to>
      <xdr:col>23</xdr:col>
      <xdr:colOff>26895</xdr:colOff>
      <xdr:row>138</xdr:row>
      <xdr:rowOff>170329</xdr:rowOff>
    </xdr:to>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11723595" y="34341099"/>
          <a:ext cx="4663440" cy="59167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●年間稼働時間は、実際に設備を稼働している時間を記載してください。</a:t>
          </a:r>
          <a:endParaRPr kumimoji="1" lang="en-US" altLang="ja-JP" sz="1100"/>
        </a:p>
        <a:p>
          <a:r>
            <a:rPr kumimoji="1" lang="ja-JP" altLang="en-US" sz="1100"/>
            <a:t>例：</a:t>
          </a:r>
          <a:r>
            <a:rPr kumimoji="1" lang="en-US" altLang="ja-JP" sz="1100" u="none">
              <a:solidFill>
                <a:sysClr val="windowText" lastClr="000000"/>
              </a:solidFill>
            </a:rPr>
            <a:t>10</a:t>
          </a:r>
          <a:r>
            <a:rPr kumimoji="1" lang="ja-JP" altLang="en-US" sz="1100" u="none">
              <a:solidFill>
                <a:sysClr val="windowText" lastClr="000000"/>
              </a:solidFill>
            </a:rPr>
            <a:t>時間</a:t>
          </a:r>
          <a:r>
            <a:rPr kumimoji="1" lang="en-US" altLang="ja-JP" sz="1100" u="none">
              <a:solidFill>
                <a:sysClr val="windowText" lastClr="000000"/>
              </a:solidFill>
            </a:rPr>
            <a:t>/</a:t>
          </a:r>
          <a:r>
            <a:rPr kumimoji="1" lang="ja-JP" altLang="en-US" sz="1100" u="none">
              <a:solidFill>
                <a:sysClr val="windowText" lastClr="000000"/>
              </a:solidFill>
            </a:rPr>
            <a:t>日</a:t>
          </a:r>
          <a:r>
            <a:rPr kumimoji="1" lang="en-US" altLang="ja-JP" sz="1100" u="none">
              <a:solidFill>
                <a:sysClr val="windowText" lastClr="000000"/>
              </a:solidFill>
            </a:rPr>
            <a:t>×250</a:t>
          </a:r>
          <a:r>
            <a:rPr kumimoji="1" lang="ja-JP" altLang="en-US" sz="1100" u="none">
              <a:solidFill>
                <a:sysClr val="windowText" lastClr="000000"/>
              </a:solidFill>
            </a:rPr>
            <a:t>日</a:t>
          </a:r>
          <a:r>
            <a:rPr kumimoji="1" lang="ja-JP" altLang="en-US" sz="1100"/>
            <a:t>＝</a:t>
          </a:r>
          <a:r>
            <a:rPr kumimoji="1" lang="en-US" altLang="ja-JP" sz="1100" u="sng">
              <a:solidFill>
                <a:sysClr val="windowText" lastClr="000000"/>
              </a:solidFill>
            </a:rPr>
            <a:t>2500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endParaRPr kumimoji="1" lang="ja-JP" altLang="en-US" sz="1100">
            <a:solidFill>
              <a:sysClr val="windowText" lastClr="000000"/>
            </a:solidFill>
          </a:endParaRPr>
        </a:p>
      </xdr:txBody>
    </xdr:sp>
    <xdr:clientData/>
  </xdr:twoCellAnchor>
  <xdr:twoCellAnchor>
    <xdr:from>
      <xdr:col>13</xdr:col>
      <xdr:colOff>206142</xdr:colOff>
      <xdr:row>142</xdr:row>
      <xdr:rowOff>197224</xdr:rowOff>
    </xdr:from>
    <xdr:to>
      <xdr:col>14</xdr:col>
      <xdr:colOff>152400</xdr:colOff>
      <xdr:row>144</xdr:row>
      <xdr:rowOff>53789</xdr:rowOff>
    </xdr:to>
    <xdr:sp macro="" textlink="">
      <xdr:nvSpPr>
        <xdr:cNvPr id="128" name="楕円 127">
          <a:extLst>
            <a:ext uri="{FF2B5EF4-FFF2-40B4-BE49-F238E27FC236}">
              <a16:creationId xmlns:a16="http://schemas.microsoft.com/office/drawing/2014/main" id="{00000000-0008-0000-0800-000080000000}"/>
            </a:ext>
          </a:extLst>
        </xdr:cNvPr>
        <xdr:cNvSpPr/>
      </xdr:nvSpPr>
      <xdr:spPr>
        <a:xfrm>
          <a:off x="9449202" y="36331264"/>
          <a:ext cx="662538" cy="31376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55242</xdr:colOff>
      <xdr:row>138</xdr:row>
      <xdr:rowOff>26894</xdr:rowOff>
    </xdr:from>
    <xdr:to>
      <xdr:col>18</xdr:col>
      <xdr:colOff>555812</xdr:colOff>
      <xdr:row>143</xdr:row>
      <xdr:rowOff>11404</xdr:rowOff>
    </xdr:to>
    <xdr:cxnSp macro="">
      <xdr:nvCxnSpPr>
        <xdr:cNvPr id="129" name="直線矢印コネクタ 128">
          <a:extLst>
            <a:ext uri="{FF2B5EF4-FFF2-40B4-BE49-F238E27FC236}">
              <a16:creationId xmlns:a16="http://schemas.microsoft.com/office/drawing/2014/main" id="{00000000-0008-0000-0800-000081000000}"/>
            </a:ext>
          </a:extLst>
        </xdr:cNvPr>
        <xdr:cNvCxnSpPr>
          <a:endCxn id="128" idx="7"/>
        </xdr:cNvCxnSpPr>
      </xdr:nvCxnSpPr>
      <xdr:spPr>
        <a:xfrm flipH="1">
          <a:off x="10014582" y="34789334"/>
          <a:ext cx="3365690" cy="15847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663388</xdr:colOff>
      <xdr:row>168</xdr:row>
      <xdr:rowOff>179294</xdr:rowOff>
    </xdr:from>
    <xdr:to>
      <xdr:col>7</xdr:col>
      <xdr:colOff>26894</xdr:colOff>
      <xdr:row>170</xdr:row>
      <xdr:rowOff>62753</xdr:rowOff>
    </xdr:to>
    <xdr:sp macro="" textlink="">
      <xdr:nvSpPr>
        <xdr:cNvPr id="130" name="楕円 129">
          <a:extLst>
            <a:ext uri="{FF2B5EF4-FFF2-40B4-BE49-F238E27FC236}">
              <a16:creationId xmlns:a16="http://schemas.microsoft.com/office/drawing/2014/main" id="{00000000-0008-0000-0800-000082000000}"/>
            </a:ext>
          </a:extLst>
        </xdr:cNvPr>
        <xdr:cNvSpPr/>
      </xdr:nvSpPr>
      <xdr:spPr>
        <a:xfrm>
          <a:off x="1333948" y="45091574"/>
          <a:ext cx="3638326" cy="7978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358589</xdr:colOff>
      <xdr:row>164</xdr:row>
      <xdr:rowOff>179295</xdr:rowOff>
    </xdr:from>
    <xdr:to>
      <xdr:col>5</xdr:col>
      <xdr:colOff>40340</xdr:colOff>
      <xdr:row>168</xdr:row>
      <xdr:rowOff>179294</xdr:rowOff>
    </xdr:to>
    <xdr:cxnSp macro="">
      <xdr:nvCxnSpPr>
        <xdr:cNvPr id="131" name="直線矢印コネクタ 130">
          <a:extLst>
            <a:ext uri="{FF2B5EF4-FFF2-40B4-BE49-F238E27FC236}">
              <a16:creationId xmlns:a16="http://schemas.microsoft.com/office/drawing/2014/main" id="{00000000-0008-0000-0800-000083000000}"/>
            </a:ext>
          </a:extLst>
        </xdr:cNvPr>
        <xdr:cNvCxnSpPr>
          <a:stCxn id="126" idx="2"/>
          <a:endCxn id="130" idx="0"/>
        </xdr:cNvCxnSpPr>
      </xdr:nvCxnSpPr>
      <xdr:spPr>
        <a:xfrm flipH="1">
          <a:off x="3155129" y="43994295"/>
          <a:ext cx="398031" cy="10972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162</xdr:row>
      <xdr:rowOff>224117</xdr:rowOff>
    </xdr:from>
    <xdr:to>
      <xdr:col>15</xdr:col>
      <xdr:colOff>672354</xdr:colOff>
      <xdr:row>165</xdr:row>
      <xdr:rowOff>143435</xdr:rowOff>
    </xdr:to>
    <xdr:sp macro="" textlink="">
      <xdr:nvSpPr>
        <xdr:cNvPr id="132" name="テキスト ボックス 131">
          <a:extLst>
            <a:ext uri="{FF2B5EF4-FFF2-40B4-BE49-F238E27FC236}">
              <a16:creationId xmlns:a16="http://schemas.microsoft.com/office/drawing/2014/main" id="{00000000-0008-0000-0800-000084000000}"/>
            </a:ext>
          </a:extLst>
        </xdr:cNvPr>
        <xdr:cNvSpPr txBox="1"/>
      </xdr:nvSpPr>
      <xdr:spPr>
        <a:xfrm>
          <a:off x="6682740" y="43581917"/>
          <a:ext cx="4665234" cy="605118"/>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●年間稼働時間は、実際に設備を稼働している時間を記載してください。</a:t>
          </a:r>
          <a:endParaRPr kumimoji="1" lang="en-US" altLang="ja-JP" sz="1100"/>
        </a:p>
        <a:p>
          <a:r>
            <a:rPr kumimoji="1" lang="ja-JP" altLang="en-US" sz="1100"/>
            <a:t>例：</a:t>
          </a:r>
          <a:r>
            <a:rPr kumimoji="1" lang="en-US" altLang="ja-JP" sz="1100" u="none">
              <a:solidFill>
                <a:sysClr val="windowText" lastClr="000000"/>
              </a:solidFill>
            </a:rPr>
            <a:t>24</a:t>
          </a:r>
          <a:r>
            <a:rPr kumimoji="1" lang="ja-JP" altLang="en-US" sz="1100" u="none">
              <a:solidFill>
                <a:sysClr val="windowText" lastClr="000000"/>
              </a:solidFill>
            </a:rPr>
            <a:t>時間</a:t>
          </a:r>
          <a:r>
            <a:rPr kumimoji="1" lang="en-US" altLang="ja-JP" sz="1100" u="none">
              <a:solidFill>
                <a:sysClr val="windowText" lastClr="000000"/>
              </a:solidFill>
            </a:rPr>
            <a:t>/</a:t>
          </a:r>
          <a:r>
            <a:rPr kumimoji="1" lang="ja-JP" altLang="en-US" sz="1100" u="none">
              <a:solidFill>
                <a:sysClr val="windowText" lastClr="000000"/>
              </a:solidFill>
            </a:rPr>
            <a:t>日</a:t>
          </a:r>
          <a:r>
            <a:rPr kumimoji="1" lang="en-US" altLang="ja-JP" sz="1100" u="none">
              <a:solidFill>
                <a:sysClr val="windowText" lastClr="000000"/>
              </a:solidFill>
            </a:rPr>
            <a:t>×365</a:t>
          </a:r>
          <a:r>
            <a:rPr kumimoji="1" lang="ja-JP" altLang="en-US" sz="1100" u="none">
              <a:solidFill>
                <a:sysClr val="windowText" lastClr="000000"/>
              </a:solidFill>
            </a:rPr>
            <a:t>日</a:t>
          </a:r>
          <a:r>
            <a:rPr kumimoji="1" lang="ja-JP" altLang="en-US" sz="1100">
              <a:solidFill>
                <a:sysClr val="windowText" lastClr="000000"/>
              </a:solidFill>
            </a:rPr>
            <a:t>＝</a:t>
          </a:r>
          <a:r>
            <a:rPr kumimoji="1" lang="en-US" altLang="ja-JP" sz="1100" u="sng">
              <a:solidFill>
                <a:sysClr val="windowText" lastClr="000000"/>
              </a:solidFill>
            </a:rPr>
            <a:t>8760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endParaRPr kumimoji="1" lang="ja-JP" altLang="en-US" sz="1100">
            <a:solidFill>
              <a:sysClr val="windowText" lastClr="000000"/>
            </a:solidFill>
          </a:endParaRPr>
        </a:p>
      </xdr:txBody>
    </xdr:sp>
    <xdr:clientData/>
  </xdr:twoCellAnchor>
  <xdr:twoCellAnchor>
    <xdr:from>
      <xdr:col>8</xdr:col>
      <xdr:colOff>143435</xdr:colOff>
      <xdr:row>169</xdr:row>
      <xdr:rowOff>188259</xdr:rowOff>
    </xdr:from>
    <xdr:to>
      <xdr:col>9</xdr:col>
      <xdr:colOff>89693</xdr:colOff>
      <xdr:row>169</xdr:row>
      <xdr:rowOff>510989</xdr:rowOff>
    </xdr:to>
    <xdr:sp macro="" textlink="">
      <xdr:nvSpPr>
        <xdr:cNvPr id="133" name="楕円 132">
          <a:extLst>
            <a:ext uri="{FF2B5EF4-FFF2-40B4-BE49-F238E27FC236}">
              <a16:creationId xmlns:a16="http://schemas.microsoft.com/office/drawing/2014/main" id="{00000000-0008-0000-0800-000085000000}"/>
            </a:ext>
          </a:extLst>
        </xdr:cNvPr>
        <xdr:cNvSpPr/>
      </xdr:nvSpPr>
      <xdr:spPr>
        <a:xfrm>
          <a:off x="5805095" y="45329139"/>
          <a:ext cx="662538"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709712</xdr:colOff>
      <xdr:row>165</xdr:row>
      <xdr:rowOff>143435</xdr:rowOff>
    </xdr:from>
    <xdr:to>
      <xdr:col>12</xdr:col>
      <xdr:colOff>488577</xdr:colOff>
      <xdr:row>169</xdr:row>
      <xdr:rowOff>235522</xdr:rowOff>
    </xdr:to>
    <xdr:cxnSp macro="">
      <xdr:nvCxnSpPr>
        <xdr:cNvPr id="134" name="直線矢印コネクタ 133">
          <a:extLst>
            <a:ext uri="{FF2B5EF4-FFF2-40B4-BE49-F238E27FC236}">
              <a16:creationId xmlns:a16="http://schemas.microsoft.com/office/drawing/2014/main" id="{00000000-0008-0000-0800-000086000000}"/>
            </a:ext>
          </a:extLst>
        </xdr:cNvPr>
        <xdr:cNvCxnSpPr>
          <a:stCxn id="132" idx="2"/>
          <a:endCxn id="133" idx="7"/>
        </xdr:cNvCxnSpPr>
      </xdr:nvCxnSpPr>
      <xdr:spPr>
        <a:xfrm flipH="1">
          <a:off x="6371372" y="44187035"/>
          <a:ext cx="2643985" cy="118936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170330</xdr:colOff>
      <xdr:row>161</xdr:row>
      <xdr:rowOff>17929</xdr:rowOff>
    </xdr:from>
    <xdr:to>
      <xdr:col>22</xdr:col>
      <xdr:colOff>179293</xdr:colOff>
      <xdr:row>165</xdr:row>
      <xdr:rowOff>125506</xdr:rowOff>
    </xdr:to>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11562230" y="43147129"/>
          <a:ext cx="4306643" cy="1021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●更新後の能力等を記入して、算定してください。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10</xdr:col>
      <xdr:colOff>681317</xdr:colOff>
      <xdr:row>168</xdr:row>
      <xdr:rowOff>179294</xdr:rowOff>
    </xdr:from>
    <xdr:to>
      <xdr:col>16</xdr:col>
      <xdr:colOff>188258</xdr:colOff>
      <xdr:row>170</xdr:row>
      <xdr:rowOff>62753</xdr:rowOff>
    </xdr:to>
    <xdr:sp macro="" textlink="">
      <xdr:nvSpPr>
        <xdr:cNvPr id="141" name="楕円 140">
          <a:extLst>
            <a:ext uri="{FF2B5EF4-FFF2-40B4-BE49-F238E27FC236}">
              <a16:creationId xmlns:a16="http://schemas.microsoft.com/office/drawing/2014/main" id="{00000000-0008-0000-0800-00008D000000}"/>
            </a:ext>
          </a:extLst>
        </xdr:cNvPr>
        <xdr:cNvSpPr/>
      </xdr:nvSpPr>
      <xdr:spPr>
        <a:xfrm>
          <a:off x="7775537" y="45091574"/>
          <a:ext cx="3804621" cy="7978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188258</xdr:colOff>
      <xdr:row>165</xdr:row>
      <xdr:rowOff>125506</xdr:rowOff>
    </xdr:from>
    <xdr:to>
      <xdr:col>19</xdr:col>
      <xdr:colOff>174812</xdr:colOff>
      <xdr:row>169</xdr:row>
      <xdr:rowOff>349624</xdr:rowOff>
    </xdr:to>
    <xdr:cxnSp macro="">
      <xdr:nvCxnSpPr>
        <xdr:cNvPr id="142" name="直線矢印コネクタ 141">
          <a:extLst>
            <a:ext uri="{FF2B5EF4-FFF2-40B4-BE49-F238E27FC236}">
              <a16:creationId xmlns:a16="http://schemas.microsoft.com/office/drawing/2014/main" id="{00000000-0008-0000-0800-00008E000000}"/>
            </a:ext>
          </a:extLst>
        </xdr:cNvPr>
        <xdr:cNvCxnSpPr>
          <a:stCxn id="140" idx="2"/>
          <a:endCxn id="141" idx="6"/>
        </xdr:cNvCxnSpPr>
      </xdr:nvCxnSpPr>
      <xdr:spPr>
        <a:xfrm flipH="1">
          <a:off x="11580158" y="44169106"/>
          <a:ext cx="2135394" cy="13213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340658</xdr:colOff>
      <xdr:row>145</xdr:row>
      <xdr:rowOff>107579</xdr:rowOff>
    </xdr:from>
    <xdr:to>
      <xdr:col>10</xdr:col>
      <xdr:colOff>233083</xdr:colOff>
      <xdr:row>146</xdr:row>
      <xdr:rowOff>206191</xdr:rowOff>
    </xdr:to>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a:off x="2420918" y="36927419"/>
          <a:ext cx="4906385" cy="327212"/>
        </a:xfrm>
        <a:prstGeom prst="rect">
          <a:avLst/>
        </a:prstGeom>
        <a:solidFill>
          <a:srgbClr val="FBFBFB"/>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先に</a:t>
          </a:r>
          <a:r>
            <a:rPr lang="ja-JP" altLang="ja-JP" sz="1100" b="0" i="0" u="sng">
              <a:solidFill>
                <a:schemeClr val="dk1"/>
              </a:solidFill>
              <a:effectLst/>
              <a:latin typeface="+mn-lt"/>
              <a:ea typeface="+mn-ea"/>
              <a:cs typeface="+mn-cs"/>
            </a:rPr>
            <a:t>規格</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プルダウンから</a:t>
          </a:r>
          <a:r>
            <a:rPr lang="ja-JP" altLang="ja-JP" sz="1100" b="0" i="0">
              <a:solidFill>
                <a:schemeClr val="dk1"/>
              </a:solidFill>
              <a:effectLst/>
              <a:latin typeface="+mn-lt"/>
              <a:ea typeface="+mn-ea"/>
              <a:cs typeface="+mn-cs"/>
            </a:rPr>
            <a:t>選ぶことで、</a:t>
          </a:r>
          <a:r>
            <a:rPr lang="ja-JP" altLang="ja-JP" sz="1100" b="0" i="0" u="sng">
              <a:solidFill>
                <a:schemeClr val="dk1"/>
              </a:solidFill>
              <a:effectLst/>
              <a:latin typeface="+mn-lt"/>
              <a:ea typeface="+mn-ea"/>
              <a:cs typeface="+mn-cs"/>
            </a:rPr>
            <a:t>定格出力</a:t>
          </a:r>
          <a:r>
            <a:rPr lang="ja-JP" altLang="ja-JP" sz="1100" b="0" i="0">
              <a:solidFill>
                <a:schemeClr val="dk1"/>
              </a:solidFill>
              <a:effectLst/>
              <a:latin typeface="+mn-lt"/>
              <a:ea typeface="+mn-ea"/>
              <a:cs typeface="+mn-cs"/>
            </a:rPr>
            <a:t>が</a:t>
          </a:r>
          <a:r>
            <a:rPr lang="ja-JP" altLang="ja-JP" sz="1100" b="0" i="0">
              <a:solidFill>
                <a:sysClr val="windowText" lastClr="000000"/>
              </a:solidFill>
              <a:effectLst/>
              <a:latin typeface="+mn-lt"/>
              <a:ea typeface="+mn-ea"/>
              <a:cs typeface="+mn-cs"/>
            </a:rPr>
            <a:t>選択可能</a:t>
          </a:r>
          <a:r>
            <a:rPr lang="ja-JP" altLang="ja-JP" sz="1100" b="0" i="0">
              <a:solidFill>
                <a:schemeClr val="dk1"/>
              </a:solidFill>
              <a:effectLst/>
              <a:latin typeface="+mn-lt"/>
              <a:ea typeface="+mn-ea"/>
              <a:cs typeface="+mn-cs"/>
            </a:rPr>
            <a:t>になります。</a:t>
          </a:r>
          <a:endParaRPr lang="ja-JP" altLang="ja-JP">
            <a:effectLst/>
          </a:endParaRPr>
        </a:p>
      </xdr:txBody>
    </xdr:sp>
    <xdr:clientData/>
  </xdr:twoCellAnchor>
  <xdr:twoCellAnchor>
    <xdr:from>
      <xdr:col>4</xdr:col>
      <xdr:colOff>143435</xdr:colOff>
      <xdr:row>142</xdr:row>
      <xdr:rowOff>152400</xdr:rowOff>
    </xdr:from>
    <xdr:to>
      <xdr:col>4</xdr:col>
      <xdr:colOff>591671</xdr:colOff>
      <xdr:row>144</xdr:row>
      <xdr:rowOff>71718</xdr:rowOff>
    </xdr:to>
    <xdr:sp macro="" textlink="">
      <xdr:nvSpPr>
        <xdr:cNvPr id="144" name="楕円 143">
          <a:extLst>
            <a:ext uri="{FF2B5EF4-FFF2-40B4-BE49-F238E27FC236}">
              <a16:creationId xmlns:a16="http://schemas.microsoft.com/office/drawing/2014/main" id="{00000000-0008-0000-0800-000090000000}"/>
            </a:ext>
          </a:extLst>
        </xdr:cNvPr>
        <xdr:cNvSpPr/>
      </xdr:nvSpPr>
      <xdr:spPr>
        <a:xfrm>
          <a:off x="2939975" y="36286440"/>
          <a:ext cx="448236" cy="376518"/>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125505</xdr:colOff>
      <xdr:row>142</xdr:row>
      <xdr:rowOff>134471</xdr:rowOff>
    </xdr:from>
    <xdr:to>
      <xdr:col>7</xdr:col>
      <xdr:colOff>573741</xdr:colOff>
      <xdr:row>144</xdr:row>
      <xdr:rowOff>53789</xdr:rowOff>
    </xdr:to>
    <xdr:sp macro="" textlink="">
      <xdr:nvSpPr>
        <xdr:cNvPr id="145" name="楕円 144">
          <a:extLst>
            <a:ext uri="{FF2B5EF4-FFF2-40B4-BE49-F238E27FC236}">
              <a16:creationId xmlns:a16="http://schemas.microsoft.com/office/drawing/2014/main" id="{00000000-0008-0000-0800-000091000000}"/>
            </a:ext>
          </a:extLst>
        </xdr:cNvPr>
        <xdr:cNvSpPr/>
      </xdr:nvSpPr>
      <xdr:spPr>
        <a:xfrm>
          <a:off x="5070885" y="36268511"/>
          <a:ext cx="448236" cy="376518"/>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526028</xdr:colOff>
      <xdr:row>144</xdr:row>
      <xdr:rowOff>15265</xdr:rowOff>
    </xdr:from>
    <xdr:to>
      <xdr:col>6</xdr:col>
      <xdr:colOff>645459</xdr:colOff>
      <xdr:row>145</xdr:row>
      <xdr:rowOff>107579</xdr:rowOff>
    </xdr:to>
    <xdr:cxnSp macro="">
      <xdr:nvCxnSpPr>
        <xdr:cNvPr id="146" name="直線矢印コネクタ 145">
          <a:extLst>
            <a:ext uri="{FF2B5EF4-FFF2-40B4-BE49-F238E27FC236}">
              <a16:creationId xmlns:a16="http://schemas.microsoft.com/office/drawing/2014/main" id="{00000000-0008-0000-0800-000092000000}"/>
            </a:ext>
          </a:extLst>
        </xdr:cNvPr>
        <xdr:cNvCxnSpPr>
          <a:stCxn id="143" idx="0"/>
          <a:endCxn id="144" idx="5"/>
        </xdr:cNvCxnSpPr>
      </xdr:nvCxnSpPr>
      <xdr:spPr>
        <a:xfrm flipH="1" flipV="1">
          <a:off x="3322568" y="36606505"/>
          <a:ext cx="1551991" cy="320914"/>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645459</xdr:colOff>
      <xdr:row>144</xdr:row>
      <xdr:rowOff>53789</xdr:rowOff>
    </xdr:from>
    <xdr:to>
      <xdr:col>7</xdr:col>
      <xdr:colOff>349623</xdr:colOff>
      <xdr:row>145</xdr:row>
      <xdr:rowOff>107579</xdr:rowOff>
    </xdr:to>
    <xdr:cxnSp macro="">
      <xdr:nvCxnSpPr>
        <xdr:cNvPr id="147" name="直線矢印コネクタ 146">
          <a:extLst>
            <a:ext uri="{FF2B5EF4-FFF2-40B4-BE49-F238E27FC236}">
              <a16:creationId xmlns:a16="http://schemas.microsoft.com/office/drawing/2014/main" id="{00000000-0008-0000-0800-000093000000}"/>
            </a:ext>
          </a:extLst>
        </xdr:cNvPr>
        <xdr:cNvCxnSpPr>
          <a:stCxn id="143" idx="0"/>
          <a:endCxn id="145" idx="4"/>
        </xdr:cNvCxnSpPr>
      </xdr:nvCxnSpPr>
      <xdr:spPr>
        <a:xfrm flipV="1">
          <a:off x="4874559" y="36645029"/>
          <a:ext cx="420444" cy="28239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242047</xdr:colOff>
      <xdr:row>109</xdr:row>
      <xdr:rowOff>125506</xdr:rowOff>
    </xdr:from>
    <xdr:to>
      <xdr:col>13</xdr:col>
      <xdr:colOff>71719</xdr:colOff>
      <xdr:row>111</xdr:row>
      <xdr:rowOff>107576</xdr:rowOff>
    </xdr:to>
    <xdr:sp macro="" textlink="">
      <xdr:nvSpPr>
        <xdr:cNvPr id="148" name="楕円 147">
          <a:extLst>
            <a:ext uri="{FF2B5EF4-FFF2-40B4-BE49-F238E27FC236}">
              <a16:creationId xmlns:a16="http://schemas.microsoft.com/office/drawing/2014/main" id="{00000000-0008-0000-0800-000094000000}"/>
            </a:ext>
          </a:extLst>
        </xdr:cNvPr>
        <xdr:cNvSpPr/>
      </xdr:nvSpPr>
      <xdr:spPr>
        <a:xfrm>
          <a:off x="8768827" y="28121386"/>
          <a:ext cx="545952" cy="4392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516112</xdr:colOff>
      <xdr:row>111</xdr:row>
      <xdr:rowOff>107576</xdr:rowOff>
    </xdr:from>
    <xdr:to>
      <xdr:col>13</xdr:col>
      <xdr:colOff>62110</xdr:colOff>
      <xdr:row>112</xdr:row>
      <xdr:rowOff>215150</xdr:rowOff>
    </xdr:to>
    <xdr:cxnSp macro="">
      <xdr:nvCxnSpPr>
        <xdr:cNvPr id="149" name="直線矢印コネクタ 148">
          <a:extLst>
            <a:ext uri="{FF2B5EF4-FFF2-40B4-BE49-F238E27FC236}">
              <a16:creationId xmlns:a16="http://schemas.microsoft.com/office/drawing/2014/main" id="{00000000-0008-0000-0800-000095000000}"/>
            </a:ext>
          </a:extLst>
        </xdr:cNvPr>
        <xdr:cNvCxnSpPr>
          <a:stCxn id="125" idx="0"/>
          <a:endCxn id="148" idx="4"/>
        </xdr:cNvCxnSpPr>
      </xdr:nvCxnSpPr>
      <xdr:spPr>
        <a:xfrm flipH="1" flipV="1">
          <a:off x="9042892" y="28560656"/>
          <a:ext cx="262278" cy="3361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448238</xdr:colOff>
      <xdr:row>112</xdr:row>
      <xdr:rowOff>224116</xdr:rowOff>
    </xdr:from>
    <xdr:to>
      <xdr:col>6</xdr:col>
      <xdr:colOff>259978</xdr:colOff>
      <xdr:row>125</xdr:row>
      <xdr:rowOff>174172</xdr:rowOff>
    </xdr:to>
    <xdr:sp macro="" textlink="">
      <xdr:nvSpPr>
        <xdr:cNvPr id="150" name="テキスト ボックス 149">
          <a:extLst>
            <a:ext uri="{FF2B5EF4-FFF2-40B4-BE49-F238E27FC236}">
              <a16:creationId xmlns:a16="http://schemas.microsoft.com/office/drawing/2014/main" id="{00000000-0008-0000-0800-000096000000}"/>
            </a:ext>
          </a:extLst>
        </xdr:cNvPr>
        <xdr:cNvSpPr txBox="1"/>
      </xdr:nvSpPr>
      <xdr:spPr>
        <a:xfrm>
          <a:off x="1118798" y="28905796"/>
          <a:ext cx="3370280" cy="29218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給湯器（</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を導入する場合</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・設備種類にて「給湯器（</a:t>
          </a:r>
          <a:r>
            <a:rPr kumimoji="1" lang="en-US" altLang="ja-JP" sz="1100"/>
            <a:t>HP</a:t>
          </a:r>
          <a:r>
            <a:rPr kumimoji="1" lang="ja-JP" altLang="en-US" sz="1100"/>
            <a:t>）」をプルダウンから選択すると、導入年度の行が入力色になります。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・導入年度を入力すると、</a:t>
          </a:r>
          <a:r>
            <a:rPr kumimoji="1" lang="ja-JP" altLang="en-US" sz="1100" u="sng">
              <a:solidFill>
                <a:sysClr val="windowText" lastClr="000000"/>
              </a:solidFill>
            </a:rPr>
            <a:t>ヒートポンプの劣化率</a:t>
          </a:r>
          <a:r>
            <a:rPr kumimoji="1" lang="ja-JP" altLang="en-US" sz="1100">
              <a:solidFill>
                <a:sysClr val="windowText" lastClr="000000"/>
              </a:solidFill>
            </a:rPr>
            <a:t>が自動計算されます。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省エネ診断や施工事業者の測定等により劣化率等を把握しており、そちらの値を用いたい場合は事務局へご相談ください。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給湯器（</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以外の場合は、導入年度は記入不要です。</a:t>
          </a:r>
          <a:endParaRPr kumimoji="1" lang="en-US" altLang="ja-JP" sz="1100">
            <a:solidFill>
              <a:schemeClr val="dk1"/>
            </a:solidFill>
            <a:effectLst/>
            <a:latin typeface="+mn-lt"/>
            <a:ea typeface="+mn-ea"/>
            <a:cs typeface="+mn-cs"/>
          </a:endParaRPr>
        </a:p>
      </xdr:txBody>
    </xdr:sp>
    <xdr:clientData/>
  </xdr:twoCellAnchor>
  <xdr:twoCellAnchor>
    <xdr:from>
      <xdr:col>2</xdr:col>
      <xdr:colOff>708211</xdr:colOff>
      <xdr:row>109</xdr:row>
      <xdr:rowOff>161365</xdr:rowOff>
    </xdr:from>
    <xdr:to>
      <xdr:col>5</xdr:col>
      <xdr:colOff>71716</xdr:colOff>
      <xdr:row>111</xdr:row>
      <xdr:rowOff>26895</xdr:rowOff>
    </xdr:to>
    <xdr:sp macro="" textlink="">
      <xdr:nvSpPr>
        <xdr:cNvPr id="151" name="楕円 150">
          <a:extLst>
            <a:ext uri="{FF2B5EF4-FFF2-40B4-BE49-F238E27FC236}">
              <a16:creationId xmlns:a16="http://schemas.microsoft.com/office/drawing/2014/main" id="{00000000-0008-0000-0800-000097000000}"/>
            </a:ext>
          </a:extLst>
        </xdr:cNvPr>
        <xdr:cNvSpPr/>
      </xdr:nvSpPr>
      <xdr:spPr>
        <a:xfrm>
          <a:off x="2072191" y="28157245"/>
          <a:ext cx="1512345"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5766</xdr:colOff>
      <xdr:row>111</xdr:row>
      <xdr:rowOff>26895</xdr:rowOff>
    </xdr:from>
    <xdr:to>
      <xdr:col>4</xdr:col>
      <xdr:colOff>30735</xdr:colOff>
      <xdr:row>112</xdr:row>
      <xdr:rowOff>224116</xdr:rowOff>
    </xdr:to>
    <xdr:cxnSp macro="">
      <xdr:nvCxnSpPr>
        <xdr:cNvPr id="152" name="直線矢印コネクタ 151">
          <a:extLst>
            <a:ext uri="{FF2B5EF4-FFF2-40B4-BE49-F238E27FC236}">
              <a16:creationId xmlns:a16="http://schemas.microsoft.com/office/drawing/2014/main" id="{00000000-0008-0000-0800-000098000000}"/>
            </a:ext>
          </a:extLst>
        </xdr:cNvPr>
        <xdr:cNvCxnSpPr>
          <a:stCxn id="150" idx="0"/>
          <a:endCxn id="151" idx="4"/>
        </xdr:cNvCxnSpPr>
      </xdr:nvCxnSpPr>
      <xdr:spPr>
        <a:xfrm flipV="1">
          <a:off x="2802306" y="28479975"/>
          <a:ext cx="24969" cy="4258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89648</xdr:colOff>
      <xdr:row>109</xdr:row>
      <xdr:rowOff>161365</xdr:rowOff>
    </xdr:from>
    <xdr:to>
      <xdr:col>8</xdr:col>
      <xdr:colOff>699248</xdr:colOff>
      <xdr:row>111</xdr:row>
      <xdr:rowOff>26895</xdr:rowOff>
    </xdr:to>
    <xdr:sp macro="" textlink="">
      <xdr:nvSpPr>
        <xdr:cNvPr id="153" name="楕円 152">
          <a:extLst>
            <a:ext uri="{FF2B5EF4-FFF2-40B4-BE49-F238E27FC236}">
              <a16:creationId xmlns:a16="http://schemas.microsoft.com/office/drawing/2014/main" id="{00000000-0008-0000-0800-000099000000}"/>
            </a:ext>
          </a:extLst>
        </xdr:cNvPr>
        <xdr:cNvSpPr/>
      </xdr:nvSpPr>
      <xdr:spPr>
        <a:xfrm>
          <a:off x="5751308" y="28157245"/>
          <a:ext cx="609600"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89647</xdr:colOff>
      <xdr:row>110</xdr:row>
      <xdr:rowOff>211401</xdr:rowOff>
    </xdr:from>
    <xdr:to>
      <xdr:col>8</xdr:col>
      <xdr:colOff>178922</xdr:colOff>
      <xdr:row>116</xdr:row>
      <xdr:rowOff>224117</xdr:rowOff>
    </xdr:to>
    <xdr:cxnSp macro="">
      <xdr:nvCxnSpPr>
        <xdr:cNvPr id="154" name="直線矢印コネクタ 153">
          <a:extLst>
            <a:ext uri="{FF2B5EF4-FFF2-40B4-BE49-F238E27FC236}">
              <a16:creationId xmlns:a16="http://schemas.microsoft.com/office/drawing/2014/main" id="{00000000-0008-0000-0800-00009A000000}"/>
            </a:ext>
          </a:extLst>
        </xdr:cNvPr>
        <xdr:cNvCxnSpPr>
          <a:endCxn id="153" idx="3"/>
        </xdr:cNvCxnSpPr>
      </xdr:nvCxnSpPr>
      <xdr:spPr>
        <a:xfrm flipV="1">
          <a:off x="4318747" y="28435881"/>
          <a:ext cx="1521835" cy="13843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672352</xdr:colOff>
      <xdr:row>99</xdr:row>
      <xdr:rowOff>89647</xdr:rowOff>
    </xdr:from>
    <xdr:to>
      <xdr:col>5</xdr:col>
      <xdr:colOff>627529</xdr:colOff>
      <xdr:row>106</xdr:row>
      <xdr:rowOff>179294</xdr:rowOff>
    </xdr:to>
    <xdr:sp macro="" textlink="">
      <xdr:nvSpPr>
        <xdr:cNvPr id="155" name="テキスト ボックス 154">
          <a:extLst>
            <a:ext uri="{FF2B5EF4-FFF2-40B4-BE49-F238E27FC236}">
              <a16:creationId xmlns:a16="http://schemas.microsoft.com/office/drawing/2014/main" id="{00000000-0008-0000-0800-00009B000000}"/>
            </a:ext>
          </a:extLst>
        </xdr:cNvPr>
        <xdr:cNvSpPr txBox="1"/>
      </xdr:nvSpPr>
      <xdr:spPr>
        <a:xfrm>
          <a:off x="672352" y="25144207"/>
          <a:ext cx="3467997" cy="174318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a:solidFill>
                <a:sysClr val="windowText" lastClr="000000"/>
              </a:solidFill>
            </a:rPr>
            <a:t>ボイラー及び給湯器（加熱式）を導入する場合、経年劣化率は</a:t>
          </a:r>
          <a:r>
            <a:rPr kumimoji="1" lang="en-US" altLang="ja-JP" sz="1100">
              <a:solidFill>
                <a:sysClr val="windowText" lastClr="000000"/>
              </a:solidFill>
            </a:rPr>
            <a:t>10</a:t>
          </a:r>
          <a:r>
            <a:rPr kumimoji="1" lang="ja-JP" altLang="en-US" sz="1100">
              <a:solidFill>
                <a:sysClr val="windowText" lastClr="000000"/>
              </a:solidFill>
            </a:rPr>
            <a:t>％</a:t>
          </a:r>
          <a:r>
            <a:rPr kumimoji="1" lang="ja-JP" altLang="en-US" sz="1100"/>
            <a:t>を参考値とします。</a:t>
          </a:r>
          <a:r>
            <a:rPr kumimoji="1" lang="ja-JP" altLang="ja-JP" sz="1100">
              <a:solidFill>
                <a:schemeClr val="dk1"/>
              </a:solidFill>
              <a:effectLst/>
              <a:latin typeface="+mn-lt"/>
              <a:ea typeface="+mn-ea"/>
              <a:cs typeface="+mn-cs"/>
            </a:rPr>
            <a:t>経年劣化率を把握していない場合は、そのまま算定してください。</a:t>
          </a:r>
          <a:endParaRPr lang="ja-JP" altLang="ja-JP">
            <a:effectLst/>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劣化率</a:t>
          </a:r>
          <a:r>
            <a:rPr kumimoji="1" lang="ja-JP" altLang="ja-JP" sz="1100">
              <a:solidFill>
                <a:schemeClr val="dk1"/>
              </a:solidFill>
              <a:effectLst/>
              <a:latin typeface="+mn-lt"/>
              <a:ea typeface="+mn-ea"/>
              <a:cs typeface="+mn-cs"/>
            </a:rPr>
            <a:t>を把握して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そちらの値を用いたい場合は事務局へご相談ください。</a:t>
          </a:r>
          <a:endParaRPr lang="ja-JP" altLang="ja-JP">
            <a:effectLst/>
          </a:endParaRPr>
        </a:p>
      </xdr:txBody>
    </xdr:sp>
    <xdr:clientData/>
  </xdr:twoCellAnchor>
  <xdr:twoCellAnchor>
    <xdr:from>
      <xdr:col>9</xdr:col>
      <xdr:colOff>152402</xdr:colOff>
      <xdr:row>109</xdr:row>
      <xdr:rowOff>170331</xdr:rowOff>
    </xdr:from>
    <xdr:to>
      <xdr:col>9</xdr:col>
      <xdr:colOff>582706</xdr:colOff>
      <xdr:row>111</xdr:row>
      <xdr:rowOff>35861</xdr:rowOff>
    </xdr:to>
    <xdr:sp macro="" textlink="">
      <xdr:nvSpPr>
        <xdr:cNvPr id="156" name="楕円 155">
          <a:extLst>
            <a:ext uri="{FF2B5EF4-FFF2-40B4-BE49-F238E27FC236}">
              <a16:creationId xmlns:a16="http://schemas.microsoft.com/office/drawing/2014/main" id="{00000000-0008-0000-0800-00009C000000}"/>
            </a:ext>
          </a:extLst>
        </xdr:cNvPr>
        <xdr:cNvSpPr/>
      </xdr:nvSpPr>
      <xdr:spPr>
        <a:xfrm>
          <a:off x="6530342" y="28166211"/>
          <a:ext cx="430304"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627529</xdr:colOff>
      <xdr:row>103</xdr:row>
      <xdr:rowOff>17929</xdr:rowOff>
    </xdr:from>
    <xdr:to>
      <xdr:col>9</xdr:col>
      <xdr:colOff>215419</xdr:colOff>
      <xdr:row>109</xdr:row>
      <xdr:rowOff>218907</xdr:rowOff>
    </xdr:to>
    <xdr:cxnSp macro="">
      <xdr:nvCxnSpPr>
        <xdr:cNvPr id="157" name="直線矢印コネクタ 156">
          <a:extLst>
            <a:ext uri="{FF2B5EF4-FFF2-40B4-BE49-F238E27FC236}">
              <a16:creationId xmlns:a16="http://schemas.microsoft.com/office/drawing/2014/main" id="{00000000-0008-0000-0800-00009D000000}"/>
            </a:ext>
          </a:extLst>
        </xdr:cNvPr>
        <xdr:cNvCxnSpPr>
          <a:stCxn id="155" idx="3"/>
          <a:endCxn id="156" idx="1"/>
        </xdr:cNvCxnSpPr>
      </xdr:nvCxnSpPr>
      <xdr:spPr>
        <a:xfrm>
          <a:off x="4140349" y="26017369"/>
          <a:ext cx="2453010" cy="21974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35861</xdr:rowOff>
    </xdr:from>
    <xdr:to>
      <xdr:col>5</xdr:col>
      <xdr:colOff>161364</xdr:colOff>
      <xdr:row>82</xdr:row>
      <xdr:rowOff>170331</xdr:rowOff>
    </xdr:to>
    <xdr:sp macro="" textlink="">
      <xdr:nvSpPr>
        <xdr:cNvPr id="158" name="テキスト ボックス 157">
          <a:extLst>
            <a:ext uri="{FF2B5EF4-FFF2-40B4-BE49-F238E27FC236}">
              <a16:creationId xmlns:a16="http://schemas.microsoft.com/office/drawing/2014/main" id="{00000000-0008-0000-0800-00009E000000}"/>
            </a:ext>
          </a:extLst>
        </xdr:cNvPr>
        <xdr:cNvSpPr txBox="1"/>
      </xdr:nvSpPr>
      <xdr:spPr>
        <a:xfrm>
          <a:off x="670560" y="19664981"/>
          <a:ext cx="3003624" cy="150607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●老朽化消費倍率は導入年度から自動計算されます。</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劣化率等を把握しており、そちらの値を用いたい場合は事務局へご相談ください。</a:t>
          </a:r>
          <a:endParaRPr kumimoji="1" lang="en-US" altLang="ja-JP" sz="1100"/>
        </a:p>
      </xdr:txBody>
    </xdr:sp>
    <xdr:clientData/>
  </xdr:twoCellAnchor>
  <xdr:twoCellAnchor>
    <xdr:from>
      <xdr:col>3</xdr:col>
      <xdr:colOff>94129</xdr:colOff>
      <xdr:row>74</xdr:row>
      <xdr:rowOff>43482</xdr:rowOff>
    </xdr:from>
    <xdr:to>
      <xdr:col>3</xdr:col>
      <xdr:colOff>529275</xdr:colOff>
      <xdr:row>76</xdr:row>
      <xdr:rowOff>35861</xdr:rowOff>
    </xdr:to>
    <xdr:cxnSp macro="">
      <xdr:nvCxnSpPr>
        <xdr:cNvPr id="159" name="直線矢印コネクタ 158">
          <a:extLst>
            <a:ext uri="{FF2B5EF4-FFF2-40B4-BE49-F238E27FC236}">
              <a16:creationId xmlns:a16="http://schemas.microsoft.com/office/drawing/2014/main" id="{00000000-0008-0000-0800-00009F000000}"/>
            </a:ext>
          </a:extLst>
        </xdr:cNvPr>
        <xdr:cNvCxnSpPr>
          <a:stCxn id="158" idx="0"/>
          <a:endCxn id="160" idx="4"/>
        </xdr:cNvCxnSpPr>
      </xdr:nvCxnSpPr>
      <xdr:spPr>
        <a:xfrm flipV="1">
          <a:off x="2174389" y="19207782"/>
          <a:ext cx="435146" cy="4571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305515</xdr:colOff>
      <xdr:row>72</xdr:row>
      <xdr:rowOff>34516</xdr:rowOff>
    </xdr:from>
    <xdr:to>
      <xdr:col>4</xdr:col>
      <xdr:colOff>35859</xdr:colOff>
      <xdr:row>74</xdr:row>
      <xdr:rowOff>43482</xdr:rowOff>
    </xdr:to>
    <xdr:sp macro="" textlink="">
      <xdr:nvSpPr>
        <xdr:cNvPr id="160" name="楕円 159">
          <a:extLst>
            <a:ext uri="{FF2B5EF4-FFF2-40B4-BE49-F238E27FC236}">
              <a16:creationId xmlns:a16="http://schemas.microsoft.com/office/drawing/2014/main" id="{00000000-0008-0000-0800-0000A0000000}"/>
            </a:ext>
          </a:extLst>
        </xdr:cNvPr>
        <xdr:cNvSpPr/>
      </xdr:nvSpPr>
      <xdr:spPr>
        <a:xfrm>
          <a:off x="2385775" y="18741616"/>
          <a:ext cx="44662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268941</xdr:colOff>
      <xdr:row>72</xdr:row>
      <xdr:rowOff>116541</xdr:rowOff>
    </xdr:from>
    <xdr:to>
      <xdr:col>6</xdr:col>
      <xdr:colOff>35861</xdr:colOff>
      <xdr:row>74</xdr:row>
      <xdr:rowOff>125507</xdr:rowOff>
    </xdr:to>
    <xdr:sp macro="" textlink="">
      <xdr:nvSpPr>
        <xdr:cNvPr id="161" name="楕円 160">
          <a:extLst>
            <a:ext uri="{FF2B5EF4-FFF2-40B4-BE49-F238E27FC236}">
              <a16:creationId xmlns:a16="http://schemas.microsoft.com/office/drawing/2014/main" id="{00000000-0008-0000-0800-0000A1000000}"/>
            </a:ext>
          </a:extLst>
        </xdr:cNvPr>
        <xdr:cNvSpPr/>
      </xdr:nvSpPr>
      <xdr:spPr>
        <a:xfrm>
          <a:off x="3781761" y="18823641"/>
          <a:ext cx="483200"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94129</xdr:colOff>
      <xdr:row>74</xdr:row>
      <xdr:rowOff>55926</xdr:rowOff>
    </xdr:from>
    <xdr:to>
      <xdr:col>5</xdr:col>
      <xdr:colOff>339835</xdr:colOff>
      <xdr:row>76</xdr:row>
      <xdr:rowOff>35861</xdr:rowOff>
    </xdr:to>
    <xdr:cxnSp macro="">
      <xdr:nvCxnSpPr>
        <xdr:cNvPr id="162" name="直線矢印コネクタ 161">
          <a:extLst>
            <a:ext uri="{FF2B5EF4-FFF2-40B4-BE49-F238E27FC236}">
              <a16:creationId xmlns:a16="http://schemas.microsoft.com/office/drawing/2014/main" id="{00000000-0008-0000-0800-0000A2000000}"/>
            </a:ext>
          </a:extLst>
        </xdr:cNvPr>
        <xdr:cNvCxnSpPr>
          <a:stCxn id="158" idx="0"/>
          <a:endCxn id="161" idx="3"/>
        </xdr:cNvCxnSpPr>
      </xdr:nvCxnSpPr>
      <xdr:spPr>
        <a:xfrm flipV="1">
          <a:off x="2174389" y="19220226"/>
          <a:ext cx="1678266" cy="4447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637393</xdr:colOff>
      <xdr:row>101</xdr:row>
      <xdr:rowOff>216048</xdr:rowOff>
    </xdr:from>
    <xdr:to>
      <xdr:col>28</xdr:col>
      <xdr:colOff>510989</xdr:colOff>
      <xdr:row>103</xdr:row>
      <xdr:rowOff>44824</xdr:rowOff>
    </xdr:to>
    <xdr:sp macro="" textlink="">
      <xdr:nvSpPr>
        <xdr:cNvPr id="163" name="正方形/長方形 162">
          <a:extLst>
            <a:ext uri="{FF2B5EF4-FFF2-40B4-BE49-F238E27FC236}">
              <a16:creationId xmlns:a16="http://schemas.microsoft.com/office/drawing/2014/main" id="{00000000-0008-0000-0800-0000A3000000}"/>
            </a:ext>
          </a:extLst>
        </xdr:cNvPr>
        <xdr:cNvSpPr/>
      </xdr:nvSpPr>
      <xdr:spPr>
        <a:xfrm>
          <a:off x="19009213" y="25743048"/>
          <a:ext cx="1214716" cy="30121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564776</xdr:colOff>
      <xdr:row>103</xdr:row>
      <xdr:rowOff>224118</xdr:rowOff>
    </xdr:from>
    <xdr:to>
      <xdr:col>25</xdr:col>
      <xdr:colOff>571499</xdr:colOff>
      <xdr:row>106</xdr:row>
      <xdr:rowOff>35412</xdr:rowOff>
    </xdr:to>
    <xdr:sp macro="" textlink="">
      <xdr:nvSpPr>
        <xdr:cNvPr id="164" name="楕円 163">
          <a:extLst>
            <a:ext uri="{FF2B5EF4-FFF2-40B4-BE49-F238E27FC236}">
              <a16:creationId xmlns:a16="http://schemas.microsoft.com/office/drawing/2014/main" id="{00000000-0008-0000-0800-0000A4000000}"/>
            </a:ext>
          </a:extLst>
        </xdr:cNvPr>
        <xdr:cNvSpPr/>
      </xdr:nvSpPr>
      <xdr:spPr>
        <a:xfrm>
          <a:off x="17595476" y="26223558"/>
          <a:ext cx="677283" cy="519954"/>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672352</xdr:colOff>
      <xdr:row>95</xdr:row>
      <xdr:rowOff>170329</xdr:rowOff>
    </xdr:from>
    <xdr:to>
      <xdr:col>25</xdr:col>
      <xdr:colOff>618564</xdr:colOff>
      <xdr:row>99</xdr:row>
      <xdr:rowOff>125506</xdr:rowOff>
    </xdr:to>
    <xdr:sp macro="" textlink="">
      <xdr:nvSpPr>
        <xdr:cNvPr id="165" name="テキスト ボックス 164">
          <a:extLst>
            <a:ext uri="{FF2B5EF4-FFF2-40B4-BE49-F238E27FC236}">
              <a16:creationId xmlns:a16="http://schemas.microsoft.com/office/drawing/2014/main" id="{00000000-0008-0000-0800-0000A5000000}"/>
            </a:ext>
          </a:extLst>
        </xdr:cNvPr>
        <xdr:cNvSpPr txBox="1"/>
      </xdr:nvSpPr>
      <xdr:spPr>
        <a:xfrm>
          <a:off x="16361932" y="24280009"/>
          <a:ext cx="1957892" cy="900057"/>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●最大・冬季能力など、定格（標準）以外の能力では算定しないでください。</a:t>
          </a:r>
          <a:endParaRPr kumimoji="1" lang="en-US" altLang="ja-JP" sz="1100"/>
        </a:p>
      </xdr:txBody>
    </xdr:sp>
    <xdr:clientData/>
  </xdr:twoCellAnchor>
  <xdr:twoCellAnchor>
    <xdr:from>
      <xdr:col>26</xdr:col>
      <xdr:colOff>233082</xdr:colOff>
      <xdr:row>109</xdr:row>
      <xdr:rowOff>215153</xdr:rowOff>
    </xdr:from>
    <xdr:to>
      <xdr:col>29</xdr:col>
      <xdr:colOff>35858</xdr:colOff>
      <xdr:row>111</xdr:row>
      <xdr:rowOff>44823</xdr:rowOff>
    </xdr:to>
    <xdr:sp macro="" textlink="">
      <xdr:nvSpPr>
        <xdr:cNvPr id="166" name="正方形/長方形 165">
          <a:extLst>
            <a:ext uri="{FF2B5EF4-FFF2-40B4-BE49-F238E27FC236}">
              <a16:creationId xmlns:a16="http://schemas.microsoft.com/office/drawing/2014/main" id="{00000000-0008-0000-0800-0000A6000000}"/>
            </a:ext>
          </a:extLst>
        </xdr:cNvPr>
        <xdr:cNvSpPr/>
      </xdr:nvSpPr>
      <xdr:spPr>
        <a:xfrm>
          <a:off x="18604902" y="28211033"/>
          <a:ext cx="1814456" cy="28687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470647</xdr:colOff>
      <xdr:row>103</xdr:row>
      <xdr:rowOff>44824</xdr:rowOff>
    </xdr:from>
    <xdr:to>
      <xdr:col>27</xdr:col>
      <xdr:colOff>574191</xdr:colOff>
      <xdr:row>109</xdr:row>
      <xdr:rowOff>215153</xdr:rowOff>
    </xdr:to>
    <xdr:cxnSp macro="">
      <xdr:nvCxnSpPr>
        <xdr:cNvPr id="167" name="直線矢印コネクタ 166">
          <a:extLst>
            <a:ext uri="{FF2B5EF4-FFF2-40B4-BE49-F238E27FC236}">
              <a16:creationId xmlns:a16="http://schemas.microsoft.com/office/drawing/2014/main" id="{00000000-0008-0000-0800-0000A7000000}"/>
            </a:ext>
          </a:extLst>
        </xdr:cNvPr>
        <xdr:cNvCxnSpPr>
          <a:stCxn id="163" idx="2"/>
          <a:endCxn id="166" idx="0"/>
        </xdr:cNvCxnSpPr>
      </xdr:nvCxnSpPr>
      <xdr:spPr>
        <a:xfrm flipH="1">
          <a:off x="19513027" y="26044264"/>
          <a:ext cx="103544" cy="21667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309282</xdr:colOff>
      <xdr:row>99</xdr:row>
      <xdr:rowOff>125506</xdr:rowOff>
    </xdr:from>
    <xdr:to>
      <xdr:col>25</xdr:col>
      <xdr:colOff>107576</xdr:colOff>
      <xdr:row>104</xdr:row>
      <xdr:rowOff>44823</xdr:rowOff>
    </xdr:to>
    <xdr:cxnSp macro="">
      <xdr:nvCxnSpPr>
        <xdr:cNvPr id="168" name="直線矢印コネクタ 167">
          <a:extLst>
            <a:ext uri="{FF2B5EF4-FFF2-40B4-BE49-F238E27FC236}">
              <a16:creationId xmlns:a16="http://schemas.microsoft.com/office/drawing/2014/main" id="{00000000-0008-0000-0800-0000A8000000}"/>
            </a:ext>
          </a:extLst>
        </xdr:cNvPr>
        <xdr:cNvCxnSpPr>
          <a:stCxn id="165" idx="2"/>
        </xdr:cNvCxnSpPr>
      </xdr:nvCxnSpPr>
      <xdr:spPr>
        <a:xfrm>
          <a:off x="17339982" y="25180066"/>
          <a:ext cx="468854" cy="11004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98612</xdr:colOff>
      <xdr:row>101</xdr:row>
      <xdr:rowOff>134470</xdr:rowOff>
    </xdr:from>
    <xdr:to>
      <xdr:col>29</xdr:col>
      <xdr:colOff>394447</xdr:colOff>
      <xdr:row>103</xdr:row>
      <xdr:rowOff>161365</xdr:rowOff>
    </xdr:to>
    <xdr:sp macro="" textlink="">
      <xdr:nvSpPr>
        <xdr:cNvPr id="169" name="下矢印 168">
          <a:extLst>
            <a:ext uri="{FF2B5EF4-FFF2-40B4-BE49-F238E27FC236}">
              <a16:creationId xmlns:a16="http://schemas.microsoft.com/office/drawing/2014/main" id="{00000000-0008-0000-0800-0000A9000000}"/>
            </a:ext>
          </a:extLst>
        </xdr:cNvPr>
        <xdr:cNvSpPr/>
      </xdr:nvSpPr>
      <xdr:spPr>
        <a:xfrm rot="16200000">
          <a:off x="20380362" y="25763220"/>
          <a:ext cx="499335" cy="295835"/>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582706</xdr:colOff>
      <xdr:row>60</xdr:row>
      <xdr:rowOff>358588</xdr:rowOff>
    </xdr:from>
    <xdr:to>
      <xdr:col>5</xdr:col>
      <xdr:colOff>125506</xdr:colOff>
      <xdr:row>63</xdr:row>
      <xdr:rowOff>16587</xdr:rowOff>
    </xdr:to>
    <xdr:sp macro="" textlink="">
      <xdr:nvSpPr>
        <xdr:cNvPr id="170" name="楕円 169">
          <a:extLst>
            <a:ext uri="{FF2B5EF4-FFF2-40B4-BE49-F238E27FC236}">
              <a16:creationId xmlns:a16="http://schemas.microsoft.com/office/drawing/2014/main" id="{00000000-0008-0000-0800-0000AA000000}"/>
            </a:ext>
          </a:extLst>
        </xdr:cNvPr>
        <xdr:cNvSpPr/>
      </xdr:nvSpPr>
      <xdr:spPr>
        <a:xfrm>
          <a:off x="1946686" y="15667168"/>
          <a:ext cx="1691640" cy="4961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528917</xdr:colOff>
      <xdr:row>59</xdr:row>
      <xdr:rowOff>322730</xdr:rowOff>
    </xdr:from>
    <xdr:to>
      <xdr:col>16</xdr:col>
      <xdr:colOff>528918</xdr:colOff>
      <xdr:row>60</xdr:row>
      <xdr:rowOff>349625</xdr:rowOff>
    </xdr:to>
    <xdr:sp macro="" textlink="">
      <xdr:nvSpPr>
        <xdr:cNvPr id="171" name="テキスト ボックス 170">
          <a:extLst>
            <a:ext uri="{FF2B5EF4-FFF2-40B4-BE49-F238E27FC236}">
              <a16:creationId xmlns:a16="http://schemas.microsoft.com/office/drawing/2014/main" id="{00000000-0008-0000-0800-0000AB000000}"/>
            </a:ext>
          </a:extLst>
        </xdr:cNvPr>
        <xdr:cNvSpPr txBox="1"/>
      </xdr:nvSpPr>
      <xdr:spPr>
        <a:xfrm>
          <a:off x="4041737" y="15265550"/>
          <a:ext cx="7879081" cy="39265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●燃料の種類（都市ガス </a:t>
          </a:r>
          <a:r>
            <a:rPr kumimoji="1" lang="en-US" altLang="ja-JP" sz="1100"/>
            <a:t>or </a:t>
          </a:r>
          <a:r>
            <a:rPr kumimoji="1" lang="ja-JP" altLang="en-US" sz="1100"/>
            <a:t>液化石油ガス（</a:t>
          </a:r>
          <a:r>
            <a:rPr kumimoji="1" lang="en-US" altLang="ja-JP" sz="1100"/>
            <a:t>LPG</a:t>
          </a:r>
          <a:r>
            <a:rPr kumimoji="1" lang="ja-JP" altLang="en-US" sz="1100"/>
            <a:t>））、ガスの詳細な種類（</a:t>
          </a:r>
          <a:r>
            <a:rPr kumimoji="1" lang="en-US" altLang="ja-JP" sz="1100"/>
            <a:t>13</a:t>
          </a:r>
          <a:r>
            <a:rPr kumimoji="1" lang="en-US" altLang="ja-JP" sz="1100">
              <a:solidFill>
                <a:srgbClr val="FF0000"/>
              </a:solidFill>
            </a:rPr>
            <a:t>A</a:t>
          </a:r>
          <a:r>
            <a:rPr kumimoji="1" lang="en-US" altLang="ja-JP" sz="1100"/>
            <a:t> or 12</a:t>
          </a:r>
          <a:r>
            <a:rPr kumimoji="1" lang="en-US" altLang="ja-JP" sz="1100">
              <a:solidFill>
                <a:srgbClr val="FF0000"/>
              </a:solidFill>
            </a:rPr>
            <a:t>A</a:t>
          </a:r>
          <a:r>
            <a:rPr kumimoji="1" lang="ja-JP" altLang="en-US" sz="1100"/>
            <a:t>、</a:t>
          </a:r>
          <a:r>
            <a:rPr kumimoji="1" lang="en-US" altLang="ja-JP" sz="1100"/>
            <a:t>LP</a:t>
          </a:r>
          <a:r>
            <a:rPr kumimoji="1" lang="ja-JP" altLang="en-US" sz="1100"/>
            <a:t>）を選択してください</a:t>
          </a:r>
          <a:endParaRPr kumimoji="1" lang="en-US" altLang="ja-JP" sz="1100"/>
        </a:p>
      </xdr:txBody>
    </xdr:sp>
    <xdr:clientData/>
  </xdr:twoCellAnchor>
  <xdr:twoCellAnchor>
    <xdr:from>
      <xdr:col>4</xdr:col>
      <xdr:colOff>594554</xdr:colOff>
      <xdr:row>60</xdr:row>
      <xdr:rowOff>152401</xdr:rowOff>
    </xdr:from>
    <xdr:to>
      <xdr:col>5</xdr:col>
      <xdr:colOff>528917</xdr:colOff>
      <xdr:row>61</xdr:row>
      <xdr:rowOff>64358</xdr:rowOff>
    </xdr:to>
    <xdr:cxnSp macro="">
      <xdr:nvCxnSpPr>
        <xdr:cNvPr id="172" name="直線矢印コネクタ 171">
          <a:extLst>
            <a:ext uri="{FF2B5EF4-FFF2-40B4-BE49-F238E27FC236}">
              <a16:creationId xmlns:a16="http://schemas.microsoft.com/office/drawing/2014/main" id="{00000000-0008-0000-0800-0000AC000000}"/>
            </a:ext>
          </a:extLst>
        </xdr:cNvPr>
        <xdr:cNvCxnSpPr>
          <a:stCxn id="171" idx="1"/>
          <a:endCxn id="170" idx="7"/>
        </xdr:cNvCxnSpPr>
      </xdr:nvCxnSpPr>
      <xdr:spPr>
        <a:xfrm flipH="1">
          <a:off x="3391094" y="15460981"/>
          <a:ext cx="650643" cy="2777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134470</xdr:colOff>
      <xdr:row>169</xdr:row>
      <xdr:rowOff>188259</xdr:rowOff>
    </xdr:from>
    <xdr:to>
      <xdr:col>8</xdr:col>
      <xdr:colOff>80729</xdr:colOff>
      <xdr:row>169</xdr:row>
      <xdr:rowOff>510989</xdr:rowOff>
    </xdr:to>
    <xdr:sp macro="" textlink="">
      <xdr:nvSpPr>
        <xdr:cNvPr id="173" name="楕円 172">
          <a:extLst>
            <a:ext uri="{FF2B5EF4-FFF2-40B4-BE49-F238E27FC236}">
              <a16:creationId xmlns:a16="http://schemas.microsoft.com/office/drawing/2014/main" id="{00000000-0008-0000-0800-0000AD000000}"/>
            </a:ext>
          </a:extLst>
        </xdr:cNvPr>
        <xdr:cNvSpPr/>
      </xdr:nvSpPr>
      <xdr:spPr>
        <a:xfrm>
          <a:off x="5079850" y="45329139"/>
          <a:ext cx="662539"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354106</xdr:colOff>
      <xdr:row>169</xdr:row>
      <xdr:rowOff>463726</xdr:rowOff>
    </xdr:from>
    <xdr:to>
      <xdr:col>7</xdr:col>
      <xdr:colOff>231628</xdr:colOff>
      <xdr:row>172</xdr:row>
      <xdr:rowOff>143436</xdr:rowOff>
    </xdr:to>
    <xdr:cxnSp macro="">
      <xdr:nvCxnSpPr>
        <xdr:cNvPr id="174" name="直線矢印コネクタ 173">
          <a:extLst>
            <a:ext uri="{FF2B5EF4-FFF2-40B4-BE49-F238E27FC236}">
              <a16:creationId xmlns:a16="http://schemas.microsoft.com/office/drawing/2014/main" id="{00000000-0008-0000-0800-0000AE000000}"/>
            </a:ext>
          </a:extLst>
        </xdr:cNvPr>
        <xdr:cNvCxnSpPr>
          <a:stCxn id="175" idx="0"/>
          <a:endCxn id="173" idx="3"/>
        </xdr:cNvCxnSpPr>
      </xdr:nvCxnSpPr>
      <xdr:spPr>
        <a:xfrm flipV="1">
          <a:off x="3150646" y="45604606"/>
          <a:ext cx="2026362" cy="8227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53788</xdr:colOff>
      <xdr:row>172</xdr:row>
      <xdr:rowOff>143436</xdr:rowOff>
    </xdr:from>
    <xdr:to>
      <xdr:col>7</xdr:col>
      <xdr:colOff>627529</xdr:colOff>
      <xdr:row>176</xdr:row>
      <xdr:rowOff>197224</xdr:rowOff>
    </xdr:to>
    <xdr:sp macro="" textlink="">
      <xdr:nvSpPr>
        <xdr:cNvPr id="175" name="テキスト ボックス 174">
          <a:extLst>
            <a:ext uri="{FF2B5EF4-FFF2-40B4-BE49-F238E27FC236}">
              <a16:creationId xmlns:a16="http://schemas.microsoft.com/office/drawing/2014/main" id="{00000000-0008-0000-0800-0000AF000000}"/>
            </a:ext>
          </a:extLst>
        </xdr:cNvPr>
        <xdr:cNvSpPr txBox="1"/>
      </xdr:nvSpPr>
      <xdr:spPr>
        <a:xfrm>
          <a:off x="724348" y="46427316"/>
          <a:ext cx="4848561" cy="968188"/>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●負荷率は、容量</a:t>
          </a:r>
          <a:r>
            <a:rPr lang="en-US" altLang="ja-JP" sz="1100" b="0" i="0">
              <a:solidFill>
                <a:schemeClr val="dk1"/>
              </a:solidFill>
              <a:effectLst/>
              <a:latin typeface="+mn-lt"/>
              <a:ea typeface="+mn-ea"/>
              <a:cs typeface="+mn-cs"/>
            </a:rPr>
            <a:t>500kVA</a:t>
          </a:r>
          <a:r>
            <a:rPr lang="ja-JP" altLang="ja-JP" sz="1100" b="0" i="0">
              <a:solidFill>
                <a:schemeClr val="dk1"/>
              </a:solidFill>
              <a:effectLst/>
              <a:latin typeface="+mn-lt"/>
              <a:ea typeface="+mn-ea"/>
              <a:cs typeface="+mn-cs"/>
            </a:rPr>
            <a:t>以下は</a:t>
          </a:r>
          <a:r>
            <a:rPr lang="en-US" altLang="ja-JP" sz="1100" b="0" i="0">
              <a:solidFill>
                <a:schemeClr val="dk1"/>
              </a:solidFill>
              <a:effectLst/>
              <a:latin typeface="+mn-lt"/>
              <a:ea typeface="+mn-ea"/>
              <a:cs typeface="+mn-cs"/>
            </a:rPr>
            <a:t>40%</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500kVA</a:t>
          </a:r>
          <a:r>
            <a:rPr lang="ja-JP" altLang="ja-JP" sz="1100" b="0" i="0">
              <a:solidFill>
                <a:schemeClr val="dk1"/>
              </a:solidFill>
              <a:effectLst/>
              <a:latin typeface="+mn-lt"/>
              <a:ea typeface="+mn-ea"/>
              <a:cs typeface="+mn-cs"/>
            </a:rPr>
            <a:t>超は</a:t>
          </a:r>
          <a:r>
            <a:rPr lang="en-US" altLang="ja-JP" sz="1100" b="0" i="0">
              <a:solidFill>
                <a:schemeClr val="dk1"/>
              </a:solidFill>
              <a:effectLst/>
              <a:latin typeface="+mn-lt"/>
              <a:ea typeface="+mn-ea"/>
              <a:cs typeface="+mn-cs"/>
            </a:rPr>
            <a:t>50%</a:t>
          </a:r>
          <a:r>
            <a:rPr lang="ja-JP" altLang="en-US" sz="1100" b="0" i="0">
              <a:solidFill>
                <a:schemeClr val="dk1"/>
              </a:solidFill>
              <a:effectLst/>
              <a:latin typeface="+mn-lt"/>
              <a:ea typeface="+mn-ea"/>
              <a:cs typeface="+mn-cs"/>
            </a:rPr>
            <a:t>を基準値とします。</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負荷率</a:t>
          </a:r>
          <a:r>
            <a:rPr kumimoji="1" lang="ja-JP" altLang="ja-JP" sz="1100">
              <a:solidFill>
                <a:schemeClr val="dk1"/>
              </a:solidFill>
              <a:effectLst/>
              <a:latin typeface="+mn-lt"/>
              <a:ea typeface="+mn-ea"/>
              <a:cs typeface="+mn-cs"/>
            </a:rPr>
            <a:t>を把握しており、そちらの値を用いたい場合は事務局へご相談ください。</a:t>
          </a:r>
          <a:endParaRPr lang="ja-JP" altLang="ja-JP">
            <a:effectLst/>
          </a:endParaRPr>
        </a:p>
        <a:p>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11</xdr:col>
      <xdr:colOff>674914</xdr:colOff>
      <xdr:row>10</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3771" y="2231571"/>
          <a:ext cx="6934200" cy="4572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ndParaRPr>
        </a:p>
      </xdr:txBody>
    </xdr:sp>
    <xdr:clientData/>
  </xdr:twoCellAnchor>
  <xdr:twoCellAnchor>
    <xdr:from>
      <xdr:col>11</xdr:col>
      <xdr:colOff>772885</xdr:colOff>
      <xdr:row>7</xdr:row>
      <xdr:rowOff>0</xdr:rowOff>
    </xdr:from>
    <xdr:to>
      <xdr:col>15</xdr:col>
      <xdr:colOff>130628</xdr:colOff>
      <xdr:row>8</xdr:row>
      <xdr:rowOff>32658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815942" y="2002971"/>
          <a:ext cx="2928257" cy="26125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数量（</a:t>
          </a:r>
          <a:r>
            <a:rPr lang="en-US" altLang="ja-JP" sz="1100" b="0" i="0" u="none" strike="noStrike">
              <a:solidFill>
                <a:sysClr val="windowText" lastClr="000000"/>
              </a:solidFill>
              <a:effectLst/>
              <a:latin typeface="+mn-lt"/>
              <a:ea typeface="+mn-ea"/>
              <a:cs typeface="+mn-cs"/>
            </a:rPr>
            <a:t>n</a:t>
          </a:r>
          <a:r>
            <a:rPr lang="ja-JP" altLang="en-US" sz="1100" b="0" i="0" u="none" strike="noStrike">
              <a:solidFill>
                <a:sysClr val="windowText" lastClr="000000"/>
              </a:solidFill>
              <a:effectLst/>
              <a:latin typeface="+mn-lt"/>
              <a:ea typeface="+mn-ea"/>
              <a:cs typeface="+mn-cs"/>
            </a:rPr>
            <a:t>）の増加は原則認められません。</a:t>
          </a:r>
          <a:endParaRPr lang="en-US" altLang="ja-JP">
            <a:solidFill>
              <a:sysClr val="windowText" lastClr="000000"/>
            </a:solidFill>
          </a:endParaRPr>
        </a:p>
      </xdr:txBody>
    </xdr:sp>
    <xdr:clientData/>
  </xdr:twoCellAnchor>
  <xdr:twoCellAnchor>
    <xdr:from>
      <xdr:col>16</xdr:col>
      <xdr:colOff>291993</xdr:colOff>
      <xdr:row>9</xdr:row>
      <xdr:rowOff>0</xdr:rowOff>
    </xdr:from>
    <xdr:to>
      <xdr:col>24</xdr:col>
      <xdr:colOff>0</xdr:colOff>
      <xdr:row>12</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2159559" y="2511631"/>
          <a:ext cx="5342690" cy="706582"/>
          <a:chOff x="18723427" y="2294326"/>
          <a:chExt cx="5235389" cy="706951"/>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723429" y="2294326"/>
            <a:ext cx="2788022" cy="23564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年間点灯時間</a:t>
            </a:r>
            <a:r>
              <a:rPr lang="en-US" altLang="ja-JP" sz="1100" b="0" i="0" u="none" strike="noStrike">
                <a:solidFill>
                  <a:sysClr val="windowText" lastClr="000000"/>
                </a:solidFill>
                <a:effectLst/>
                <a:latin typeface="+mn-ea"/>
                <a:ea typeface="+mn-ea"/>
                <a:cs typeface="+mn-cs"/>
              </a:rPr>
              <a:t>(b=t×d×r1)</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1511451" y="2294326"/>
            <a:ext cx="2447365" cy="2356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年間点灯時間</a:t>
            </a:r>
            <a:r>
              <a:rPr lang="en-US" altLang="ja-JP" sz="1100" b="0" i="0" u="none" strike="noStrike">
                <a:solidFill>
                  <a:sysClr val="windowText" lastClr="000000"/>
                </a:solidFill>
                <a:effectLst/>
                <a:latin typeface="+mn-ea"/>
                <a:ea typeface="+mn-ea"/>
                <a:cs typeface="+mn-cs"/>
              </a:rPr>
              <a:t>(b'=t'×d'×r2)</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8723429" y="2529976"/>
            <a:ext cx="2788022" cy="23564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(E=a×n×b/1000)</a:t>
            </a:r>
            <a:endParaRPr lang="en-US" altLang="ja-JP">
              <a:solidFill>
                <a:sysClr val="windowText" lastClr="000000"/>
              </a:solidFill>
              <a:latin typeface="+mn-ea"/>
              <a:ea typeface="+mn-ea"/>
            </a:endParaRP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511451" y="2529976"/>
            <a:ext cx="2447365" cy="2356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(E'=a'×n'×b'/1000)</a:t>
            </a:r>
            <a:endParaRPr lang="en-US" altLang="ja-JP">
              <a:solidFill>
                <a:sysClr val="windowText" lastClr="000000"/>
              </a:solidFill>
              <a:latin typeface="+mn-ea"/>
              <a:ea typeface="+mn-ea"/>
            </a:endParaRP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723427" y="2765626"/>
            <a:ext cx="2788023" cy="2356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1511451" y="2765625"/>
            <a:ext cx="2447365" cy="2356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grpSp>
    <xdr:clientData/>
  </xdr:twoCellAnchor>
  <xdr:twoCellAnchor>
    <xdr:from>
      <xdr:col>12</xdr:col>
      <xdr:colOff>1</xdr:colOff>
      <xdr:row>9</xdr:row>
      <xdr:rowOff>0</xdr:rowOff>
    </xdr:from>
    <xdr:to>
      <xdr:col>15</xdr:col>
      <xdr:colOff>17931</xdr:colOff>
      <xdr:row>12</xdr:row>
      <xdr:rowOff>0</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8237518" y="2511631"/>
          <a:ext cx="2856132" cy="706582"/>
          <a:chOff x="7808260" y="2447365"/>
          <a:chExt cx="2805953" cy="699247"/>
        </a:xfrm>
      </xdr:grpSpPr>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7808260" y="2447365"/>
            <a:ext cx="2805953" cy="699247"/>
            <a:chOff x="17123227" y="2906486"/>
            <a:chExt cx="2816043" cy="685800"/>
          </a:xfrm>
        </xdr:grpSpPr>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8</xdr:row>
      <xdr:rowOff>1</xdr:rowOff>
    </xdr:from>
    <xdr:to>
      <xdr:col>17</xdr:col>
      <xdr:colOff>497774</xdr:colOff>
      <xdr:row>9</xdr:row>
      <xdr:rowOff>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42220" y="2057401"/>
          <a:ext cx="3073334"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a:t>
          </a:r>
          <a:r>
            <a:rPr lang="ja-JP" altLang="en-US" sz="1100" b="0" i="0" u="none" strike="noStrike">
              <a:solidFill>
                <a:sysClr val="windowText" lastClr="000000"/>
              </a:solidFill>
              <a:effectLst/>
              <a:latin typeface="+mn-ea"/>
              <a:ea typeface="+mn-ea"/>
              <a:cs typeface="+mn-cs"/>
            </a:rPr>
            <a:t>定格能力の増加は原則認められません</a:t>
          </a:r>
          <a:endParaRPr lang="en-US" altLang="ja-JP">
            <a:solidFill>
              <a:sysClr val="windowText" lastClr="000000"/>
            </a:solidFill>
            <a:latin typeface="+mn-ea"/>
            <a:ea typeface="+mn-ea"/>
          </a:endParaRPr>
        </a:p>
      </xdr:txBody>
    </xdr:sp>
    <xdr:clientData/>
  </xdr:twoCellAnchor>
  <xdr:twoCellAnchor>
    <xdr:from>
      <xdr:col>19</xdr:col>
      <xdr:colOff>401781</xdr:colOff>
      <xdr:row>11</xdr:row>
      <xdr:rowOff>0</xdr:rowOff>
    </xdr:from>
    <xdr:to>
      <xdr:col>28</xdr:col>
      <xdr:colOff>0</xdr:colOff>
      <xdr:row>13</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6782337" y="2826589"/>
          <a:ext cx="7276735" cy="471577"/>
          <a:chOff x="11843657" y="2754086"/>
          <a:chExt cx="6868886" cy="457200"/>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843657" y="2754086"/>
            <a:ext cx="34290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(E=a1pnd1R1+a2pnd2R2)</a:t>
            </a:r>
            <a:endParaRPr lang="en-US" altLang="ja-JP">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5272657" y="2754087"/>
            <a:ext cx="3439886" cy="22859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(E'=a'1p'n'd'1R1+a'2p'n'd'2R2)</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843657" y="2982686"/>
            <a:ext cx="34290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(C1=E1×0.000456)</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5272657" y="2982686"/>
            <a:ext cx="343988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(C'2=E'2×0.000456)</a:t>
            </a:r>
            <a:endParaRPr lang="en-US" altLang="ja-JP">
              <a:solidFill>
                <a:sysClr val="windowText" lastClr="000000"/>
              </a:solidFill>
              <a:latin typeface="+mn-ea"/>
              <a:ea typeface="+mn-ea"/>
            </a:endParaRPr>
          </a:p>
        </xdr:txBody>
      </xdr:sp>
    </xdr:grpSp>
    <xdr:clientData/>
  </xdr:twoCellAnchor>
  <xdr:twoCellAnchor>
    <xdr:from>
      <xdr:col>14</xdr:col>
      <xdr:colOff>0</xdr:colOff>
      <xdr:row>9</xdr:row>
      <xdr:rowOff>215153</xdr:rowOff>
    </xdr:from>
    <xdr:to>
      <xdr:col>17</xdr:col>
      <xdr:colOff>236924</xdr:colOff>
      <xdr:row>13</xdr:row>
      <xdr:rowOff>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2016596" y="2576260"/>
          <a:ext cx="2855300" cy="721906"/>
          <a:chOff x="7808260" y="2447365"/>
          <a:chExt cx="2805953" cy="699247"/>
        </a:xfrm>
      </xdr:grpSpPr>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808260" y="2447365"/>
            <a:ext cx="2805953" cy="699247"/>
            <a:chOff x="17123227" y="2906486"/>
            <a:chExt cx="2816043" cy="685800"/>
          </a:xfrm>
        </xdr:grpSpPr>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4</xdr:col>
      <xdr:colOff>0</xdr:colOff>
      <xdr:row>9</xdr:row>
      <xdr:rowOff>0</xdr:rowOff>
    </xdr:from>
    <xdr:to>
      <xdr:col>12</xdr:col>
      <xdr:colOff>444500</xdr:colOff>
      <xdr:row>11</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249083" y="2328333"/>
          <a:ext cx="7302500" cy="46566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8</xdr:row>
      <xdr:rowOff>0</xdr:rowOff>
    </xdr:from>
    <xdr:to>
      <xdr:col>17</xdr:col>
      <xdr:colOff>850899</xdr:colOff>
      <xdr:row>9</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157460" y="2087880"/>
          <a:ext cx="3426459"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定格能力の増加は原則認められません</a:t>
          </a:r>
          <a:endParaRPr lang="en-US" altLang="ja-JP">
            <a:solidFill>
              <a:sysClr val="windowText" lastClr="000000"/>
            </a:solidFill>
          </a:endParaRPr>
        </a:p>
      </xdr:txBody>
    </xdr:sp>
    <xdr:clientData/>
  </xdr:twoCellAnchor>
  <xdr:twoCellAnchor>
    <xdr:from>
      <xdr:col>24</xdr:col>
      <xdr:colOff>0</xdr:colOff>
      <xdr:row>13</xdr:row>
      <xdr:rowOff>21771</xdr:rowOff>
    </xdr:from>
    <xdr:to>
      <xdr:col>35</xdr:col>
      <xdr:colOff>3629</xdr:colOff>
      <xdr:row>16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0747665" y="3332041"/>
          <a:ext cx="9126364" cy="715419"/>
          <a:chOff x="18723428" y="2307773"/>
          <a:chExt cx="8643258" cy="685800"/>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8723429" y="23077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(E=p×n×{a1×d1×R1+a2×d2×R2})</a:t>
            </a:r>
            <a:endParaRPr lang="en-US" altLang="ja-JP">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023286" y="2307774"/>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(E'=n'×{a'1×d'1×R1+a'2×d'2×R2})</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8723428" y="25363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年間消費ガス量</a:t>
            </a:r>
            <a:r>
              <a:rPr lang="en-US" altLang="ja-JP" sz="1100" b="0" i="0" u="none" strike="noStrike">
                <a:solidFill>
                  <a:sysClr val="windowText" lastClr="000000"/>
                </a:solidFill>
                <a:effectLst/>
                <a:latin typeface="+mn-ea"/>
                <a:ea typeface="+mn-ea"/>
                <a:cs typeface="+mn-cs"/>
              </a:rPr>
              <a:t>(F=p×n×{b1×d1×R1+b2×d2×R2}×860÷K)</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3023286" y="2536373"/>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年間消費ガス量</a:t>
            </a:r>
            <a:r>
              <a:rPr lang="en-US" altLang="ja-JP" sz="1100" b="0" i="0" u="none" strike="noStrike">
                <a:solidFill>
                  <a:sysClr val="windowText" lastClr="000000"/>
                </a:solidFill>
                <a:effectLst/>
                <a:latin typeface="+mn-ea"/>
                <a:ea typeface="+mn-ea"/>
                <a:cs typeface="+mn-cs"/>
              </a:rPr>
              <a:t>(F'=n'×{b'1×d'1×R1+b'2×d'2×R2}×860÷K)</a:t>
            </a:r>
            <a:endParaRPr lang="en-US" altLang="ja-JP">
              <a:solidFill>
                <a:sysClr val="windowText" lastClr="000000"/>
              </a:solidFill>
              <a:latin typeface="+mn-ea"/>
              <a:ea typeface="+mn-ea"/>
            </a:endParaRPr>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8723428" y="27649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(C1=E1×0.000456+F×</a:t>
            </a:r>
            <a:r>
              <a:rPr lang="ja-JP" altLang="en-US" sz="1100" b="0" i="0" u="none" strike="noStrike">
                <a:solidFill>
                  <a:sysClr val="windowText" lastClr="000000"/>
                </a:solidFill>
                <a:effectLst/>
                <a:latin typeface="+mn-ea"/>
                <a:ea typeface="+mn-ea"/>
                <a:cs typeface="+mn-cs"/>
              </a:rPr>
              <a:t>燃料の排出係数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3023286" y="2764973"/>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(C'2=E'2×0.000456+F'</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燃料の排出係数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grpSp>
    <xdr:clientData/>
  </xdr:twoCellAnchor>
  <xdr:twoCellAnchor>
    <xdr:from>
      <xdr:col>12</xdr:col>
      <xdr:colOff>0</xdr:colOff>
      <xdr:row>13</xdr:row>
      <xdr:rowOff>11953</xdr:rowOff>
    </xdr:from>
    <xdr:to>
      <xdr:col>17</xdr:col>
      <xdr:colOff>215153</xdr:colOff>
      <xdr:row>16</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10295860" y="3322223"/>
          <a:ext cx="4579074" cy="725237"/>
          <a:chOff x="7808260" y="2447365"/>
          <a:chExt cx="2805953" cy="699247"/>
        </a:xfrm>
      </xdr:grpSpPr>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7808260" y="2447365"/>
            <a:ext cx="2805953" cy="699247"/>
            <a:chOff x="17123227" y="2906486"/>
            <a:chExt cx="2816043" cy="685800"/>
          </a:xfrm>
        </xdr:grpSpPr>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3</xdr:col>
      <xdr:colOff>152400</xdr:colOff>
      <xdr:row>11</xdr:row>
      <xdr:rowOff>12700</xdr:rowOff>
    </xdr:from>
    <xdr:to>
      <xdr:col>11</xdr:col>
      <xdr:colOff>11953</xdr:colOff>
      <xdr:row>12</xdr:row>
      <xdr:rowOff>189190</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2560320" y="2786380"/>
          <a:ext cx="6748033"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9</xdr:row>
      <xdr:rowOff>0</xdr:rowOff>
    </xdr:from>
    <xdr:to>
      <xdr:col>16</xdr:col>
      <xdr:colOff>0</xdr:colOff>
      <xdr:row>10</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442960" y="2194560"/>
          <a:ext cx="28956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定格能力の増加は原則認められません</a:t>
          </a:r>
          <a:endParaRPr lang="en-US" altLang="ja-JP">
            <a:solidFill>
              <a:sysClr val="windowText" lastClr="000000"/>
            </a:solidFill>
          </a:endParaRPr>
        </a:p>
      </xdr:txBody>
    </xdr:sp>
    <xdr:clientData/>
  </xdr:twoCellAnchor>
  <xdr:twoCellAnchor>
    <xdr:from>
      <xdr:col>28</xdr:col>
      <xdr:colOff>725713</xdr:colOff>
      <xdr:row>11</xdr:row>
      <xdr:rowOff>0</xdr:rowOff>
    </xdr:from>
    <xdr:to>
      <xdr:col>36</xdr:col>
      <xdr:colOff>671285</xdr:colOff>
      <xdr:row>14</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1416553" y="2705100"/>
          <a:ext cx="6062061" cy="698500"/>
          <a:chOff x="12839437" y="2465787"/>
          <a:chExt cx="5880632" cy="711612"/>
        </a:xfrm>
      </xdr:grpSpPr>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839437" y="2465787"/>
            <a:ext cx="3070102" cy="23720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加熱式設備：年間燃料消費量</a:t>
            </a:r>
            <a:r>
              <a:rPr lang="en-US" altLang="ja-JP" sz="1100" b="0" i="0" u="none" strike="noStrike">
                <a:solidFill>
                  <a:sysClr val="windowText" lastClr="000000"/>
                </a:solidFill>
                <a:effectLst/>
                <a:latin typeface="+mn-ea"/>
                <a:ea typeface="+mn-ea"/>
                <a:cs typeface="+mn-cs"/>
              </a:rPr>
              <a:t>(F=A×n×b</a:t>
            </a:r>
            <a:r>
              <a:rPr lang="en-US" altLang="ja-JP" sz="1100" b="0" i="0">
                <a:solidFill>
                  <a:schemeClr val="dk1"/>
                </a:solidFill>
                <a:effectLst/>
                <a:latin typeface="+mn-lt"/>
                <a:ea typeface="+mn-ea"/>
                <a:cs typeface="+mn-cs"/>
              </a:rPr>
              <a:t>×p</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5909538" y="2465787"/>
            <a:ext cx="2810531" cy="2372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年間燃料消費量</a:t>
            </a:r>
            <a:r>
              <a:rPr lang="en-US" altLang="ja-JP" sz="1100" b="0" i="0" u="none" strike="noStrike">
                <a:solidFill>
                  <a:sysClr val="windowText" lastClr="000000"/>
                </a:solidFill>
                <a:effectLst/>
                <a:latin typeface="+mn-ea"/>
                <a:ea typeface="+mn-ea"/>
                <a:cs typeface="+mn-cs"/>
              </a:rPr>
              <a:t>(F'=A'×n'×b')</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839437" y="2940195"/>
            <a:ext cx="3070102" cy="2372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(C=F×</a:t>
            </a:r>
            <a:r>
              <a:rPr lang="ja-JP" altLang="en-US" sz="1100" b="0" i="0" u="none" strike="noStrike">
                <a:solidFill>
                  <a:sysClr val="windowText" lastClr="000000"/>
                </a:solidFill>
                <a:effectLst/>
                <a:latin typeface="+mn-ea"/>
                <a:ea typeface="+mn-ea"/>
                <a:cs typeface="+mn-cs"/>
              </a:rPr>
              <a:t>燃料毎の排出係数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5909538" y="2940195"/>
            <a:ext cx="2810531" cy="23720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(C'=F'×</a:t>
            </a:r>
            <a:r>
              <a:rPr lang="ja-JP" altLang="en-US" sz="1100" b="0" i="0" u="none" strike="noStrike">
                <a:solidFill>
                  <a:sysClr val="windowText" lastClr="000000"/>
                </a:solidFill>
                <a:effectLst/>
                <a:latin typeface="+mn-ea"/>
                <a:ea typeface="+mn-ea"/>
                <a:cs typeface="+mn-cs"/>
              </a:rPr>
              <a:t>燃料毎の排出係数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grpSp>
    <xdr:clientData/>
  </xdr:twoCellAnchor>
  <xdr:twoCellAnchor>
    <xdr:from>
      <xdr:col>12</xdr:col>
      <xdr:colOff>0</xdr:colOff>
      <xdr:row>10</xdr:row>
      <xdr:rowOff>215153</xdr:rowOff>
    </xdr:from>
    <xdr:to>
      <xdr:col>15</xdr:col>
      <xdr:colOff>617925</xdr:colOff>
      <xdr:row>14</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8631767" y="2693516"/>
          <a:ext cx="2852617" cy="710084"/>
          <a:chOff x="7808260" y="2447365"/>
          <a:chExt cx="2805953" cy="699247"/>
        </a:xfrm>
      </xdr:grpSpPr>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7808260" y="2447365"/>
            <a:ext cx="2805953" cy="699247"/>
            <a:chOff x="17123227" y="2906486"/>
            <a:chExt cx="2816043" cy="685800"/>
          </a:xfrm>
        </xdr:grpSpPr>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1</xdr:col>
      <xdr:colOff>381000</xdr:colOff>
      <xdr:row>7</xdr:row>
      <xdr:rowOff>108857</xdr:rowOff>
    </xdr:from>
    <xdr:to>
      <xdr:col>11</xdr:col>
      <xdr:colOff>62753</xdr:colOff>
      <xdr:row>9</xdr:row>
      <xdr:rowOff>56747</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937260" y="1846217"/>
          <a:ext cx="6844553"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twoCellAnchor>
    <xdr:from>
      <xdr:col>29</xdr:col>
      <xdr:colOff>0</xdr:colOff>
      <xdr:row>12</xdr:row>
      <xdr:rowOff>0</xdr:rowOff>
    </xdr:from>
    <xdr:to>
      <xdr:col>33</xdr:col>
      <xdr:colOff>0</xdr:colOff>
      <xdr:row>13</xdr:row>
      <xdr:rowOff>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20982214" y="2866571"/>
          <a:ext cx="3111500" cy="22678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HP</a:t>
          </a:r>
          <a:r>
            <a:rPr lang="ja-JP" altLang="en-US" sz="1100" b="0" i="0" u="none" strike="noStrike">
              <a:solidFill>
                <a:sysClr val="windowText" lastClr="000000"/>
              </a:solidFill>
              <a:effectLst/>
              <a:latin typeface="+mn-ea"/>
              <a:ea typeface="+mn-ea"/>
              <a:cs typeface="+mn-cs"/>
            </a:rPr>
            <a:t>設備：年間燃料消費量</a:t>
          </a:r>
          <a:r>
            <a:rPr lang="en-US" altLang="ja-JP" sz="1100" b="0" i="0" u="none" strike="noStrike">
              <a:solidFill>
                <a:sysClr val="windowText" lastClr="000000"/>
              </a:solidFill>
              <a:effectLst/>
              <a:latin typeface="+mn-ea"/>
              <a:ea typeface="+mn-ea"/>
              <a:cs typeface="+mn-cs"/>
            </a:rPr>
            <a:t>(F=A×n×b</a:t>
          </a:r>
          <a:r>
            <a:rPr lang="en-US" altLang="ja-JP" sz="1100" b="0" i="0">
              <a:solidFill>
                <a:schemeClr val="dk1"/>
              </a:solidFill>
              <a:effectLst/>
              <a:latin typeface="+mn-lt"/>
              <a:ea typeface="+mn-ea"/>
              <a:cs typeface="+mn-cs"/>
            </a:rPr>
            <a:t>×p</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7</xdr:row>
      <xdr:rowOff>0</xdr:rowOff>
    </xdr:from>
    <xdr:to>
      <xdr:col>17</xdr:col>
      <xdr:colOff>45464</xdr:colOff>
      <xdr:row>8</xdr:row>
      <xdr:rowOff>4482</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816340" y="1737360"/>
          <a:ext cx="3085844" cy="2330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定格出力の増加は原則認められません</a:t>
          </a:r>
          <a:endParaRPr lang="en-US" altLang="ja-JP">
            <a:solidFill>
              <a:sysClr val="windowText" lastClr="000000"/>
            </a:solidFill>
          </a:endParaRPr>
        </a:p>
      </xdr:txBody>
    </xdr:sp>
    <xdr:clientData/>
  </xdr:twoCellAnchor>
  <xdr:twoCellAnchor>
    <xdr:from>
      <xdr:col>24</xdr:col>
      <xdr:colOff>1</xdr:colOff>
      <xdr:row>12</xdr:row>
      <xdr:rowOff>0</xdr:rowOff>
    </xdr:from>
    <xdr:to>
      <xdr:col>32</xdr:col>
      <xdr:colOff>1</xdr:colOff>
      <xdr:row>14</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6921398" y="2958059"/>
          <a:ext cx="5373973" cy="469692"/>
          <a:chOff x="11701839" y="2754086"/>
          <a:chExt cx="5266225" cy="457200"/>
        </a:xfrm>
      </xdr:grpSpPr>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701839" y="2754086"/>
            <a:ext cx="2475058"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(E=b×n×r×t)</a:t>
            </a:r>
            <a:endParaRPr lang="en-US" altLang="ja-JP">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4176897" y="2754086"/>
            <a:ext cx="279116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(E'=b'×n'×r'×t')</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701839" y="2982686"/>
            <a:ext cx="247506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4176898" y="2982686"/>
            <a:ext cx="279116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grpSp>
    <xdr:clientData/>
  </xdr:twoCellAnchor>
  <xdr:twoCellAnchor>
    <xdr:from>
      <xdr:col>13</xdr:col>
      <xdr:colOff>0</xdr:colOff>
      <xdr:row>10</xdr:row>
      <xdr:rowOff>215153</xdr:rowOff>
    </xdr:from>
    <xdr:to>
      <xdr:col>16</xdr:col>
      <xdr:colOff>670175</xdr:colOff>
      <xdr:row>14</xdr:row>
      <xdr:rowOff>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9029075" y="2709616"/>
          <a:ext cx="2827485" cy="718135"/>
          <a:chOff x="7808260" y="2447365"/>
          <a:chExt cx="2805953" cy="699247"/>
        </a:xfrm>
      </xdr:grpSpPr>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808260" y="2447365"/>
            <a:ext cx="2805953" cy="699247"/>
            <a:chOff x="17123227" y="2906486"/>
            <a:chExt cx="2816043" cy="685800"/>
          </a:xfrm>
        </xdr:grpSpPr>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2</xdr:col>
      <xdr:colOff>76200</xdr:colOff>
      <xdr:row>8</xdr:row>
      <xdr:rowOff>54429</xdr:rowOff>
    </xdr:from>
    <xdr:to>
      <xdr:col>11</xdr:col>
      <xdr:colOff>574382</xdr:colOff>
      <xdr:row>10</xdr:row>
      <xdr:rowOff>2319</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516380" y="2020389"/>
          <a:ext cx="6807542"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7</xdr:row>
      <xdr:rowOff>0</xdr:rowOff>
    </xdr:from>
    <xdr:to>
      <xdr:col>21</xdr:col>
      <xdr:colOff>0</xdr:colOff>
      <xdr:row>8</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730740" y="2110740"/>
          <a:ext cx="7338060" cy="23622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容量が更新前後で異なる場合は、その理由を特記事項欄に記載してください。（要根拠資料）</a:t>
          </a:r>
          <a:endParaRPr lang="en-US" altLang="ja-JP" sz="1100">
            <a:solidFill>
              <a:sysClr val="windowText" lastClr="000000"/>
            </a:solidFill>
          </a:endParaRPr>
        </a:p>
      </xdr:txBody>
    </xdr:sp>
    <xdr:clientData/>
  </xdr:twoCellAnchor>
  <xdr:twoCellAnchor>
    <xdr:from>
      <xdr:col>15</xdr:col>
      <xdr:colOff>331694</xdr:colOff>
      <xdr:row>10</xdr:row>
      <xdr:rowOff>0</xdr:rowOff>
    </xdr:from>
    <xdr:to>
      <xdr:col>23</xdr:col>
      <xdr:colOff>0</xdr:colOff>
      <xdr:row>12</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12628528" y="2889161"/>
          <a:ext cx="5582199" cy="467932"/>
          <a:chOff x="11843657" y="2754086"/>
          <a:chExt cx="5766209" cy="466165"/>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843657" y="2754086"/>
            <a:ext cx="270513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(E=(a+b×r2)×t/1000)</a:t>
            </a:r>
            <a:endParaRPr lang="en-US" altLang="ja-JP">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4548792" y="2758568"/>
            <a:ext cx="3061074"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(E'=(a'+b'×r2)×n'×t'/1000)</a:t>
            </a:r>
            <a:endParaRPr lang="en-US" altLang="ja-JP">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1843657" y="2987168"/>
            <a:ext cx="2705136" cy="2330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4548793" y="2987168"/>
            <a:ext cx="3061073" cy="23308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(C'=E'×0.000456)</a:t>
            </a:r>
            <a:endParaRPr lang="en-US" altLang="ja-JP">
              <a:solidFill>
                <a:sysClr val="windowText" lastClr="000000"/>
              </a:solidFill>
              <a:latin typeface="+mn-ea"/>
              <a:ea typeface="+mn-ea"/>
            </a:endParaRPr>
          </a:p>
        </xdr:txBody>
      </xdr:sp>
    </xdr:grpSp>
    <xdr:clientData/>
  </xdr:twoCellAnchor>
  <xdr:twoCellAnchor>
    <xdr:from>
      <xdr:col>11</xdr:col>
      <xdr:colOff>667422</xdr:colOff>
      <xdr:row>9</xdr:row>
      <xdr:rowOff>0</xdr:rowOff>
    </xdr:from>
    <xdr:to>
      <xdr:col>15</xdr:col>
      <xdr:colOff>0</xdr:colOff>
      <xdr:row>12</xdr:row>
      <xdr:rowOff>0</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9408721" y="2659487"/>
          <a:ext cx="2882017" cy="697606"/>
          <a:chOff x="7808260" y="2447365"/>
          <a:chExt cx="2805953" cy="699247"/>
        </a:xfrm>
      </xdr:grpSpPr>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7808260" y="2447365"/>
            <a:ext cx="2805953" cy="699247"/>
            <a:chOff x="17123227" y="2906486"/>
            <a:chExt cx="2816043" cy="685800"/>
          </a:xfrm>
        </xdr:grpSpPr>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2</xdr:col>
      <xdr:colOff>507254</xdr:colOff>
      <xdr:row>8</xdr:row>
      <xdr:rowOff>15688</xdr:rowOff>
    </xdr:from>
    <xdr:to>
      <xdr:col>11</xdr:col>
      <xdr:colOff>10460</xdr:colOff>
      <xdr:row>9</xdr:row>
      <xdr:rowOff>177800</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810274" y="2362648"/>
          <a:ext cx="6749826" cy="39833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26894</xdr:colOff>
      <xdr:row>12</xdr:row>
      <xdr:rowOff>170330</xdr:rowOff>
    </xdr:from>
    <xdr:to>
      <xdr:col>24</xdr:col>
      <xdr:colOff>224118</xdr:colOff>
      <xdr:row>14</xdr:row>
      <xdr:rowOff>188260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6761775" y="3086069"/>
          <a:ext cx="2524045" cy="476762"/>
          <a:chOff x="19588889" y="2701504"/>
          <a:chExt cx="2714628" cy="474785"/>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9598381" y="2701504"/>
            <a:ext cx="270513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(E=a×n×b)</a:t>
            </a:r>
            <a:endParaRPr lang="en-US" altLang="ja-JP">
              <a:solidFill>
                <a:sysClr val="windowText" lastClr="000000"/>
              </a:solidFill>
              <a:latin typeface="+mn-ea"/>
              <a:ea typeface="+mn-ea"/>
            </a:endParaRPr>
          </a:p>
        </xdr:txBody>
      </xdr: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9588889" y="2947689"/>
            <a:ext cx="270513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年間燃料消費量</a:t>
            </a:r>
            <a:r>
              <a:rPr lang="en-US" altLang="ja-JP" sz="1100" b="0" i="0" u="none" strike="noStrike">
                <a:solidFill>
                  <a:sysClr val="windowText" lastClr="000000"/>
                </a:solidFill>
                <a:effectLst/>
                <a:latin typeface="+mn-ea"/>
                <a:ea typeface="+mn-ea"/>
                <a:cs typeface="+mn-cs"/>
              </a:rPr>
              <a:t>(F=A×n×b)</a:t>
            </a:r>
            <a:endParaRPr lang="en-US" altLang="ja-JP">
              <a:solidFill>
                <a:sysClr val="windowText" lastClr="000000"/>
              </a:solidFill>
              <a:latin typeface="+mn-ea"/>
              <a:ea typeface="+mn-ea"/>
            </a:endParaRPr>
          </a:p>
        </xdr:txBody>
      </xdr:sp>
    </xdr:grpSp>
    <xdr:clientData/>
  </xdr:twoCellAnchor>
  <xdr:twoCellAnchor>
    <xdr:from>
      <xdr:col>2</xdr:col>
      <xdr:colOff>106866</xdr:colOff>
      <xdr:row>10</xdr:row>
      <xdr:rowOff>139065</xdr:rowOff>
    </xdr:from>
    <xdr:to>
      <xdr:col>11</xdr:col>
      <xdr:colOff>79375</xdr:colOff>
      <xdr:row>14</xdr:row>
      <xdr:rowOff>64730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630866" y="2504440"/>
          <a:ext cx="7386134" cy="81466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各設備シートで算定できない場合等にご利用ください。</a:t>
          </a:r>
          <a:endParaRPr kumimoji="1" lang="en-US" altLang="ja-JP" sz="16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「その他設備」の「燃料種類」が複数ある場合は事務局にご相談ください。</a:t>
          </a:r>
          <a:endParaRPr kumimoji="1" lang="en-US" altLang="ja-JP" sz="1600">
            <a:solidFill>
              <a:srgbClr val="FF0000"/>
            </a:solidFill>
            <a:effectLst/>
            <a:latin typeface="+mn-lt"/>
            <a:ea typeface="+mn-ea"/>
            <a:cs typeface="+mn-cs"/>
          </a:endParaRPr>
        </a:p>
      </xdr:txBody>
    </xdr:sp>
    <xdr:clientData/>
  </xdr:twoCellAnchor>
  <xdr:twoCellAnchor>
    <xdr:from>
      <xdr:col>12</xdr:col>
      <xdr:colOff>695999</xdr:colOff>
      <xdr:row>12</xdr:row>
      <xdr:rowOff>63500</xdr:rowOff>
    </xdr:from>
    <xdr:to>
      <xdr:col>16</xdr:col>
      <xdr:colOff>380999</xdr:colOff>
      <xdr:row>15</xdr:row>
      <xdr:rowOff>3207</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10263725" y="2971619"/>
          <a:ext cx="2976024" cy="637481"/>
          <a:chOff x="7806250" y="2449135"/>
          <a:chExt cx="2807966" cy="697473"/>
        </a:xfrm>
      </xdr:grpSpPr>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7806250" y="2449135"/>
            <a:ext cx="2807966" cy="697473"/>
            <a:chOff x="17121208" y="2908226"/>
            <a:chExt cx="2818063" cy="684061"/>
          </a:xfrm>
        </xdr:grpSpPr>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7121208" y="2908226"/>
              <a:ext cx="2818063" cy="68406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ndanka\&#35336;&#30011;&#26360;\&#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ashira\Dropbox%20(&#12456;&#12492;&#12456;&#12473;&#29872;&#22659;)\01000_03_&#26412;&#31038;_&#25216;&#34899;&#37096;\&#25216;&#34899;&#37096;\3.&#21463;&#27880;&#26989;&#21209;&#23550;&#24540;\&#29872;&#22659;&#35336;&#30011;23-11%20&#21315;&#33865;&#30476;_R5&#33073;&#28845;&#32032;&#21270;&#20419;&#36914;&#20107;&#26989;\03.&#20316;&#26989;&#29992;\&#31777;&#26131;&#12484;&#12540;&#12523;\&#31070;&#22856;&#24029;&#30476;&#12304;0529&#20462;&#27491;&#12305;co2santeishee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モーター効率"/>
      <sheetName val="係数"/>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nv.go.jp/earth/ondanka/gel/ghg-guideline/business/measures/view/17.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abSelected="1" view="pageBreakPreview" zoomScale="60" zoomScaleNormal="20" workbookViewId="0">
      <selection activeCell="F6" sqref="F6"/>
    </sheetView>
  </sheetViews>
  <sheetFormatPr defaultColWidth="8.69921875" defaultRowHeight="18" x14ac:dyDescent="0.45"/>
  <cols>
    <col min="1" max="1" width="8.69921875" style="348"/>
    <col min="2" max="2" width="22" style="348" customWidth="1"/>
    <col min="3" max="3" width="25.796875" style="348" customWidth="1"/>
    <col min="4" max="4" width="33.3984375" style="348" customWidth="1"/>
    <col min="5" max="16384" width="8.69921875" style="348"/>
  </cols>
  <sheetData>
    <row r="1" spans="1:4" ht="28.8" x14ac:dyDescent="0.7">
      <c r="A1" s="347" t="s">
        <v>944</v>
      </c>
    </row>
    <row r="3" spans="1:4" x14ac:dyDescent="0.45">
      <c r="B3" s="200" t="s">
        <v>933</v>
      </c>
      <c r="C3" s="200" t="s">
        <v>939</v>
      </c>
      <c r="D3" s="200" t="s">
        <v>937</v>
      </c>
    </row>
    <row r="4" spans="1:4" ht="36" x14ac:dyDescent="0.45">
      <c r="B4" s="197" t="s">
        <v>934</v>
      </c>
      <c r="C4" s="11" t="s">
        <v>945</v>
      </c>
      <c r="D4" s="3"/>
    </row>
    <row r="5" spans="1:4" x14ac:dyDescent="0.45">
      <c r="B5" s="200" t="s">
        <v>935</v>
      </c>
      <c r="C5" s="2" t="s">
        <v>946</v>
      </c>
      <c r="D5" s="3"/>
    </row>
    <row r="6" spans="1:4" ht="72" x14ac:dyDescent="0.45">
      <c r="B6" s="197" t="s">
        <v>936</v>
      </c>
      <c r="C6" s="11" t="s">
        <v>942</v>
      </c>
      <c r="D6" s="583" t="s">
        <v>938</v>
      </c>
    </row>
    <row r="7" spans="1:4" x14ac:dyDescent="0.45">
      <c r="B7" s="582" t="s">
        <v>940</v>
      </c>
    </row>
    <row r="8" spans="1:4" x14ac:dyDescent="0.45">
      <c r="B8" s="348" t="s">
        <v>943</v>
      </c>
    </row>
    <row r="9" spans="1:4" x14ac:dyDescent="0.45">
      <c r="B9" s="348" t="s">
        <v>941</v>
      </c>
    </row>
  </sheetData>
  <sheetProtection algorithmName="SHA-512" hashValue="wFsnS+Nvdye/orFI1vL+dLrCg45YInVtWQ2D1BS4mvEu+qjEFWiETmjVKK3ilfaaNOBDJ3wxySI6mwcFSusBZQ==" saltValue="wcf9LrcC1ZEQp7Dg/ktYjQ==" spinCount="100000" sheet="1" objects="1" scenarios="1" formatCells="0" formatColumns="0" formatRows="0"/>
  <phoneticPr fontId="5"/>
  <pageMargins left="0.31496062992125984" right="0.31496062992125984" top="0.3543307086614173" bottom="0.3543307086614173" header="0.31496062992125984" footer="0.31496062992125984"/>
  <pageSetup paperSize="9"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0"/>
  <sheetViews>
    <sheetView view="pageBreakPreview" zoomScale="70" zoomScaleNormal="70" zoomScaleSheetLayoutView="70" workbookViewId="0">
      <pane ySplit="1" topLeftCell="A2" activePane="bottomLeft" state="frozen"/>
      <selection activeCell="E9" sqref="E9"/>
      <selection pane="bottomLeft" activeCell="M4" sqref="M4:U4"/>
    </sheetView>
  </sheetViews>
  <sheetFormatPr defaultColWidth="8.69921875" defaultRowHeight="18" x14ac:dyDescent="0.45"/>
  <cols>
    <col min="1" max="1" width="10.5" customWidth="1"/>
    <col min="2" max="2" width="9.59765625" customWidth="1"/>
    <col min="3" max="8" width="10.296875" customWidth="1"/>
    <col min="9" max="9" width="13.796875" customWidth="1"/>
    <col min="10" max="12" width="10.296875" customWidth="1"/>
    <col min="13" max="13" width="12.69921875" customWidth="1"/>
    <col min="14" max="25" width="10.296875" customWidth="1"/>
    <col min="27" max="27" width="10.19921875" bestFit="1" customWidth="1"/>
  </cols>
  <sheetData>
    <row r="1" spans="1:27" ht="28.8" x14ac:dyDescent="0.7">
      <c r="A1" s="100" t="s">
        <v>198</v>
      </c>
      <c r="G1" s="194"/>
      <c r="I1" s="195"/>
      <c r="L1" s="196"/>
    </row>
    <row r="2" spans="1:27" x14ac:dyDescent="0.45">
      <c r="A2" t="s">
        <v>199</v>
      </c>
    </row>
    <row r="3" spans="1:27" x14ac:dyDescent="0.45">
      <c r="D3" s="594" t="s">
        <v>141</v>
      </c>
      <c r="E3" s="595"/>
      <c r="F3" s="208" t="s">
        <v>140</v>
      </c>
      <c r="G3" s="197" t="s">
        <v>76</v>
      </c>
      <c r="H3" s="197" t="s">
        <v>87</v>
      </c>
      <c r="I3" s="197" t="s">
        <v>193</v>
      </c>
      <c r="J3" s="198" t="s">
        <v>197</v>
      </c>
      <c r="M3" s="619" t="s">
        <v>529</v>
      </c>
      <c r="N3" s="620"/>
      <c r="O3" s="620"/>
      <c r="P3" s="620"/>
      <c r="Q3" s="620"/>
      <c r="R3" s="620"/>
      <c r="S3" s="620"/>
      <c r="T3" s="620"/>
      <c r="U3" s="621"/>
    </row>
    <row r="4" spans="1:27" x14ac:dyDescent="0.45">
      <c r="D4" s="592" t="s">
        <v>384</v>
      </c>
      <c r="E4" s="593"/>
      <c r="F4" s="200" t="s">
        <v>85</v>
      </c>
      <c r="G4" s="183">
        <f>K20</f>
        <v>0</v>
      </c>
      <c r="H4" s="183">
        <f>V20</f>
        <v>0</v>
      </c>
      <c r="I4" s="42">
        <f>G4-H4</f>
        <v>0</v>
      </c>
      <c r="J4" s="40">
        <f>IF(OR(G4=0,I4=0),0,I4/G4)</f>
        <v>0</v>
      </c>
      <c r="M4" s="679"/>
      <c r="N4" s="680"/>
      <c r="O4" s="680"/>
      <c r="P4" s="680"/>
      <c r="Q4" s="680"/>
      <c r="R4" s="680"/>
      <c r="S4" s="680"/>
      <c r="T4" s="680"/>
      <c r="U4" s="681"/>
    </row>
    <row r="5" spans="1:27" x14ac:dyDescent="0.45">
      <c r="D5" s="594" t="s">
        <v>465</v>
      </c>
      <c r="E5" s="595"/>
      <c r="F5" s="270" t="str">
        <f>$G$10&amp;"/年"</f>
        <v>kWh/年</v>
      </c>
      <c r="G5" s="183">
        <f>L20</f>
        <v>0</v>
      </c>
      <c r="H5" s="183">
        <f>W20</f>
        <v>0</v>
      </c>
      <c r="I5" s="42">
        <f>G5-H5</f>
        <v>0</v>
      </c>
      <c r="J5" s="40">
        <f>IF(OR(G5=0,I5=0),0,I5/G5)</f>
        <v>0</v>
      </c>
      <c r="M5" s="337" t="s">
        <v>599</v>
      </c>
    </row>
    <row r="6" spans="1:27" x14ac:dyDescent="0.45">
      <c r="D6" s="592" t="s">
        <v>385</v>
      </c>
      <c r="E6" s="593"/>
      <c r="F6" s="211" t="s">
        <v>62</v>
      </c>
      <c r="G6" s="443">
        <f>M20</f>
        <v>0</v>
      </c>
      <c r="H6" s="443">
        <f>X20</f>
        <v>0</v>
      </c>
      <c r="I6" s="444">
        <f>G6-H6</f>
        <v>0</v>
      </c>
      <c r="J6" s="40">
        <f>IF(OR(G6=0,I6=0),0,I6/G6)</f>
        <v>0</v>
      </c>
    </row>
    <row r="7" spans="1:27" x14ac:dyDescent="0.45">
      <c r="D7" s="592" t="s">
        <v>4</v>
      </c>
      <c r="E7" s="593"/>
      <c r="F7" s="200" t="s">
        <v>90</v>
      </c>
      <c r="G7" s="425" t="str">
        <f>IF(AND(使用量と光熱費!$H$7=0,$H$10=""),"ー",G4*使用量と光熱費!$H$7+G5*$H$10)</f>
        <v>ー</v>
      </c>
      <c r="H7" s="425" t="str">
        <f>IF(AND(使用量と光熱費!$H$7=0,$H$10=""),"ー",H4*使用量と光熱費!$H$7+H5*$H$10)</f>
        <v>ー</v>
      </c>
      <c r="I7" s="467" t="str">
        <f>IF(OR(G7="ー",H7="ー"),"ー",G7-H7)</f>
        <v>ー</v>
      </c>
      <c r="J7" s="40" t="e">
        <f>IF(OR(G7=0,I7=0),0,I7/G7)</f>
        <v>#VALUE!</v>
      </c>
    </row>
    <row r="8" spans="1:27" x14ac:dyDescent="0.45">
      <c r="D8" s="631" t="s">
        <v>484</v>
      </c>
      <c r="E8" s="632"/>
      <c r="F8" s="200" t="s">
        <v>485</v>
      </c>
      <c r="G8" s="435">
        <f>IF(AND(G4=0,OR(G5=0,$I$10="")),0,(G4*係数!$C$30+G5*$I$10)*0.0000258)</f>
        <v>0</v>
      </c>
      <c r="H8" s="435">
        <f>IF(AND(H4=0,OR(H5=0,$I$10="")),0,(H4*係数!$C$30+H5*$I$10)*0.0000258)</f>
        <v>0</v>
      </c>
      <c r="I8" s="436">
        <f>G8-H8</f>
        <v>0</v>
      </c>
      <c r="J8" s="40">
        <f>IF(OR(G8=0,I8=0),0,I8/G8)</f>
        <v>0</v>
      </c>
    </row>
    <row r="9" spans="1:27" x14ac:dyDescent="0.45">
      <c r="D9" s="267" t="s">
        <v>146</v>
      </c>
      <c r="E9" s="271" t="s">
        <v>147</v>
      </c>
      <c r="F9" s="240"/>
      <c r="G9" s="208" t="s">
        <v>148</v>
      </c>
      <c r="H9" s="208" t="s">
        <v>89</v>
      </c>
      <c r="I9" s="208" t="s">
        <v>486</v>
      </c>
    </row>
    <row r="10" spans="1:27" x14ac:dyDescent="0.45">
      <c r="D10" s="101" t="s">
        <v>0</v>
      </c>
      <c r="E10" s="1">
        <f>IF(D10="","",VLOOKUP(D10,係数!$B$3:$I$30,7,FALSE))</f>
        <v>4.5600000000000003E-4</v>
      </c>
      <c r="F10" s="1" t="str">
        <f>IF(D10="","",VLOOKUP(D10,係数!$B$3:$I$30,8,FALSE))</f>
        <v>tCO2/kWh</v>
      </c>
      <c r="G10" s="1" t="str">
        <f>IF(D10="","",VLOOKUP(D10,係数!$B$3:$I$30,4,FALSE))</f>
        <v>kWh</v>
      </c>
      <c r="H10" s="1" t="str">
        <f>IF(OR(D10="",使用量と光熱費!$C$7:$H$11=0),"",VLOOKUP(D10,使用量と光熱費!$C$7:$H$11,6,FALSE))</f>
        <v/>
      </c>
      <c r="I10" s="1">
        <f>IF(D10="","",VLOOKUP(D10,係数!$B$3:$I$30,2,FALSE))</f>
        <v>9.9700000000000006</v>
      </c>
    </row>
    <row r="11" spans="1:27" x14ac:dyDescent="0.45">
      <c r="A11" s="22"/>
      <c r="M11" s="193"/>
      <c r="N11" s="193"/>
    </row>
    <row r="13" spans="1:27" x14ac:dyDescent="0.45">
      <c r="A13" s="22"/>
      <c r="M13" s="193"/>
      <c r="N13" s="193"/>
    </row>
    <row r="14" spans="1:27" x14ac:dyDescent="0.45">
      <c r="A14" t="s">
        <v>139</v>
      </c>
      <c r="M14" s="193"/>
      <c r="N14" s="193"/>
    </row>
    <row r="15" spans="1:27" x14ac:dyDescent="0.45">
      <c r="M15" s="202"/>
    </row>
    <row r="16" spans="1:27" x14ac:dyDescent="0.45">
      <c r="B16" s="208"/>
      <c r="C16" s="246" t="s">
        <v>76</v>
      </c>
      <c r="D16" s="242"/>
      <c r="E16" s="242"/>
      <c r="F16" s="242"/>
      <c r="G16" s="242"/>
      <c r="H16" s="242"/>
      <c r="I16" s="242"/>
      <c r="J16" s="242"/>
      <c r="K16" s="242"/>
      <c r="L16" s="240"/>
      <c r="M16" s="246" t="s">
        <v>87</v>
      </c>
      <c r="N16" s="242"/>
      <c r="O16" s="242"/>
      <c r="P16" s="242"/>
      <c r="Q16" s="242"/>
      <c r="R16" s="242"/>
      <c r="S16" s="242"/>
      <c r="T16" s="242"/>
      <c r="U16" s="242"/>
      <c r="V16" s="242"/>
      <c r="W16" s="242"/>
      <c r="X16" s="240"/>
      <c r="Y16" s="246" t="s">
        <v>94</v>
      </c>
      <c r="Z16" s="242"/>
      <c r="AA16" s="240"/>
    </row>
    <row r="17" spans="2:27" ht="36" x14ac:dyDescent="0.45">
      <c r="B17" s="338" t="s">
        <v>141</v>
      </c>
      <c r="C17" s="248" t="s">
        <v>170</v>
      </c>
      <c r="D17" s="267" t="s">
        <v>527</v>
      </c>
      <c r="E17" s="248" t="s">
        <v>405</v>
      </c>
      <c r="F17" s="248" t="s">
        <v>406</v>
      </c>
      <c r="G17" s="248" t="s">
        <v>86</v>
      </c>
      <c r="H17" s="248" t="s">
        <v>95</v>
      </c>
      <c r="I17" s="248" t="s">
        <v>80</v>
      </c>
      <c r="J17" s="248" t="s">
        <v>142</v>
      </c>
      <c r="K17" s="248" t="s">
        <v>466</v>
      </c>
      <c r="L17" s="248" t="s">
        <v>470</v>
      </c>
      <c r="M17" s="248" t="s">
        <v>481</v>
      </c>
      <c r="N17" s="248" t="s">
        <v>170</v>
      </c>
      <c r="O17" s="267" t="s">
        <v>527</v>
      </c>
      <c r="P17" s="248" t="s">
        <v>407</v>
      </c>
      <c r="Q17" s="248" t="s">
        <v>408</v>
      </c>
      <c r="R17" s="248" t="s">
        <v>97</v>
      </c>
      <c r="S17" s="248" t="s">
        <v>95</v>
      </c>
      <c r="T17" s="248" t="s">
        <v>80</v>
      </c>
      <c r="U17" s="248" t="s">
        <v>143</v>
      </c>
      <c r="V17" s="248" t="s">
        <v>469</v>
      </c>
      <c r="W17" s="248" t="s">
        <v>480</v>
      </c>
      <c r="X17" s="248" t="s">
        <v>468</v>
      </c>
      <c r="Y17" s="248" t="s">
        <v>476</v>
      </c>
      <c r="Z17" s="248" t="s">
        <v>478</v>
      </c>
      <c r="AA17" s="248" t="s">
        <v>482</v>
      </c>
    </row>
    <row r="18" spans="2:27" x14ac:dyDescent="0.45">
      <c r="B18" s="208" t="s">
        <v>140</v>
      </c>
      <c r="C18" s="454"/>
      <c r="D18" s="209"/>
      <c r="E18" s="200" t="s">
        <v>96</v>
      </c>
      <c r="F18" s="249" t="str">
        <f>$G$10&amp;"/(台・h)"</f>
        <v>kWh/(台・h)</v>
      </c>
      <c r="G18" s="200" t="s">
        <v>77</v>
      </c>
      <c r="H18" s="200" t="s">
        <v>79</v>
      </c>
      <c r="I18" s="200" t="s">
        <v>81</v>
      </c>
      <c r="J18" s="200" t="s">
        <v>82</v>
      </c>
      <c r="K18" s="200" t="s">
        <v>85</v>
      </c>
      <c r="L18" s="270" t="str">
        <f>$G$10&amp;"/年"</f>
        <v>kWh/年</v>
      </c>
      <c r="M18" s="211" t="s">
        <v>62</v>
      </c>
      <c r="N18" s="455"/>
      <c r="O18" s="209"/>
      <c r="P18" s="200" t="s">
        <v>96</v>
      </c>
      <c r="Q18" s="249" t="str">
        <f>$G$10&amp;"/(台・h)"</f>
        <v>kWh/(台・h)</v>
      </c>
      <c r="R18" s="200" t="s">
        <v>77</v>
      </c>
      <c r="S18" s="200" t="s">
        <v>79</v>
      </c>
      <c r="T18" s="200" t="s">
        <v>81</v>
      </c>
      <c r="U18" s="200" t="s">
        <v>82</v>
      </c>
      <c r="V18" s="200" t="s">
        <v>85</v>
      </c>
      <c r="W18" s="270" t="str">
        <f>$G$10&amp;"/年"</f>
        <v>kWh/年</v>
      </c>
      <c r="X18" s="211" t="s">
        <v>62</v>
      </c>
      <c r="Y18" s="200" t="s">
        <v>85</v>
      </c>
      <c r="Z18" s="270" t="str">
        <f>$G$10&amp;"/年"</f>
        <v>kWh/年</v>
      </c>
      <c r="AA18" s="211" t="s">
        <v>62</v>
      </c>
    </row>
    <row r="19" spans="2:27" x14ac:dyDescent="0.45">
      <c r="B19" s="339" t="s">
        <v>540</v>
      </c>
      <c r="C19" s="339"/>
      <c r="D19" s="340"/>
      <c r="E19" s="341">
        <v>0.2</v>
      </c>
      <c r="F19" s="341">
        <v>0.3</v>
      </c>
      <c r="G19" s="341">
        <v>6</v>
      </c>
      <c r="H19" s="341">
        <v>10</v>
      </c>
      <c r="I19" s="341">
        <v>150</v>
      </c>
      <c r="J19" s="342">
        <f>H19*I19</f>
        <v>1500</v>
      </c>
      <c r="K19" s="342">
        <f>E19*G19*J19</f>
        <v>1800.0000000000002</v>
      </c>
      <c r="L19" s="342">
        <f>F19*G19*J19</f>
        <v>2699.9999999999995</v>
      </c>
      <c r="M19" s="343">
        <f>K19*係数!$H$30+L19*0.0024895</f>
        <v>7.5424499999999988</v>
      </c>
      <c r="N19" s="344"/>
      <c r="O19" s="340"/>
      <c r="P19" s="341">
        <v>0.1</v>
      </c>
      <c r="Q19" s="341">
        <v>0.2</v>
      </c>
      <c r="R19" s="345">
        <v>5</v>
      </c>
      <c r="S19" s="341">
        <v>12</v>
      </c>
      <c r="T19" s="341">
        <v>100</v>
      </c>
      <c r="U19" s="342">
        <f>S19*T19</f>
        <v>1200</v>
      </c>
      <c r="V19" s="342">
        <f>P19*R19*U19</f>
        <v>600</v>
      </c>
      <c r="W19" s="342">
        <f>Q19*R19*U19</f>
        <v>1200</v>
      </c>
      <c r="X19" s="343">
        <f>V19*係数!$H$30+W19*0.0024895</f>
        <v>3.2610000000000001</v>
      </c>
      <c r="Y19" s="342">
        <f>K19-V19</f>
        <v>1200.0000000000002</v>
      </c>
      <c r="Z19" s="342">
        <f>L19-W19</f>
        <v>1499.9999999999995</v>
      </c>
      <c r="AA19" s="346">
        <f>IF(OR(M19="",X19=""),0,M19-X19)</f>
        <v>4.2814499999999986</v>
      </c>
    </row>
    <row r="20" spans="2:27" x14ac:dyDescent="0.45">
      <c r="B20" s="200" t="s">
        <v>60</v>
      </c>
      <c r="C20" s="222"/>
      <c r="D20" s="223"/>
      <c r="E20" s="221"/>
      <c r="F20" s="468"/>
      <c r="G20" s="20">
        <f>SUM(G21:G40)</f>
        <v>0</v>
      </c>
      <c r="H20" s="221"/>
      <c r="I20" s="221"/>
      <c r="J20" s="261">
        <f>SUM(J21:J40)</f>
        <v>0</v>
      </c>
      <c r="K20" s="261">
        <f>SUM(K21:K40)</f>
        <v>0</v>
      </c>
      <c r="L20" s="261">
        <f>SUM(L21:L40)</f>
        <v>0</v>
      </c>
      <c r="M20" s="226">
        <f>SUM(M21:M40)</f>
        <v>0</v>
      </c>
      <c r="N20" s="227"/>
      <c r="O20" s="223"/>
      <c r="P20" s="221"/>
      <c r="Q20" s="221"/>
      <c r="R20" s="20">
        <f>SUM(R21:R40)</f>
        <v>0</v>
      </c>
      <c r="S20" s="221"/>
      <c r="T20" s="221"/>
      <c r="U20" s="261">
        <f>SUM(U21:U40)</f>
        <v>0</v>
      </c>
      <c r="V20" s="261">
        <f t="shared" ref="V20:AA20" si="0">SUM(V21:V40)</f>
        <v>0</v>
      </c>
      <c r="W20" s="261">
        <f t="shared" si="0"/>
        <v>0</v>
      </c>
      <c r="X20" s="226">
        <f t="shared" si="0"/>
        <v>0</v>
      </c>
      <c r="Y20" s="261">
        <f t="shared" si="0"/>
        <v>0</v>
      </c>
      <c r="Z20" s="261">
        <f t="shared" si="0"/>
        <v>0</v>
      </c>
      <c r="AA20" s="229">
        <f t="shared" si="0"/>
        <v>0</v>
      </c>
    </row>
    <row r="21" spans="2:27" x14ac:dyDescent="0.45">
      <c r="B21" s="208" t="s">
        <v>173</v>
      </c>
      <c r="C21" s="36"/>
      <c r="D21" s="29"/>
      <c r="E21" s="28"/>
      <c r="F21" s="28"/>
      <c r="G21" s="28"/>
      <c r="H21" s="28"/>
      <c r="I21" s="28"/>
      <c r="J21" s="21">
        <f t="shared" ref="J21:J40" si="1">H21*I21</f>
        <v>0</v>
      </c>
      <c r="K21" s="21">
        <f t="shared" ref="K21:K40" si="2">E21*G21*J21</f>
        <v>0</v>
      </c>
      <c r="L21" s="21">
        <f t="shared" ref="L21:L40" si="3">F21*G21*J21</f>
        <v>0</v>
      </c>
      <c r="M21" s="265">
        <f>IF(OR($E$10="",K21="",L21=""),0,K21*係数!$H$30+L21*$E$10)</f>
        <v>0</v>
      </c>
      <c r="N21" s="36"/>
      <c r="O21" s="29"/>
      <c r="P21" s="28"/>
      <c r="Q21" s="28"/>
      <c r="R21" s="28"/>
      <c r="S21" s="28"/>
      <c r="T21" s="28"/>
      <c r="U21" s="21">
        <f>S21*T21</f>
        <v>0</v>
      </c>
      <c r="V21" s="21">
        <f t="shared" ref="V21:V40" si="4">P21*R21*U21</f>
        <v>0</v>
      </c>
      <c r="W21" s="21">
        <f t="shared" ref="W21:W40" si="5">Q21*R21*U21</f>
        <v>0</v>
      </c>
      <c r="X21" s="265">
        <f>V21*係数!$H$30+W21*係数!$H$25</f>
        <v>0</v>
      </c>
      <c r="Y21" s="21">
        <f t="shared" ref="Y21:Z40" si="6">K21-V21</f>
        <v>0</v>
      </c>
      <c r="Z21" s="21">
        <f t="shared" si="6"/>
        <v>0</v>
      </c>
      <c r="AA21" s="229">
        <f t="shared" ref="AA21:AA40" si="7">IF(OR(M21="",X21=""),0,M21-X21)</f>
        <v>0</v>
      </c>
    </row>
    <row r="22" spans="2:27" x14ac:dyDescent="0.45">
      <c r="B22" s="208" t="s">
        <v>174</v>
      </c>
      <c r="C22" s="36"/>
      <c r="D22" s="29"/>
      <c r="E22" s="28"/>
      <c r="F22" s="28"/>
      <c r="G22" s="28"/>
      <c r="H22" s="28"/>
      <c r="I22" s="28"/>
      <c r="J22" s="21">
        <f>H22*I22</f>
        <v>0</v>
      </c>
      <c r="K22" s="21">
        <f t="shared" si="2"/>
        <v>0</v>
      </c>
      <c r="L22" s="21">
        <f t="shared" si="3"/>
        <v>0</v>
      </c>
      <c r="M22" s="265">
        <f>IF(OR($E$10="",K22="",L22=""),0,K22*係数!$H$30+L22*$E$10)</f>
        <v>0</v>
      </c>
      <c r="N22" s="36"/>
      <c r="O22" s="29"/>
      <c r="P22" s="28"/>
      <c r="Q22" s="28"/>
      <c r="R22" s="28"/>
      <c r="S22" s="28"/>
      <c r="T22" s="28"/>
      <c r="U22" s="21">
        <f t="shared" ref="U22:U40" si="8">S22*T22</f>
        <v>0</v>
      </c>
      <c r="V22" s="21">
        <f t="shared" si="4"/>
        <v>0</v>
      </c>
      <c r="W22" s="21">
        <f t="shared" si="5"/>
        <v>0</v>
      </c>
      <c r="X22" s="265">
        <f>V22*係数!$H$30+W22*係数!$H$25</f>
        <v>0</v>
      </c>
      <c r="Y22" s="21">
        <f t="shared" si="6"/>
        <v>0</v>
      </c>
      <c r="Z22" s="21">
        <f t="shared" si="6"/>
        <v>0</v>
      </c>
      <c r="AA22" s="229">
        <f t="shared" si="7"/>
        <v>0</v>
      </c>
    </row>
    <row r="23" spans="2:27" x14ac:dyDescent="0.45">
      <c r="B23" s="208" t="s">
        <v>175</v>
      </c>
      <c r="C23" s="36"/>
      <c r="D23" s="29"/>
      <c r="E23" s="28"/>
      <c r="F23" s="28"/>
      <c r="G23" s="28"/>
      <c r="H23" s="28"/>
      <c r="I23" s="28"/>
      <c r="J23" s="21">
        <f t="shared" si="1"/>
        <v>0</v>
      </c>
      <c r="K23" s="21">
        <f t="shared" si="2"/>
        <v>0</v>
      </c>
      <c r="L23" s="21">
        <f t="shared" si="3"/>
        <v>0</v>
      </c>
      <c r="M23" s="265">
        <f>IF(OR($E$10="",K23="",L23=""),0,K23*係数!$H$30+L23*$E$10)</f>
        <v>0</v>
      </c>
      <c r="N23" s="36"/>
      <c r="O23" s="29"/>
      <c r="P23" s="28"/>
      <c r="Q23" s="28"/>
      <c r="R23" s="28"/>
      <c r="S23" s="28"/>
      <c r="T23" s="28"/>
      <c r="U23" s="21">
        <f t="shared" si="8"/>
        <v>0</v>
      </c>
      <c r="V23" s="21">
        <f t="shared" si="4"/>
        <v>0</v>
      </c>
      <c r="W23" s="21">
        <f t="shared" si="5"/>
        <v>0</v>
      </c>
      <c r="X23" s="265">
        <f>V23*係数!$H$30+W23*係数!$H$25</f>
        <v>0</v>
      </c>
      <c r="Y23" s="21">
        <f t="shared" si="6"/>
        <v>0</v>
      </c>
      <c r="Z23" s="21">
        <f t="shared" si="6"/>
        <v>0</v>
      </c>
      <c r="AA23" s="229">
        <f t="shared" si="7"/>
        <v>0</v>
      </c>
    </row>
    <row r="24" spans="2:27" x14ac:dyDescent="0.45">
      <c r="B24" s="208" t="s">
        <v>176</v>
      </c>
      <c r="C24" s="36"/>
      <c r="D24" s="29"/>
      <c r="E24" s="28"/>
      <c r="F24" s="28"/>
      <c r="G24" s="28"/>
      <c r="H24" s="28"/>
      <c r="I24" s="28"/>
      <c r="J24" s="21">
        <f t="shared" si="1"/>
        <v>0</v>
      </c>
      <c r="K24" s="21">
        <f t="shared" si="2"/>
        <v>0</v>
      </c>
      <c r="L24" s="21">
        <f t="shared" si="3"/>
        <v>0</v>
      </c>
      <c r="M24" s="265">
        <f>IF(OR($E$10="",K24="",L24=""),0,K24*係数!$H$30+L24*$E$10)</f>
        <v>0</v>
      </c>
      <c r="N24" s="36"/>
      <c r="O24" s="36"/>
      <c r="P24" s="28"/>
      <c r="Q24" s="28"/>
      <c r="R24" s="28"/>
      <c r="S24" s="28"/>
      <c r="T24" s="28"/>
      <c r="U24" s="21">
        <f t="shared" si="8"/>
        <v>0</v>
      </c>
      <c r="V24" s="21">
        <f t="shared" si="4"/>
        <v>0</v>
      </c>
      <c r="W24" s="21">
        <f t="shared" si="5"/>
        <v>0</v>
      </c>
      <c r="X24" s="265">
        <f>V24*係数!$H$30+W24*係数!$H$25</f>
        <v>0</v>
      </c>
      <c r="Y24" s="21">
        <f t="shared" si="6"/>
        <v>0</v>
      </c>
      <c r="Z24" s="21">
        <f t="shared" si="6"/>
        <v>0</v>
      </c>
      <c r="AA24" s="229">
        <f t="shared" si="7"/>
        <v>0</v>
      </c>
    </row>
    <row r="25" spans="2:27" x14ac:dyDescent="0.45">
      <c r="B25" s="208" t="s">
        <v>177</v>
      </c>
      <c r="C25" s="36"/>
      <c r="D25" s="29"/>
      <c r="E25" s="28"/>
      <c r="F25" s="28"/>
      <c r="G25" s="28"/>
      <c r="H25" s="28"/>
      <c r="I25" s="28"/>
      <c r="J25" s="21">
        <f t="shared" si="1"/>
        <v>0</v>
      </c>
      <c r="K25" s="21">
        <f t="shared" si="2"/>
        <v>0</v>
      </c>
      <c r="L25" s="21">
        <f t="shared" si="3"/>
        <v>0</v>
      </c>
      <c r="M25" s="265">
        <f>IF(OR($E$10="",K25="",L25=""),0,K25*係数!$H$30+L25*$E$10)</f>
        <v>0</v>
      </c>
      <c r="N25" s="36"/>
      <c r="O25" s="36"/>
      <c r="P25" s="28"/>
      <c r="Q25" s="28"/>
      <c r="R25" s="28"/>
      <c r="S25" s="28"/>
      <c r="T25" s="28"/>
      <c r="U25" s="21">
        <f t="shared" si="8"/>
        <v>0</v>
      </c>
      <c r="V25" s="21">
        <f t="shared" si="4"/>
        <v>0</v>
      </c>
      <c r="W25" s="21">
        <f t="shared" si="5"/>
        <v>0</v>
      </c>
      <c r="X25" s="265">
        <f>V25*係数!$H$30+W25*係数!$H$25</f>
        <v>0</v>
      </c>
      <c r="Y25" s="21">
        <f t="shared" si="6"/>
        <v>0</v>
      </c>
      <c r="Z25" s="21">
        <f t="shared" si="6"/>
        <v>0</v>
      </c>
      <c r="AA25" s="229">
        <f t="shared" si="7"/>
        <v>0</v>
      </c>
    </row>
    <row r="26" spans="2:27" x14ac:dyDescent="0.45">
      <c r="B26" s="208" t="s">
        <v>178</v>
      </c>
      <c r="C26" s="36"/>
      <c r="D26" s="29"/>
      <c r="E26" s="28"/>
      <c r="F26" s="28"/>
      <c r="G26" s="28"/>
      <c r="H26" s="28"/>
      <c r="I26" s="28"/>
      <c r="J26" s="21">
        <f t="shared" si="1"/>
        <v>0</v>
      </c>
      <c r="K26" s="21">
        <f t="shared" si="2"/>
        <v>0</v>
      </c>
      <c r="L26" s="21">
        <f t="shared" si="3"/>
        <v>0</v>
      </c>
      <c r="M26" s="265">
        <f>IF(OR($E$10="",K26="",L26=""),0,K26*係数!$H$30+L26*$E$10)</f>
        <v>0</v>
      </c>
      <c r="N26" s="36"/>
      <c r="O26" s="36"/>
      <c r="P26" s="28"/>
      <c r="Q26" s="28"/>
      <c r="R26" s="28"/>
      <c r="S26" s="28"/>
      <c r="T26" s="28"/>
      <c r="U26" s="21">
        <f t="shared" si="8"/>
        <v>0</v>
      </c>
      <c r="V26" s="21">
        <f t="shared" si="4"/>
        <v>0</v>
      </c>
      <c r="W26" s="21">
        <f t="shared" si="5"/>
        <v>0</v>
      </c>
      <c r="X26" s="265">
        <f>V26*係数!$H$30+W26*係数!$H$25</f>
        <v>0</v>
      </c>
      <c r="Y26" s="21">
        <f t="shared" si="6"/>
        <v>0</v>
      </c>
      <c r="Z26" s="21">
        <f t="shared" si="6"/>
        <v>0</v>
      </c>
      <c r="AA26" s="229">
        <f t="shared" si="7"/>
        <v>0</v>
      </c>
    </row>
    <row r="27" spans="2:27" x14ac:dyDescent="0.45">
      <c r="B27" s="208" t="s">
        <v>179</v>
      </c>
      <c r="C27" s="36"/>
      <c r="D27" s="29"/>
      <c r="E27" s="28"/>
      <c r="F27" s="28"/>
      <c r="G27" s="28"/>
      <c r="H27" s="28"/>
      <c r="I27" s="28"/>
      <c r="J27" s="21">
        <f t="shared" si="1"/>
        <v>0</v>
      </c>
      <c r="K27" s="21">
        <f t="shared" si="2"/>
        <v>0</v>
      </c>
      <c r="L27" s="21">
        <f t="shared" si="3"/>
        <v>0</v>
      </c>
      <c r="M27" s="265">
        <f>IF(OR($E$10="",K27="",L27=""),0,K27*係数!$H$30+L27*$E$10)</f>
        <v>0</v>
      </c>
      <c r="N27" s="36"/>
      <c r="O27" s="36"/>
      <c r="P27" s="28"/>
      <c r="Q27" s="28"/>
      <c r="R27" s="28"/>
      <c r="S27" s="28"/>
      <c r="T27" s="28"/>
      <c r="U27" s="21">
        <f t="shared" si="8"/>
        <v>0</v>
      </c>
      <c r="V27" s="21">
        <f t="shared" si="4"/>
        <v>0</v>
      </c>
      <c r="W27" s="21">
        <f t="shared" si="5"/>
        <v>0</v>
      </c>
      <c r="X27" s="265">
        <f>V27*係数!$H$30+W27*係数!$H$25</f>
        <v>0</v>
      </c>
      <c r="Y27" s="21">
        <f t="shared" si="6"/>
        <v>0</v>
      </c>
      <c r="Z27" s="21">
        <f t="shared" si="6"/>
        <v>0</v>
      </c>
      <c r="AA27" s="229">
        <f t="shared" si="7"/>
        <v>0</v>
      </c>
    </row>
    <row r="28" spans="2:27" x14ac:dyDescent="0.45">
      <c r="B28" s="208" t="s">
        <v>180</v>
      </c>
      <c r="C28" s="36"/>
      <c r="D28" s="29"/>
      <c r="E28" s="28"/>
      <c r="F28" s="28"/>
      <c r="G28" s="28"/>
      <c r="H28" s="28"/>
      <c r="I28" s="28"/>
      <c r="J28" s="21">
        <f t="shared" si="1"/>
        <v>0</v>
      </c>
      <c r="K28" s="21">
        <f t="shared" si="2"/>
        <v>0</v>
      </c>
      <c r="L28" s="21">
        <f t="shared" si="3"/>
        <v>0</v>
      </c>
      <c r="M28" s="265">
        <f>IF(OR($E$10="",K28="",L28=""),0,K28*係数!$H$30+L28*$E$10)</f>
        <v>0</v>
      </c>
      <c r="N28" s="36"/>
      <c r="O28" s="36"/>
      <c r="P28" s="28"/>
      <c r="Q28" s="28"/>
      <c r="R28" s="28"/>
      <c r="S28" s="28"/>
      <c r="T28" s="28"/>
      <c r="U28" s="21">
        <f t="shared" si="8"/>
        <v>0</v>
      </c>
      <c r="V28" s="21">
        <f t="shared" si="4"/>
        <v>0</v>
      </c>
      <c r="W28" s="21">
        <f t="shared" si="5"/>
        <v>0</v>
      </c>
      <c r="X28" s="265">
        <f>V28*係数!$H$30+W28*係数!$H$25</f>
        <v>0</v>
      </c>
      <c r="Y28" s="21">
        <f t="shared" si="6"/>
        <v>0</v>
      </c>
      <c r="Z28" s="21">
        <f t="shared" si="6"/>
        <v>0</v>
      </c>
      <c r="AA28" s="229">
        <f t="shared" si="7"/>
        <v>0</v>
      </c>
    </row>
    <row r="29" spans="2:27" x14ac:dyDescent="0.45">
      <c r="B29" s="208" t="s">
        <v>181</v>
      </c>
      <c r="C29" s="36"/>
      <c r="D29" s="29"/>
      <c r="E29" s="28"/>
      <c r="F29" s="28"/>
      <c r="G29" s="28"/>
      <c r="H29" s="28"/>
      <c r="I29" s="28"/>
      <c r="J29" s="21">
        <f t="shared" si="1"/>
        <v>0</v>
      </c>
      <c r="K29" s="21">
        <f t="shared" si="2"/>
        <v>0</v>
      </c>
      <c r="L29" s="21">
        <f t="shared" si="3"/>
        <v>0</v>
      </c>
      <c r="M29" s="265">
        <f>IF(OR($E$10="",K29="",L29=""),0,K29*係数!$H$30+L29*$E$10)</f>
        <v>0</v>
      </c>
      <c r="N29" s="36"/>
      <c r="O29" s="36"/>
      <c r="P29" s="28"/>
      <c r="Q29" s="28"/>
      <c r="R29" s="28"/>
      <c r="S29" s="28"/>
      <c r="T29" s="28"/>
      <c r="U29" s="21">
        <f t="shared" si="8"/>
        <v>0</v>
      </c>
      <c r="V29" s="21">
        <f t="shared" si="4"/>
        <v>0</v>
      </c>
      <c r="W29" s="21">
        <f t="shared" si="5"/>
        <v>0</v>
      </c>
      <c r="X29" s="265">
        <f>V29*係数!$H$30+W29*係数!$H$25</f>
        <v>0</v>
      </c>
      <c r="Y29" s="21">
        <f t="shared" si="6"/>
        <v>0</v>
      </c>
      <c r="Z29" s="21">
        <f t="shared" si="6"/>
        <v>0</v>
      </c>
      <c r="AA29" s="229">
        <f t="shared" si="7"/>
        <v>0</v>
      </c>
    </row>
    <row r="30" spans="2:27" x14ac:dyDescent="0.45">
      <c r="B30" s="208" t="s">
        <v>182</v>
      </c>
      <c r="C30" s="36"/>
      <c r="D30" s="29"/>
      <c r="E30" s="28"/>
      <c r="F30" s="28"/>
      <c r="G30" s="28"/>
      <c r="H30" s="28"/>
      <c r="I30" s="28"/>
      <c r="J30" s="21">
        <f t="shared" si="1"/>
        <v>0</v>
      </c>
      <c r="K30" s="21">
        <f t="shared" si="2"/>
        <v>0</v>
      </c>
      <c r="L30" s="21">
        <f t="shared" si="3"/>
        <v>0</v>
      </c>
      <c r="M30" s="265">
        <f>IF(OR($E$10="",K30="",L30=""),0,K30*係数!$H$30+L30*$E$10)</f>
        <v>0</v>
      </c>
      <c r="N30" s="36"/>
      <c r="O30" s="36"/>
      <c r="P30" s="28"/>
      <c r="Q30" s="28"/>
      <c r="R30" s="28"/>
      <c r="S30" s="28"/>
      <c r="T30" s="28"/>
      <c r="U30" s="21">
        <f t="shared" si="8"/>
        <v>0</v>
      </c>
      <c r="V30" s="21">
        <f t="shared" si="4"/>
        <v>0</v>
      </c>
      <c r="W30" s="21">
        <f t="shared" si="5"/>
        <v>0</v>
      </c>
      <c r="X30" s="265">
        <f>V30*係数!$H$30+W30*係数!$H$25</f>
        <v>0</v>
      </c>
      <c r="Y30" s="21">
        <f t="shared" si="6"/>
        <v>0</v>
      </c>
      <c r="Z30" s="21">
        <f t="shared" si="6"/>
        <v>0</v>
      </c>
      <c r="AA30" s="229">
        <f t="shared" si="7"/>
        <v>0</v>
      </c>
    </row>
    <row r="31" spans="2:27" x14ac:dyDescent="0.45">
      <c r="B31" s="208" t="s">
        <v>183</v>
      </c>
      <c r="C31" s="36"/>
      <c r="D31" s="29"/>
      <c r="E31" s="28"/>
      <c r="F31" s="28"/>
      <c r="G31" s="28"/>
      <c r="H31" s="28"/>
      <c r="I31" s="28"/>
      <c r="J31" s="21">
        <f t="shared" si="1"/>
        <v>0</v>
      </c>
      <c r="K31" s="21">
        <f t="shared" si="2"/>
        <v>0</v>
      </c>
      <c r="L31" s="21">
        <f t="shared" si="3"/>
        <v>0</v>
      </c>
      <c r="M31" s="265">
        <f>IF(OR($E$10="",K31="",L31=""),0,K31*係数!$H$30+L31*$E$10)</f>
        <v>0</v>
      </c>
      <c r="N31" s="36"/>
      <c r="O31" s="36"/>
      <c r="P31" s="28"/>
      <c r="Q31" s="28"/>
      <c r="R31" s="28"/>
      <c r="S31" s="28"/>
      <c r="T31" s="28"/>
      <c r="U31" s="21">
        <f t="shared" si="8"/>
        <v>0</v>
      </c>
      <c r="V31" s="21">
        <f t="shared" si="4"/>
        <v>0</v>
      </c>
      <c r="W31" s="21">
        <f t="shared" si="5"/>
        <v>0</v>
      </c>
      <c r="X31" s="265">
        <f>V31*係数!$H$30+W31*係数!$H$25</f>
        <v>0</v>
      </c>
      <c r="Y31" s="21">
        <f t="shared" si="6"/>
        <v>0</v>
      </c>
      <c r="Z31" s="21">
        <f t="shared" si="6"/>
        <v>0</v>
      </c>
      <c r="AA31" s="229">
        <f t="shared" si="7"/>
        <v>0</v>
      </c>
    </row>
    <row r="32" spans="2:27" x14ac:dyDescent="0.45">
      <c r="B32" s="208" t="s">
        <v>184</v>
      </c>
      <c r="C32" s="36"/>
      <c r="D32" s="29"/>
      <c r="E32" s="28"/>
      <c r="F32" s="28"/>
      <c r="G32" s="28"/>
      <c r="H32" s="28"/>
      <c r="I32" s="28"/>
      <c r="J32" s="21">
        <f t="shared" si="1"/>
        <v>0</v>
      </c>
      <c r="K32" s="21">
        <f t="shared" si="2"/>
        <v>0</v>
      </c>
      <c r="L32" s="21">
        <f t="shared" si="3"/>
        <v>0</v>
      </c>
      <c r="M32" s="265">
        <f>IF(OR($E$10="",K32="",L32=""),0,K32*係数!$H$30+L32*$E$10)</f>
        <v>0</v>
      </c>
      <c r="N32" s="36"/>
      <c r="O32" s="36"/>
      <c r="P32" s="28"/>
      <c r="Q32" s="28"/>
      <c r="R32" s="28"/>
      <c r="S32" s="28"/>
      <c r="T32" s="28"/>
      <c r="U32" s="21">
        <f t="shared" si="8"/>
        <v>0</v>
      </c>
      <c r="V32" s="21">
        <f t="shared" si="4"/>
        <v>0</v>
      </c>
      <c r="W32" s="21">
        <f t="shared" si="5"/>
        <v>0</v>
      </c>
      <c r="X32" s="265">
        <f>V32*係数!$H$30+W32*係数!$H$25</f>
        <v>0</v>
      </c>
      <c r="Y32" s="21">
        <f t="shared" si="6"/>
        <v>0</v>
      </c>
      <c r="Z32" s="21">
        <f t="shared" si="6"/>
        <v>0</v>
      </c>
      <c r="AA32" s="229">
        <f t="shared" si="7"/>
        <v>0</v>
      </c>
    </row>
    <row r="33" spans="2:27" x14ac:dyDescent="0.45">
      <c r="B33" s="208" t="s">
        <v>185</v>
      </c>
      <c r="C33" s="36"/>
      <c r="D33" s="29"/>
      <c r="E33" s="28"/>
      <c r="F33" s="28"/>
      <c r="G33" s="28"/>
      <c r="H33" s="28"/>
      <c r="I33" s="28"/>
      <c r="J33" s="21">
        <f t="shared" si="1"/>
        <v>0</v>
      </c>
      <c r="K33" s="21">
        <f t="shared" si="2"/>
        <v>0</v>
      </c>
      <c r="L33" s="21">
        <f t="shared" si="3"/>
        <v>0</v>
      </c>
      <c r="M33" s="265">
        <f>IF(OR($E$10="",K33="",L33=""),0,K33*係数!$H$30+L33*$E$10)</f>
        <v>0</v>
      </c>
      <c r="N33" s="36"/>
      <c r="O33" s="36"/>
      <c r="P33" s="28"/>
      <c r="Q33" s="28"/>
      <c r="R33" s="28"/>
      <c r="S33" s="28"/>
      <c r="T33" s="28"/>
      <c r="U33" s="21">
        <f t="shared" si="8"/>
        <v>0</v>
      </c>
      <c r="V33" s="21">
        <f t="shared" si="4"/>
        <v>0</v>
      </c>
      <c r="W33" s="21">
        <f t="shared" si="5"/>
        <v>0</v>
      </c>
      <c r="X33" s="265">
        <f>V33*係数!$H$30+W33*係数!$H$25</f>
        <v>0</v>
      </c>
      <c r="Y33" s="21">
        <f t="shared" si="6"/>
        <v>0</v>
      </c>
      <c r="Z33" s="21">
        <f t="shared" si="6"/>
        <v>0</v>
      </c>
      <c r="AA33" s="229">
        <f t="shared" si="7"/>
        <v>0</v>
      </c>
    </row>
    <row r="34" spans="2:27" x14ac:dyDescent="0.45">
      <c r="B34" s="208" t="s">
        <v>186</v>
      </c>
      <c r="C34" s="36"/>
      <c r="D34" s="29"/>
      <c r="E34" s="28"/>
      <c r="F34" s="28"/>
      <c r="G34" s="28"/>
      <c r="H34" s="28"/>
      <c r="I34" s="28"/>
      <c r="J34" s="21">
        <f t="shared" si="1"/>
        <v>0</v>
      </c>
      <c r="K34" s="21">
        <f t="shared" si="2"/>
        <v>0</v>
      </c>
      <c r="L34" s="21">
        <f t="shared" si="3"/>
        <v>0</v>
      </c>
      <c r="M34" s="265">
        <f>IF(OR($E$10="",K34="",L34=""),0,K34*係数!$H$30+L34*$E$10)</f>
        <v>0</v>
      </c>
      <c r="N34" s="36"/>
      <c r="O34" s="36"/>
      <c r="P34" s="28"/>
      <c r="Q34" s="28"/>
      <c r="R34" s="28"/>
      <c r="S34" s="28"/>
      <c r="T34" s="28"/>
      <c r="U34" s="21">
        <f t="shared" si="8"/>
        <v>0</v>
      </c>
      <c r="V34" s="21">
        <f t="shared" si="4"/>
        <v>0</v>
      </c>
      <c r="W34" s="21">
        <f t="shared" si="5"/>
        <v>0</v>
      </c>
      <c r="X34" s="265">
        <f>V34*係数!$H$30+W34*係数!$H$25</f>
        <v>0</v>
      </c>
      <c r="Y34" s="21">
        <f t="shared" si="6"/>
        <v>0</v>
      </c>
      <c r="Z34" s="21">
        <f t="shared" si="6"/>
        <v>0</v>
      </c>
      <c r="AA34" s="229">
        <f t="shared" si="7"/>
        <v>0</v>
      </c>
    </row>
    <row r="35" spans="2:27" x14ac:dyDescent="0.45">
      <c r="B35" s="208" t="s">
        <v>187</v>
      </c>
      <c r="C35" s="36"/>
      <c r="D35" s="29"/>
      <c r="E35" s="28"/>
      <c r="F35" s="28"/>
      <c r="G35" s="28"/>
      <c r="H35" s="28"/>
      <c r="I35" s="28"/>
      <c r="J35" s="21">
        <f t="shared" si="1"/>
        <v>0</v>
      </c>
      <c r="K35" s="21">
        <f t="shared" si="2"/>
        <v>0</v>
      </c>
      <c r="L35" s="21">
        <f t="shared" si="3"/>
        <v>0</v>
      </c>
      <c r="M35" s="265">
        <f>IF(OR($E$10="",K35="",L35=""),0,K35*係数!$H$30+L35*$E$10)</f>
        <v>0</v>
      </c>
      <c r="N35" s="36"/>
      <c r="O35" s="36"/>
      <c r="P35" s="28"/>
      <c r="Q35" s="28"/>
      <c r="R35" s="28"/>
      <c r="S35" s="28"/>
      <c r="T35" s="28"/>
      <c r="U35" s="21">
        <f t="shared" si="8"/>
        <v>0</v>
      </c>
      <c r="V35" s="21">
        <f t="shared" si="4"/>
        <v>0</v>
      </c>
      <c r="W35" s="21">
        <f t="shared" si="5"/>
        <v>0</v>
      </c>
      <c r="X35" s="265">
        <f>V35*係数!$H$30+W35*係数!$H$25</f>
        <v>0</v>
      </c>
      <c r="Y35" s="21">
        <f t="shared" si="6"/>
        <v>0</v>
      </c>
      <c r="Z35" s="21">
        <f t="shared" si="6"/>
        <v>0</v>
      </c>
      <c r="AA35" s="229">
        <f t="shared" si="7"/>
        <v>0</v>
      </c>
    </row>
    <row r="36" spans="2:27" x14ac:dyDescent="0.45">
      <c r="B36" s="208" t="s">
        <v>188</v>
      </c>
      <c r="C36" s="36"/>
      <c r="D36" s="36"/>
      <c r="E36" s="28"/>
      <c r="F36" s="28"/>
      <c r="G36" s="28"/>
      <c r="H36" s="28"/>
      <c r="I36" s="28"/>
      <c r="J36" s="21">
        <f t="shared" si="1"/>
        <v>0</v>
      </c>
      <c r="K36" s="21">
        <f t="shared" si="2"/>
        <v>0</v>
      </c>
      <c r="L36" s="21">
        <f t="shared" si="3"/>
        <v>0</v>
      </c>
      <c r="M36" s="265">
        <f>IF(OR($E$10="",K36="",L36=""),0,K36*係数!$H$30+L36*$E$10)</f>
        <v>0</v>
      </c>
      <c r="N36" s="36"/>
      <c r="O36" s="36"/>
      <c r="P36" s="28"/>
      <c r="Q36" s="28"/>
      <c r="R36" s="28"/>
      <c r="S36" s="28"/>
      <c r="T36" s="28"/>
      <c r="U36" s="21">
        <f t="shared" si="8"/>
        <v>0</v>
      </c>
      <c r="V36" s="21">
        <f t="shared" si="4"/>
        <v>0</v>
      </c>
      <c r="W36" s="21">
        <f t="shared" si="5"/>
        <v>0</v>
      </c>
      <c r="X36" s="265">
        <f>V36*係数!$H$30+W36*係数!$H$25</f>
        <v>0</v>
      </c>
      <c r="Y36" s="21">
        <f t="shared" si="6"/>
        <v>0</v>
      </c>
      <c r="Z36" s="21">
        <f t="shared" si="6"/>
        <v>0</v>
      </c>
      <c r="AA36" s="229">
        <f t="shared" si="7"/>
        <v>0</v>
      </c>
    </row>
    <row r="37" spans="2:27" x14ac:dyDescent="0.45">
      <c r="B37" s="208" t="s">
        <v>189</v>
      </c>
      <c r="C37" s="36"/>
      <c r="D37" s="36"/>
      <c r="E37" s="28"/>
      <c r="F37" s="28"/>
      <c r="G37" s="28"/>
      <c r="H37" s="28"/>
      <c r="I37" s="28"/>
      <c r="J37" s="21">
        <f t="shared" si="1"/>
        <v>0</v>
      </c>
      <c r="K37" s="21">
        <f t="shared" si="2"/>
        <v>0</v>
      </c>
      <c r="L37" s="21">
        <f t="shared" si="3"/>
        <v>0</v>
      </c>
      <c r="M37" s="265">
        <f>IF(OR($E$10="",K37="",L37=""),0,K37*係数!$H$30+L37*$E$10)</f>
        <v>0</v>
      </c>
      <c r="N37" s="36"/>
      <c r="O37" s="36"/>
      <c r="P37" s="28"/>
      <c r="Q37" s="28"/>
      <c r="R37" s="28"/>
      <c r="S37" s="28"/>
      <c r="T37" s="28"/>
      <c r="U37" s="21">
        <f t="shared" si="8"/>
        <v>0</v>
      </c>
      <c r="V37" s="21">
        <f t="shared" si="4"/>
        <v>0</v>
      </c>
      <c r="W37" s="21">
        <f t="shared" si="5"/>
        <v>0</v>
      </c>
      <c r="X37" s="265">
        <f>V37*係数!$H$30+W37*係数!$H$25</f>
        <v>0</v>
      </c>
      <c r="Y37" s="21">
        <f t="shared" si="6"/>
        <v>0</v>
      </c>
      <c r="Z37" s="21">
        <f t="shared" si="6"/>
        <v>0</v>
      </c>
      <c r="AA37" s="229">
        <f t="shared" si="7"/>
        <v>0</v>
      </c>
    </row>
    <row r="38" spans="2:27" x14ac:dyDescent="0.45">
      <c r="B38" s="208" t="s">
        <v>190</v>
      </c>
      <c r="C38" s="36"/>
      <c r="D38" s="36"/>
      <c r="E38" s="28"/>
      <c r="F38" s="28"/>
      <c r="G38" s="28"/>
      <c r="H38" s="28"/>
      <c r="I38" s="28"/>
      <c r="J38" s="21">
        <f t="shared" si="1"/>
        <v>0</v>
      </c>
      <c r="K38" s="21">
        <f t="shared" si="2"/>
        <v>0</v>
      </c>
      <c r="L38" s="21">
        <f t="shared" si="3"/>
        <v>0</v>
      </c>
      <c r="M38" s="265">
        <f>IF(OR($E$10="",K38="",L38=""),0,K38*係数!$H$30+L38*$E$10)</f>
        <v>0</v>
      </c>
      <c r="N38" s="36"/>
      <c r="O38" s="36"/>
      <c r="P38" s="28"/>
      <c r="Q38" s="28"/>
      <c r="R38" s="28"/>
      <c r="S38" s="28"/>
      <c r="T38" s="28"/>
      <c r="U38" s="21">
        <f t="shared" si="8"/>
        <v>0</v>
      </c>
      <c r="V38" s="21">
        <f t="shared" si="4"/>
        <v>0</v>
      </c>
      <c r="W38" s="21">
        <f t="shared" si="5"/>
        <v>0</v>
      </c>
      <c r="X38" s="265">
        <f>V38*係数!$H$30+W38*係数!$H$25</f>
        <v>0</v>
      </c>
      <c r="Y38" s="21">
        <f t="shared" si="6"/>
        <v>0</v>
      </c>
      <c r="Z38" s="21">
        <f t="shared" si="6"/>
        <v>0</v>
      </c>
      <c r="AA38" s="229">
        <f t="shared" si="7"/>
        <v>0</v>
      </c>
    </row>
    <row r="39" spans="2:27" x14ac:dyDescent="0.45">
      <c r="B39" s="208" t="s">
        <v>191</v>
      </c>
      <c r="C39" s="36"/>
      <c r="D39" s="36"/>
      <c r="E39" s="28"/>
      <c r="F39" s="28"/>
      <c r="G39" s="28"/>
      <c r="H39" s="28"/>
      <c r="I39" s="28"/>
      <c r="J39" s="21">
        <f t="shared" si="1"/>
        <v>0</v>
      </c>
      <c r="K39" s="21">
        <f t="shared" si="2"/>
        <v>0</v>
      </c>
      <c r="L39" s="21">
        <f t="shared" si="3"/>
        <v>0</v>
      </c>
      <c r="M39" s="265">
        <f>IF(OR($E$10="",K39="",L39=""),0,K39*係数!$H$30+L39*$E$10)</f>
        <v>0</v>
      </c>
      <c r="N39" s="36"/>
      <c r="O39" s="36"/>
      <c r="P39" s="28"/>
      <c r="Q39" s="28"/>
      <c r="R39" s="28"/>
      <c r="S39" s="28"/>
      <c r="T39" s="28"/>
      <c r="U39" s="21">
        <f t="shared" si="8"/>
        <v>0</v>
      </c>
      <c r="V39" s="21">
        <f t="shared" si="4"/>
        <v>0</v>
      </c>
      <c r="W39" s="21">
        <f t="shared" si="5"/>
        <v>0</v>
      </c>
      <c r="X39" s="265">
        <f>V39*係数!$H$30+W39*係数!$H$25</f>
        <v>0</v>
      </c>
      <c r="Y39" s="21">
        <f t="shared" si="6"/>
        <v>0</v>
      </c>
      <c r="Z39" s="21">
        <f t="shared" si="6"/>
        <v>0</v>
      </c>
      <c r="AA39" s="229">
        <f t="shared" si="7"/>
        <v>0</v>
      </c>
    </row>
    <row r="40" spans="2:27" x14ac:dyDescent="0.45">
      <c r="B40" s="208" t="s">
        <v>192</v>
      </c>
      <c r="C40" s="36"/>
      <c r="D40" s="36"/>
      <c r="E40" s="28"/>
      <c r="F40" s="28"/>
      <c r="G40" s="28"/>
      <c r="H40" s="28"/>
      <c r="I40" s="28"/>
      <c r="J40" s="21">
        <f t="shared" si="1"/>
        <v>0</v>
      </c>
      <c r="K40" s="21">
        <f t="shared" si="2"/>
        <v>0</v>
      </c>
      <c r="L40" s="21">
        <f t="shared" si="3"/>
        <v>0</v>
      </c>
      <c r="M40" s="265">
        <f>IF(OR($E$10="",K40="",L40=""),0,K40*係数!$H$30+L40*$E$10)</f>
        <v>0</v>
      </c>
      <c r="N40" s="36"/>
      <c r="O40" s="36"/>
      <c r="P40" s="28"/>
      <c r="Q40" s="28"/>
      <c r="R40" s="28"/>
      <c r="S40" s="28"/>
      <c r="T40" s="28"/>
      <c r="U40" s="21">
        <f t="shared" si="8"/>
        <v>0</v>
      </c>
      <c r="V40" s="21">
        <f t="shared" si="4"/>
        <v>0</v>
      </c>
      <c r="W40" s="21">
        <f t="shared" si="5"/>
        <v>0</v>
      </c>
      <c r="X40" s="265">
        <f>V40*係数!$H$30+W40*係数!$H$25</f>
        <v>0</v>
      </c>
      <c r="Y40" s="21">
        <f t="shared" si="6"/>
        <v>0</v>
      </c>
      <c r="Z40" s="21">
        <f t="shared" si="6"/>
        <v>0</v>
      </c>
      <c r="AA40" s="229">
        <f t="shared" si="7"/>
        <v>0</v>
      </c>
    </row>
  </sheetData>
  <sheetProtection algorithmName="SHA-512" hashValue="1rj0WGui2lBfkzztL3ijEpRB1lKSMNMntyaG/BBZzu0xMYc10nUFbtrHzw8oglJhgcOqkuinZHJokIfQOWoFeA==" saltValue="Y9usTrASM5+63ss4o7WPHA==" spinCount="100000" sheet="1" formatCells="0" formatColumns="0" formatRows="0"/>
  <mergeCells count="8">
    <mergeCell ref="M3:U3"/>
    <mergeCell ref="M4:U4"/>
    <mergeCell ref="D8:E8"/>
    <mergeCell ref="D3:E3"/>
    <mergeCell ref="D4:E4"/>
    <mergeCell ref="D5:E5"/>
    <mergeCell ref="D6:E6"/>
    <mergeCell ref="D7:E7"/>
  </mergeCells>
  <phoneticPr fontId="5"/>
  <conditionalFormatting sqref="G4:J7 C21:C40 P21:AA40 E21:N40">
    <cfRule type="expression" dxfId="51" priority="10">
      <formula>$D$1="なし"</formula>
    </cfRule>
  </conditionalFormatting>
  <conditionalFormatting sqref="J8">
    <cfRule type="expression" dxfId="50" priority="9">
      <formula>$E$1="なし"</formula>
    </cfRule>
  </conditionalFormatting>
  <conditionalFormatting sqref="G8">
    <cfRule type="expression" dxfId="49" priority="8">
      <formula>$E$1="なし"</formula>
    </cfRule>
  </conditionalFormatting>
  <conditionalFormatting sqref="H8">
    <cfRule type="expression" dxfId="48" priority="7">
      <formula>$E$1="なし"</formula>
    </cfRule>
  </conditionalFormatting>
  <conditionalFormatting sqref="D36:D40">
    <cfRule type="expression" dxfId="47" priority="6">
      <formula>$D$1="なし"</formula>
    </cfRule>
  </conditionalFormatting>
  <conditionalFormatting sqref="D21:D35">
    <cfRule type="expression" dxfId="46" priority="5">
      <formula>$D$1="なし"</formula>
    </cfRule>
  </conditionalFormatting>
  <conditionalFormatting sqref="O24:O40">
    <cfRule type="expression" dxfId="45" priority="4">
      <formula>$D$1="なし"</formula>
    </cfRule>
  </conditionalFormatting>
  <conditionalFormatting sqref="O21:O23">
    <cfRule type="expression" dxfId="44" priority="3">
      <formula>$D$1="なし"</formula>
    </cfRule>
  </conditionalFormatting>
  <conditionalFormatting sqref="R19">
    <cfRule type="expression" dxfId="43" priority="2">
      <formula>$D$1="なし"</formula>
    </cfRule>
  </conditionalFormatting>
  <conditionalFormatting sqref="D10">
    <cfRule type="expression" dxfId="42" priority="1">
      <formula>$D$1="なし"</formula>
    </cfRule>
  </conditionalFormatting>
  <dataValidations count="1">
    <dataValidation type="whole" allowBlank="1" showInputMessage="1" showErrorMessage="1" sqref="R21:R40 R19" xr:uid="{00000000-0002-0000-0900-000000000000}">
      <formula1>0</formula1>
      <formula2>G19</formula2>
    </dataValidation>
  </dataValidations>
  <pageMargins left="0.7" right="0.7" top="0.75" bottom="0.75" header="0.3" footer="0.3"/>
  <pageSetup paperSize="8" scale="6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係数!$B$3:$B$30</xm:f>
          </x14:formula1>
          <xm:sqref>D10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3"/>
  <sheetViews>
    <sheetView topLeftCell="B1" zoomScaleNormal="100" workbookViewId="0">
      <selection activeCell="F8" sqref="F8"/>
    </sheetView>
  </sheetViews>
  <sheetFormatPr defaultColWidth="8.69921875" defaultRowHeight="18" x14ac:dyDescent="0.45"/>
  <cols>
    <col min="1" max="1" width="4.69921875" style="102" customWidth="1"/>
    <col min="2" max="2" width="7.59765625" style="103" customWidth="1"/>
    <col min="3" max="3" width="3.19921875" style="103" customWidth="1"/>
    <col min="4" max="4" width="47.796875" style="102" customWidth="1"/>
    <col min="5" max="5" width="6.796875" style="102" customWidth="1"/>
    <col min="6" max="6" width="7.69921875" style="103" customWidth="1"/>
    <col min="7" max="7" width="1.69921875" style="102" customWidth="1"/>
    <col min="8" max="16384" width="8.69921875" style="102"/>
  </cols>
  <sheetData>
    <row r="1" spans="1:6" ht="13.5" customHeight="1" x14ac:dyDescent="0.45">
      <c r="A1" s="685"/>
      <c r="B1" s="685"/>
      <c r="C1" s="686"/>
      <c r="D1" s="686"/>
      <c r="E1" s="686"/>
      <c r="F1" s="686"/>
    </row>
    <row r="2" spans="1:6" ht="26.4" x14ac:dyDescent="0.45">
      <c r="A2" s="117" t="s">
        <v>345</v>
      </c>
    </row>
    <row r="3" spans="1:6" x14ac:dyDescent="0.45">
      <c r="A3" s="102" t="s">
        <v>346</v>
      </c>
      <c r="B3" s="102"/>
      <c r="C3" s="102"/>
      <c r="F3" s="115"/>
    </row>
    <row r="4" spans="1:6" ht="24" customHeight="1" x14ac:dyDescent="0.45">
      <c r="A4" s="114" t="s">
        <v>358</v>
      </c>
      <c r="D4" s="173"/>
    </row>
    <row r="5" spans="1:6" x14ac:dyDescent="0.45">
      <c r="A5" s="113" t="s">
        <v>327</v>
      </c>
      <c r="C5" s="112"/>
    </row>
    <row r="6" spans="1:6" ht="12" customHeight="1" x14ac:dyDescent="0.45"/>
    <row r="7" spans="1:6" ht="33.75" customHeight="1" x14ac:dyDescent="0.45">
      <c r="A7" s="111" t="s">
        <v>326</v>
      </c>
      <c r="B7" s="111" t="s">
        <v>325</v>
      </c>
      <c r="C7" s="111" t="s">
        <v>324</v>
      </c>
      <c r="D7" s="120" t="s">
        <v>323</v>
      </c>
      <c r="E7" s="110" t="s">
        <v>348</v>
      </c>
      <c r="F7" s="110" t="s">
        <v>322</v>
      </c>
    </row>
    <row r="8" spans="1:6" ht="33.75" customHeight="1" x14ac:dyDescent="0.45">
      <c r="A8" s="687" t="s">
        <v>321</v>
      </c>
      <c r="B8" s="121"/>
      <c r="C8" s="122">
        <v>1</v>
      </c>
      <c r="D8" s="123" t="s">
        <v>320</v>
      </c>
      <c r="E8" s="124"/>
      <c r="F8" s="413"/>
    </row>
    <row r="9" spans="1:6" ht="33.75" customHeight="1" x14ac:dyDescent="0.45">
      <c r="A9" s="688"/>
      <c r="B9" s="121"/>
      <c r="C9" s="122">
        <v>2</v>
      </c>
      <c r="D9" s="123" t="s">
        <v>319</v>
      </c>
      <c r="E9" s="124"/>
      <c r="F9" s="413"/>
    </row>
    <row r="10" spans="1:6" ht="33.75" customHeight="1" x14ac:dyDescent="0.45">
      <c r="A10" s="688"/>
      <c r="B10" s="121"/>
      <c r="C10" s="122">
        <v>3</v>
      </c>
      <c r="D10" s="123" t="s">
        <v>318</v>
      </c>
      <c r="E10" s="124"/>
      <c r="F10" s="413"/>
    </row>
    <row r="11" spans="1:6" ht="33.75" customHeight="1" x14ac:dyDescent="0.45">
      <c r="A11" s="688"/>
      <c r="B11" s="121"/>
      <c r="C11" s="122">
        <v>4</v>
      </c>
      <c r="D11" s="123" t="s">
        <v>329</v>
      </c>
      <c r="E11" s="124"/>
      <c r="F11" s="413"/>
    </row>
    <row r="12" spans="1:6" ht="33.75" customHeight="1" x14ac:dyDescent="0.45">
      <c r="A12" s="688"/>
      <c r="B12" s="121"/>
      <c r="C12" s="122">
        <v>5</v>
      </c>
      <c r="D12" s="123" t="s">
        <v>342</v>
      </c>
      <c r="E12" s="124"/>
      <c r="F12" s="413"/>
    </row>
    <row r="13" spans="1:6" ht="33.75" customHeight="1" x14ac:dyDescent="0.45">
      <c r="A13" s="688"/>
      <c r="B13" s="121"/>
      <c r="C13" s="122">
        <v>6</v>
      </c>
      <c r="D13" s="123" t="s">
        <v>343</v>
      </c>
      <c r="E13" s="124"/>
      <c r="F13" s="413"/>
    </row>
    <row r="14" spans="1:6" ht="33.75" customHeight="1" x14ac:dyDescent="0.45">
      <c r="A14" s="688"/>
      <c r="B14" s="121"/>
      <c r="C14" s="122">
        <v>7</v>
      </c>
      <c r="D14" s="123" t="s">
        <v>316</v>
      </c>
      <c r="E14" s="124"/>
      <c r="F14" s="413"/>
    </row>
    <row r="15" spans="1:6" ht="33.75" customHeight="1" x14ac:dyDescent="0.45">
      <c r="A15" s="688"/>
      <c r="B15" s="121"/>
      <c r="C15" s="122">
        <v>8</v>
      </c>
      <c r="D15" s="123" t="s">
        <v>315</v>
      </c>
      <c r="E15" s="124"/>
      <c r="F15" s="413"/>
    </row>
    <row r="16" spans="1:6" ht="33.75" customHeight="1" x14ac:dyDescent="0.45">
      <c r="A16" s="688"/>
      <c r="B16" s="121"/>
      <c r="C16" s="122">
        <v>9</v>
      </c>
      <c r="D16" s="123" t="s">
        <v>338</v>
      </c>
      <c r="E16" s="124"/>
      <c r="F16" s="413"/>
    </row>
    <row r="17" spans="1:8" ht="33.75" customHeight="1" x14ac:dyDescent="0.45">
      <c r="A17" s="689"/>
      <c r="B17" s="121"/>
      <c r="C17" s="122">
        <v>10</v>
      </c>
      <c r="D17" s="123" t="s">
        <v>314</v>
      </c>
      <c r="E17" s="124"/>
      <c r="F17" s="413"/>
    </row>
    <row r="18" spans="1:8" ht="40.049999999999997" customHeight="1" x14ac:dyDescent="0.45">
      <c r="A18" s="690" t="s">
        <v>305</v>
      </c>
      <c r="B18" s="125"/>
      <c r="C18" s="122">
        <v>11</v>
      </c>
      <c r="D18" s="123" t="s">
        <v>313</v>
      </c>
      <c r="E18" s="126"/>
      <c r="F18" s="413"/>
    </row>
    <row r="19" spans="1:8" ht="40.049999999999997" customHeight="1" x14ac:dyDescent="0.45">
      <c r="A19" s="691"/>
      <c r="B19" s="125"/>
      <c r="C19" s="122">
        <v>12</v>
      </c>
      <c r="D19" s="123" t="s">
        <v>312</v>
      </c>
      <c r="E19" s="125"/>
      <c r="F19" s="413"/>
    </row>
    <row r="20" spans="1:8" ht="40.049999999999997" customHeight="1" x14ac:dyDescent="0.45">
      <c r="A20" s="691"/>
      <c r="B20" s="125"/>
      <c r="C20" s="122">
        <v>13</v>
      </c>
      <c r="D20" s="123" t="s">
        <v>311</v>
      </c>
      <c r="E20" s="125" t="s">
        <v>277</v>
      </c>
      <c r="F20" s="413"/>
      <c r="H20" s="184" t="s">
        <v>471</v>
      </c>
    </row>
    <row r="21" spans="1:8" ht="38.25" customHeight="1" x14ac:dyDescent="0.45">
      <c r="A21" s="691"/>
      <c r="B21" s="125"/>
      <c r="C21" s="122">
        <v>14</v>
      </c>
      <c r="D21" s="123" t="s">
        <v>310</v>
      </c>
      <c r="E21" s="125" t="s">
        <v>277</v>
      </c>
      <c r="F21" s="413"/>
      <c r="H21" s="184" t="s">
        <v>471</v>
      </c>
    </row>
    <row r="22" spans="1:8" ht="39.75" customHeight="1" x14ac:dyDescent="0.45">
      <c r="A22" s="691"/>
      <c r="B22" s="125"/>
      <c r="C22" s="122">
        <v>15</v>
      </c>
      <c r="D22" s="123" t="s">
        <v>309</v>
      </c>
      <c r="E22" s="125" t="s">
        <v>277</v>
      </c>
      <c r="F22" s="413"/>
      <c r="H22" s="184" t="s">
        <v>471</v>
      </c>
    </row>
    <row r="23" spans="1:8" ht="40.049999999999997" customHeight="1" thickBot="1" x14ac:dyDescent="0.5">
      <c r="A23" s="691"/>
      <c r="B23" s="127"/>
      <c r="C23" s="128">
        <v>16</v>
      </c>
      <c r="D23" s="129" t="s">
        <v>308</v>
      </c>
      <c r="E23" s="127" t="s">
        <v>277</v>
      </c>
      <c r="F23" s="413"/>
      <c r="H23" s="184" t="s">
        <v>471</v>
      </c>
    </row>
    <row r="24" spans="1:8" ht="40.049999999999997" customHeight="1" thickBot="1" x14ac:dyDescent="0.5">
      <c r="A24" s="691"/>
      <c r="B24" s="130" t="s">
        <v>287</v>
      </c>
      <c r="C24" s="131">
        <v>17</v>
      </c>
      <c r="D24" s="132" t="s">
        <v>307</v>
      </c>
      <c r="E24" s="133"/>
      <c r="F24" s="413"/>
    </row>
    <row r="25" spans="1:8" ht="40.049999999999997" customHeight="1" x14ac:dyDescent="0.45">
      <c r="A25" s="682"/>
      <c r="B25" s="134"/>
      <c r="C25" s="135">
        <v>18</v>
      </c>
      <c r="D25" s="136" t="s">
        <v>306</v>
      </c>
      <c r="E25" s="134" t="s">
        <v>277</v>
      </c>
      <c r="F25" s="413"/>
      <c r="H25" s="184" t="s">
        <v>471</v>
      </c>
    </row>
    <row r="26" spans="1:8" ht="43.05" customHeight="1" x14ac:dyDescent="0.45">
      <c r="A26" s="687" t="s">
        <v>305</v>
      </c>
      <c r="B26" s="125"/>
      <c r="C26" s="122">
        <v>19</v>
      </c>
      <c r="D26" s="123" t="s">
        <v>304</v>
      </c>
      <c r="E26" s="126"/>
      <c r="F26" s="413"/>
    </row>
    <row r="27" spans="1:8" ht="43.05" customHeight="1" x14ac:dyDescent="0.45">
      <c r="A27" s="692"/>
      <c r="B27" s="125"/>
      <c r="C27" s="122">
        <v>20</v>
      </c>
      <c r="D27" s="123" t="s">
        <v>303</v>
      </c>
      <c r="E27" s="125" t="s">
        <v>277</v>
      </c>
      <c r="F27" s="413"/>
      <c r="H27" s="184" t="s">
        <v>471</v>
      </c>
    </row>
    <row r="28" spans="1:8" ht="45" customHeight="1" x14ac:dyDescent="0.45">
      <c r="A28" s="692"/>
      <c r="B28" s="125"/>
      <c r="C28" s="122">
        <v>21</v>
      </c>
      <c r="D28" s="123" t="s">
        <v>302</v>
      </c>
      <c r="E28" s="125" t="s">
        <v>277</v>
      </c>
      <c r="F28" s="413"/>
      <c r="H28" s="184" t="s">
        <v>471</v>
      </c>
    </row>
    <row r="29" spans="1:8" ht="45" customHeight="1" thickBot="1" x14ac:dyDescent="0.5">
      <c r="A29" s="692"/>
      <c r="B29" s="127"/>
      <c r="C29" s="128">
        <v>22</v>
      </c>
      <c r="D29" s="129" t="s">
        <v>301</v>
      </c>
      <c r="E29" s="127" t="s">
        <v>277</v>
      </c>
      <c r="F29" s="413"/>
      <c r="H29" s="184" t="s">
        <v>471</v>
      </c>
    </row>
    <row r="30" spans="1:8" ht="45" customHeight="1" thickTop="1" thickBot="1" x14ac:dyDescent="0.5">
      <c r="A30" s="692"/>
      <c r="B30" s="137" t="s">
        <v>347</v>
      </c>
      <c r="C30" s="138">
        <v>23</v>
      </c>
      <c r="D30" s="139" t="s">
        <v>300</v>
      </c>
      <c r="E30" s="140"/>
      <c r="F30" s="413"/>
    </row>
    <row r="31" spans="1:8" ht="45" customHeight="1" thickTop="1" x14ac:dyDescent="0.45">
      <c r="A31" s="692"/>
      <c r="B31" s="134"/>
      <c r="C31" s="135">
        <v>24</v>
      </c>
      <c r="D31" s="136" t="s">
        <v>299</v>
      </c>
      <c r="E31" s="141"/>
      <c r="F31" s="413"/>
    </row>
    <row r="32" spans="1:8" ht="45" customHeight="1" x14ac:dyDescent="0.45">
      <c r="A32" s="692"/>
      <c r="B32" s="142"/>
      <c r="C32" s="122">
        <v>25</v>
      </c>
      <c r="D32" s="123" t="s">
        <v>298</v>
      </c>
      <c r="E32" s="126"/>
      <c r="F32" s="413"/>
    </row>
    <row r="33" spans="1:8" ht="43.05" customHeight="1" x14ac:dyDescent="0.45">
      <c r="A33" s="692"/>
      <c r="B33" s="143"/>
      <c r="C33" s="122">
        <v>26</v>
      </c>
      <c r="D33" s="123" t="s">
        <v>297</v>
      </c>
      <c r="E33" s="126"/>
      <c r="F33" s="413"/>
    </row>
    <row r="34" spans="1:8" ht="43.05" customHeight="1" x14ac:dyDescent="0.45">
      <c r="A34" s="692"/>
      <c r="B34" s="143"/>
      <c r="C34" s="122">
        <v>27</v>
      </c>
      <c r="D34" s="123" t="s">
        <v>296</v>
      </c>
      <c r="E34" s="126"/>
      <c r="F34" s="413"/>
    </row>
    <row r="35" spans="1:8" ht="45" customHeight="1" thickBot="1" x14ac:dyDescent="0.5">
      <c r="A35" s="693"/>
      <c r="B35" s="144"/>
      <c r="C35" s="128">
        <v>28</v>
      </c>
      <c r="D35" s="129" t="s">
        <v>295</v>
      </c>
      <c r="E35" s="145"/>
      <c r="F35" s="413"/>
    </row>
    <row r="36" spans="1:8" ht="45" customHeight="1" thickBot="1" x14ac:dyDescent="0.5">
      <c r="A36" s="694" t="s">
        <v>294</v>
      </c>
      <c r="B36" s="130" t="s">
        <v>287</v>
      </c>
      <c r="C36" s="131">
        <v>29</v>
      </c>
      <c r="D36" s="132" t="s">
        <v>293</v>
      </c>
      <c r="E36" s="133"/>
      <c r="F36" s="413"/>
    </row>
    <row r="37" spans="1:8" ht="43.05" customHeight="1" thickBot="1" x14ac:dyDescent="0.5">
      <c r="A37" s="683"/>
      <c r="B37" s="146"/>
      <c r="C37" s="147">
        <v>30</v>
      </c>
      <c r="D37" s="148" t="s">
        <v>292</v>
      </c>
      <c r="E37" s="149"/>
      <c r="F37" s="413"/>
    </row>
    <row r="38" spans="1:8" ht="45" customHeight="1" thickTop="1" thickBot="1" x14ac:dyDescent="0.5">
      <c r="A38" s="683"/>
      <c r="B38" s="150" t="s">
        <v>347</v>
      </c>
      <c r="C38" s="151">
        <v>31</v>
      </c>
      <c r="D38" s="152" t="s">
        <v>291</v>
      </c>
      <c r="E38" s="140" t="s">
        <v>277</v>
      </c>
      <c r="F38" s="413"/>
      <c r="H38" s="184" t="s">
        <v>471</v>
      </c>
    </row>
    <row r="39" spans="1:8" ht="45" customHeight="1" thickTop="1" x14ac:dyDescent="0.45">
      <c r="A39" s="683"/>
      <c r="B39" s="134"/>
      <c r="C39" s="135">
        <v>32</v>
      </c>
      <c r="D39" s="136" t="s">
        <v>290</v>
      </c>
      <c r="E39" s="134" t="s">
        <v>277</v>
      </c>
      <c r="F39" s="413"/>
      <c r="H39" s="184" t="s">
        <v>471</v>
      </c>
    </row>
    <row r="40" spans="1:8" ht="43.05" customHeight="1" x14ac:dyDescent="0.45">
      <c r="A40" s="683"/>
      <c r="B40" s="125"/>
      <c r="C40" s="122">
        <v>33</v>
      </c>
      <c r="D40" s="123" t="s">
        <v>289</v>
      </c>
      <c r="E40" s="126"/>
      <c r="F40" s="413"/>
    </row>
    <row r="41" spans="1:8" ht="35.1" customHeight="1" thickBot="1" x14ac:dyDescent="0.5">
      <c r="A41" s="682" t="s">
        <v>288</v>
      </c>
      <c r="B41" s="153" t="s">
        <v>287</v>
      </c>
      <c r="C41" s="154">
        <v>34</v>
      </c>
      <c r="D41" s="155" t="s">
        <v>286</v>
      </c>
      <c r="E41" s="156"/>
      <c r="F41" s="413"/>
    </row>
    <row r="42" spans="1:8" ht="35.1" customHeight="1" x14ac:dyDescent="0.45">
      <c r="A42" s="683"/>
      <c r="B42" s="134"/>
      <c r="C42" s="135">
        <v>35</v>
      </c>
      <c r="D42" s="136" t="s">
        <v>285</v>
      </c>
      <c r="E42" s="141"/>
      <c r="F42" s="413"/>
    </row>
    <row r="43" spans="1:8" ht="35.1" customHeight="1" x14ac:dyDescent="0.45">
      <c r="A43" s="683"/>
      <c r="B43" s="125"/>
      <c r="C43" s="122">
        <v>36</v>
      </c>
      <c r="D43" s="123" t="s">
        <v>284</v>
      </c>
      <c r="E43" s="126"/>
      <c r="F43" s="413"/>
    </row>
    <row r="44" spans="1:8" ht="35.1" customHeight="1" x14ac:dyDescent="0.45">
      <c r="A44" s="683"/>
      <c r="B44" s="125"/>
      <c r="C44" s="122">
        <v>37</v>
      </c>
      <c r="D44" s="123" t="s">
        <v>283</v>
      </c>
      <c r="E44" s="126"/>
      <c r="F44" s="413"/>
    </row>
    <row r="45" spans="1:8" ht="35.1" customHeight="1" x14ac:dyDescent="0.45">
      <c r="A45" s="683"/>
      <c r="B45" s="157"/>
      <c r="C45" s="122">
        <v>38</v>
      </c>
      <c r="D45" s="123" t="s">
        <v>282</v>
      </c>
      <c r="E45" s="125" t="s">
        <v>277</v>
      </c>
      <c r="F45" s="413"/>
      <c r="H45" s="184" t="s">
        <v>471</v>
      </c>
    </row>
    <row r="46" spans="1:8" ht="35.1" customHeight="1" x14ac:dyDescent="0.45">
      <c r="A46" s="683"/>
      <c r="B46" s="125"/>
      <c r="C46" s="122">
        <v>39</v>
      </c>
      <c r="D46" s="123" t="s">
        <v>281</v>
      </c>
      <c r="E46" s="125" t="s">
        <v>277</v>
      </c>
      <c r="F46" s="413"/>
      <c r="H46" s="184" t="s">
        <v>471</v>
      </c>
    </row>
    <row r="47" spans="1:8" ht="35.1" customHeight="1" x14ac:dyDescent="0.45">
      <c r="A47" s="683"/>
      <c r="B47" s="125"/>
      <c r="C47" s="122">
        <v>40</v>
      </c>
      <c r="D47" s="123" t="s">
        <v>280</v>
      </c>
      <c r="E47" s="125" t="s">
        <v>277</v>
      </c>
      <c r="F47" s="413"/>
      <c r="H47" s="184" t="s">
        <v>471</v>
      </c>
    </row>
    <row r="48" spans="1:8" ht="35.1" customHeight="1" x14ac:dyDescent="0.45">
      <c r="A48" s="683" t="s">
        <v>279</v>
      </c>
      <c r="B48" s="125"/>
      <c r="C48" s="122">
        <v>41</v>
      </c>
      <c r="D48" s="123" t="s">
        <v>278</v>
      </c>
      <c r="E48" s="125" t="s">
        <v>277</v>
      </c>
      <c r="F48" s="413"/>
      <c r="H48" s="184" t="s">
        <v>471</v>
      </c>
    </row>
    <row r="49" spans="1:7" ht="35.1" customHeight="1" x14ac:dyDescent="0.45">
      <c r="A49" s="683"/>
      <c r="B49" s="125"/>
      <c r="C49" s="122">
        <v>42</v>
      </c>
      <c r="D49" s="123" t="s">
        <v>276</v>
      </c>
      <c r="E49" s="126"/>
      <c r="F49" s="413"/>
    </row>
    <row r="50" spans="1:7" ht="35.1" customHeight="1" x14ac:dyDescent="0.45">
      <c r="A50" s="683"/>
      <c r="B50" s="125"/>
      <c r="C50" s="122">
        <v>43</v>
      </c>
      <c r="D50" s="123" t="s">
        <v>275</v>
      </c>
      <c r="E50" s="126"/>
      <c r="F50" s="413"/>
    </row>
    <row r="51" spans="1:7" ht="35.1" customHeight="1" x14ac:dyDescent="0.45">
      <c r="A51" s="683"/>
      <c r="B51" s="125"/>
      <c r="C51" s="122">
        <v>44</v>
      </c>
      <c r="D51" s="123" t="s">
        <v>274</v>
      </c>
      <c r="E51" s="123"/>
      <c r="F51" s="413"/>
    </row>
    <row r="52" spans="1:7" ht="35.1" customHeight="1" x14ac:dyDescent="0.45">
      <c r="A52" s="683"/>
      <c r="B52" s="125"/>
      <c r="C52" s="122">
        <v>45</v>
      </c>
      <c r="D52" s="123" t="s">
        <v>273</v>
      </c>
      <c r="E52" s="123"/>
      <c r="F52" s="413"/>
    </row>
    <row r="53" spans="1:7" ht="35.1" customHeight="1" x14ac:dyDescent="0.45">
      <c r="A53" s="683"/>
      <c r="B53" s="125"/>
      <c r="C53" s="122">
        <v>46</v>
      </c>
      <c r="D53" s="123" t="s">
        <v>272</v>
      </c>
      <c r="E53" s="123"/>
      <c r="F53" s="413"/>
    </row>
    <row r="54" spans="1:7" ht="35.1" customHeight="1" x14ac:dyDescent="0.45">
      <c r="A54" s="683" t="s">
        <v>271</v>
      </c>
      <c r="B54" s="125"/>
      <c r="C54" s="122">
        <v>47</v>
      </c>
      <c r="D54" s="123" t="s">
        <v>270</v>
      </c>
      <c r="E54" s="123"/>
      <c r="F54" s="413"/>
    </row>
    <row r="55" spans="1:7" ht="35.1" customHeight="1" x14ac:dyDescent="0.45">
      <c r="A55" s="683"/>
      <c r="B55" s="125"/>
      <c r="C55" s="122">
        <v>48</v>
      </c>
      <c r="D55" s="123" t="s">
        <v>269</v>
      </c>
      <c r="E55" s="126"/>
      <c r="F55" s="413"/>
    </row>
    <row r="56" spans="1:7" ht="69" customHeight="1" x14ac:dyDescent="0.45">
      <c r="A56" s="109" t="s">
        <v>268</v>
      </c>
      <c r="B56" s="125"/>
      <c r="C56" s="122">
        <v>49</v>
      </c>
      <c r="D56" s="123" t="s">
        <v>267</v>
      </c>
      <c r="E56" s="158"/>
      <c r="F56" s="413"/>
    </row>
    <row r="57" spans="1:7" ht="75" customHeight="1" x14ac:dyDescent="0.45">
      <c r="A57" s="109" t="s">
        <v>266</v>
      </c>
      <c r="B57" s="125"/>
      <c r="C57" s="122">
        <v>50</v>
      </c>
      <c r="D57" s="123" t="s">
        <v>265</v>
      </c>
      <c r="E57" s="158"/>
      <c r="F57" s="413"/>
    </row>
    <row r="58" spans="1:7" ht="14.25" customHeight="1" thickBot="1" x14ac:dyDescent="0.5">
      <c r="E58" s="108"/>
      <c r="F58" s="107"/>
    </row>
    <row r="59" spans="1:7" ht="39" customHeight="1" thickTop="1" thickBot="1" x14ac:dyDescent="0.5">
      <c r="D59" s="173" t="str">
        <f>診断結果【取組】!F7</f>
        <v>登録基準を満たしていません</v>
      </c>
      <c r="E59" s="106" t="s">
        <v>263</v>
      </c>
      <c r="F59" s="105" t="str">
        <f>IF(COUNTA(F8:F57)=0,"",COUNTIF(F8:F57,"○"))</f>
        <v/>
      </c>
      <c r="G59" s="104"/>
    </row>
    <row r="60" spans="1:7" ht="11.55" customHeight="1" thickTop="1" x14ac:dyDescent="0.45"/>
    <row r="61" spans="1:7" ht="18" customHeight="1" x14ac:dyDescent="0.45">
      <c r="A61" s="102" t="s">
        <v>356</v>
      </c>
      <c r="B61" s="119"/>
      <c r="C61" s="119"/>
      <c r="D61" s="119"/>
      <c r="E61" s="119"/>
      <c r="F61" s="119"/>
    </row>
    <row r="62" spans="1:7" x14ac:dyDescent="0.45">
      <c r="A62" s="684" t="s">
        <v>357</v>
      </c>
      <c r="B62" s="684"/>
      <c r="C62" s="684"/>
      <c r="D62" s="684"/>
      <c r="E62" s="684"/>
      <c r="F62" s="684"/>
    </row>
    <row r="63" spans="1:7" x14ac:dyDescent="0.45">
      <c r="A63" s="684"/>
      <c r="B63" s="684"/>
      <c r="C63" s="684"/>
      <c r="D63" s="684"/>
      <c r="E63" s="684"/>
      <c r="F63" s="684"/>
    </row>
  </sheetData>
  <sheetProtection algorithmName="SHA-512" hashValue="O1fs9GeTLSZgaoEx+G2+XCIyTbzKIYW0skb6m43sxyheNIufseZDOseLuZQAX4iTrba2t/b7jTEwdYesf26Ixw==" saltValue="SaZtWoJcw/V/T6i556oT8A==" spinCount="100000" sheet="1" objects="1" scenarios="1" formatCells="0" formatColumns="0" formatRows="0"/>
  <mergeCells count="10">
    <mergeCell ref="A41:A47"/>
    <mergeCell ref="A48:A53"/>
    <mergeCell ref="A54:A55"/>
    <mergeCell ref="A62:F63"/>
    <mergeCell ref="A1:B1"/>
    <mergeCell ref="C1:F1"/>
    <mergeCell ref="A8:A17"/>
    <mergeCell ref="A18:A25"/>
    <mergeCell ref="A26:A35"/>
    <mergeCell ref="A36:A40"/>
  </mergeCells>
  <phoneticPr fontId="5"/>
  <dataValidations count="2">
    <dataValidation type="list" allowBlank="1" showInputMessage="1" showErrorMessage="1" sqref="F49:F57 F40:F44 F30:F37 F26 F8:F19 F24" xr:uid="{00000000-0002-0000-0A00-000000000000}">
      <formula1>"　,○"</formula1>
    </dataValidation>
    <dataValidation type="list" allowBlank="1" showInputMessage="1" showErrorMessage="1" sqref="F38:F39 F45:F48 F27:F29 F25 F20:F23" xr:uid="{00000000-0002-0000-0A00-000001000000}">
      <formula1>"　,○,●"</formula1>
    </dataValidation>
  </dataValidations>
  <pageMargins left="0.70866141732283472" right="0.70866141732283472" top="0.74803149606299213" bottom="0.74803149606299213" header="0.31496062992125984" footer="0.31496062992125984"/>
  <pageSetup paperSize="9" scale="80" orientation="portrait" r:id="rId1"/>
  <rowBreaks count="2" manualBreakCount="2">
    <brk id="25" max="16383" man="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8"/>
  <sheetViews>
    <sheetView view="pageBreakPreview" zoomScaleNormal="100" zoomScaleSheetLayoutView="100" workbookViewId="0">
      <selection activeCell="A3" sqref="A3"/>
    </sheetView>
  </sheetViews>
  <sheetFormatPr defaultRowHeight="18" x14ac:dyDescent="0.45"/>
  <cols>
    <col min="1" max="1" width="5.19921875" customWidth="1"/>
    <col min="2" max="2" width="21.59765625" customWidth="1"/>
    <col min="3" max="3" width="9.69921875" style="43" customWidth="1"/>
    <col min="4" max="6" width="11.19921875" customWidth="1"/>
    <col min="7" max="7" width="8.19921875" customWidth="1"/>
    <col min="8" max="8" width="5.19921875" style="566" customWidth="1"/>
  </cols>
  <sheetData>
    <row r="1" spans="1:8" ht="26.4" x14ac:dyDescent="0.65">
      <c r="A1" s="66" t="s">
        <v>213</v>
      </c>
    </row>
    <row r="2" spans="1:8" ht="18.600000000000001" thickBot="1" x14ac:dyDescent="0.5">
      <c r="A2" s="68" t="s">
        <v>244</v>
      </c>
    </row>
    <row r="3" spans="1:8" x14ac:dyDescent="0.45">
      <c r="B3" s="539" t="s">
        <v>194</v>
      </c>
      <c r="C3" s="549" t="s">
        <v>195</v>
      </c>
      <c r="D3" s="540" t="s">
        <v>76</v>
      </c>
      <c r="E3" s="540" t="s">
        <v>87</v>
      </c>
      <c r="F3" s="540" t="s">
        <v>193</v>
      </c>
      <c r="G3" s="541" t="s">
        <v>197</v>
      </c>
    </row>
    <row r="4" spans="1:8" x14ac:dyDescent="0.45">
      <c r="B4" s="542" t="s">
        <v>58</v>
      </c>
      <c r="C4" s="211" t="s">
        <v>62</v>
      </c>
      <c r="D4" s="512">
        <f ca="1">SUMIF($B$11:$B$50,$B4,D$11:D$50)</f>
        <v>0</v>
      </c>
      <c r="E4" s="512">
        <f ca="1">SUMIF($B$11:$B$50,$B4,E$11:E$50)</f>
        <v>0</v>
      </c>
      <c r="F4" s="512">
        <f ca="1">D4-E4</f>
        <v>0</v>
      </c>
      <c r="G4" s="97">
        <f ca="1">IF(OR(D4=0,F4=0),0,F4/D4)</f>
        <v>0</v>
      </c>
    </row>
    <row r="5" spans="1:8" x14ac:dyDescent="0.45">
      <c r="B5" s="543" t="s">
        <v>523</v>
      </c>
      <c r="C5" s="200" t="s">
        <v>90</v>
      </c>
      <c r="D5" s="536">
        <f ca="1">SUMIF($B$11:$B$50,$B5,D$11:D$50)</f>
        <v>0</v>
      </c>
      <c r="E5" s="536">
        <f t="shared" ref="E5:E6" ca="1" si="0">SUMIF($B$11:$B$50,$B5,E$11:E$50)</f>
        <v>0</v>
      </c>
      <c r="F5" s="536">
        <f ca="1">IF(OR(D5="ー",E5="ー"),"ー",D5-E5)</f>
        <v>0</v>
      </c>
      <c r="G5" s="97">
        <f ca="1">IF(OR(D5=0,F5=0),0,F5/D5)</f>
        <v>0</v>
      </c>
    </row>
    <row r="6" spans="1:8" x14ac:dyDescent="0.45">
      <c r="B6" s="544" t="s">
        <v>524</v>
      </c>
      <c r="C6" s="200" t="s">
        <v>485</v>
      </c>
      <c r="D6" s="533">
        <f ca="1">SUMIF($B$11:$B$50,$B6,D$11:D$50)</f>
        <v>0</v>
      </c>
      <c r="E6" s="533">
        <f t="shared" ca="1" si="0"/>
        <v>0</v>
      </c>
      <c r="F6" s="533">
        <f ca="1">D6-E6</f>
        <v>0</v>
      </c>
      <c r="G6" s="97">
        <f ca="1">IF(OR(D6=0,F6=0),0,F6/D6)</f>
        <v>0</v>
      </c>
    </row>
    <row r="7" spans="1:8" ht="18.600000000000001" thickBot="1" x14ac:dyDescent="0.5">
      <c r="B7" s="545" t="s">
        <v>245</v>
      </c>
      <c r="C7" s="546" t="s">
        <v>62</v>
      </c>
      <c r="D7" s="537">
        <f>使用量と光熱費!J12</f>
        <v>0</v>
      </c>
      <c r="E7" s="537">
        <f ca="1">D7-F4</f>
        <v>0</v>
      </c>
      <c r="F7" s="538">
        <f ca="1">D7-E7</f>
        <v>0</v>
      </c>
      <c r="G7" s="99">
        <f ca="1">IF(OR(D7=0,F7=0),0,F7/D7)</f>
        <v>0</v>
      </c>
    </row>
    <row r="8" spans="1:8" x14ac:dyDescent="0.45">
      <c r="D8" s="44"/>
      <c r="E8" s="44"/>
      <c r="F8" s="45"/>
      <c r="G8" s="46"/>
    </row>
    <row r="9" spans="1:8" x14ac:dyDescent="0.45">
      <c r="A9" s="68" t="s">
        <v>507</v>
      </c>
      <c r="C9" s="550"/>
      <c r="D9" s="566" t="s">
        <v>926</v>
      </c>
      <c r="E9" s="567" t="s">
        <v>927</v>
      </c>
      <c r="F9" s="567" t="s">
        <v>928</v>
      </c>
      <c r="G9" s="567" t="s">
        <v>929</v>
      </c>
    </row>
    <row r="10" spans="1:8" x14ac:dyDescent="0.45">
      <c r="A10" s="48"/>
      <c r="B10" s="208" t="s">
        <v>194</v>
      </c>
      <c r="C10" s="200" t="s">
        <v>195</v>
      </c>
      <c r="D10" s="197" t="s">
        <v>76</v>
      </c>
      <c r="E10" s="197" t="s">
        <v>87</v>
      </c>
      <c r="F10" s="197" t="s">
        <v>193</v>
      </c>
      <c r="G10" s="198" t="s">
        <v>197</v>
      </c>
    </row>
    <row r="11" spans="1:8" ht="20.55" customHeight="1" x14ac:dyDescent="0.45">
      <c r="A11" s="48"/>
      <c r="B11" s="248" t="s">
        <v>84</v>
      </c>
      <c r="C11" s="200" t="s">
        <v>85</v>
      </c>
      <c r="D11" s="536">
        <f t="shared" ref="D11:G14" ca="1" si="1">INDIRECT("'"&amp;$A$9&amp;"'!"&amp;D$9&amp;$H11)</f>
        <v>0</v>
      </c>
      <c r="E11" s="536">
        <f t="shared" ca="1" si="1"/>
        <v>0</v>
      </c>
      <c r="F11" s="536">
        <f t="shared" ca="1" si="1"/>
        <v>0</v>
      </c>
      <c r="G11" s="40">
        <f t="shared" ca="1" si="1"/>
        <v>0</v>
      </c>
      <c r="H11" s="566">
        <v>4</v>
      </c>
    </row>
    <row r="12" spans="1:8" ht="20.55" customHeight="1" x14ac:dyDescent="0.45">
      <c r="A12" s="48"/>
      <c r="B12" s="248" t="s">
        <v>58</v>
      </c>
      <c r="C12" s="211" t="s">
        <v>62</v>
      </c>
      <c r="D12" s="512">
        <f t="shared" ca="1" si="1"/>
        <v>0</v>
      </c>
      <c r="E12" s="512">
        <f t="shared" ca="1" si="1"/>
        <v>0</v>
      </c>
      <c r="F12" s="512">
        <f t="shared" ca="1" si="1"/>
        <v>0</v>
      </c>
      <c r="G12" s="40">
        <f t="shared" ca="1" si="1"/>
        <v>0</v>
      </c>
      <c r="H12" s="566">
        <v>5</v>
      </c>
    </row>
    <row r="13" spans="1:8" x14ac:dyDescent="0.45">
      <c r="A13" s="48"/>
      <c r="B13" s="208" t="s">
        <v>196</v>
      </c>
      <c r="C13" s="200" t="s">
        <v>90</v>
      </c>
      <c r="D13" s="536" t="str">
        <f t="shared" ca="1" si="1"/>
        <v>ー</v>
      </c>
      <c r="E13" s="536" t="str">
        <f t="shared" ca="1" si="1"/>
        <v>ー</v>
      </c>
      <c r="F13" s="536" t="str">
        <f t="shared" ca="1" si="1"/>
        <v>ー</v>
      </c>
      <c r="G13" s="40">
        <f t="shared" ca="1" si="1"/>
        <v>0</v>
      </c>
      <c r="H13" s="566">
        <v>6</v>
      </c>
    </row>
    <row r="14" spans="1:8" x14ac:dyDescent="0.45">
      <c r="B14" s="547" t="s">
        <v>516</v>
      </c>
      <c r="C14" s="200" t="s">
        <v>485</v>
      </c>
      <c r="D14" s="533">
        <f t="shared" ca="1" si="1"/>
        <v>0</v>
      </c>
      <c r="E14" s="533">
        <f t="shared" ca="1" si="1"/>
        <v>0</v>
      </c>
      <c r="F14" s="534">
        <f t="shared" ca="1" si="1"/>
        <v>0</v>
      </c>
      <c r="G14" s="40">
        <f t="shared" ca="1" si="1"/>
        <v>0</v>
      </c>
      <c r="H14" s="566">
        <v>7</v>
      </c>
    </row>
    <row r="15" spans="1:8" x14ac:dyDescent="0.45">
      <c r="A15" s="48"/>
      <c r="D15" s="44"/>
      <c r="E15" s="44"/>
      <c r="F15" s="45"/>
      <c r="G15" s="46"/>
    </row>
    <row r="16" spans="1:8" x14ac:dyDescent="0.45">
      <c r="A16" s="68" t="s">
        <v>504</v>
      </c>
      <c r="C16" s="550"/>
      <c r="D16" s="566" t="s">
        <v>926</v>
      </c>
      <c r="E16" s="567" t="s">
        <v>927</v>
      </c>
      <c r="F16" s="567" t="s">
        <v>930</v>
      </c>
      <c r="G16" s="567" t="s">
        <v>928</v>
      </c>
    </row>
    <row r="17" spans="1:8" x14ac:dyDescent="0.45">
      <c r="A17" s="48"/>
      <c r="B17" s="208" t="s">
        <v>194</v>
      </c>
      <c r="C17" s="200" t="s">
        <v>195</v>
      </c>
      <c r="D17" s="197" t="s">
        <v>76</v>
      </c>
      <c r="E17" s="197" t="s">
        <v>87</v>
      </c>
      <c r="F17" s="197" t="s">
        <v>193</v>
      </c>
      <c r="G17" s="198" t="s">
        <v>197</v>
      </c>
    </row>
    <row r="18" spans="1:8" x14ac:dyDescent="0.45">
      <c r="A18" s="48"/>
      <c r="B18" s="248" t="s">
        <v>84</v>
      </c>
      <c r="C18" s="200" t="s">
        <v>85</v>
      </c>
      <c r="D18" s="536">
        <f t="shared" ref="D18:E21" ca="1" si="2">INDIRECT("'"&amp;$A$16&amp;"'!"&amp;D$16&amp;$H18)</f>
        <v>0</v>
      </c>
      <c r="E18" s="536">
        <f t="shared" ca="1" si="2"/>
        <v>0</v>
      </c>
      <c r="F18" s="536">
        <f t="shared" ref="F18:G21" ca="1" si="3">INDIRECT("'"&amp;$A$16&amp;"'!"&amp;F$16&amp;$H18)</f>
        <v>0</v>
      </c>
      <c r="G18" s="40">
        <f ca="1">INDIRECT("'"&amp;$A$16&amp;"'!"&amp;G$16&amp;$H18)</f>
        <v>0</v>
      </c>
      <c r="H18" s="566">
        <v>4</v>
      </c>
    </row>
    <row r="19" spans="1:8" x14ac:dyDescent="0.45">
      <c r="A19" s="48"/>
      <c r="B19" s="248" t="s">
        <v>58</v>
      </c>
      <c r="C19" s="211" t="s">
        <v>62</v>
      </c>
      <c r="D19" s="512">
        <f t="shared" ca="1" si="2"/>
        <v>0</v>
      </c>
      <c r="E19" s="512">
        <f t="shared" ca="1" si="2"/>
        <v>0</v>
      </c>
      <c r="F19" s="512">
        <f t="shared" ca="1" si="3"/>
        <v>0</v>
      </c>
      <c r="G19" s="40">
        <f t="shared" ca="1" si="3"/>
        <v>0</v>
      </c>
      <c r="H19" s="566">
        <v>5</v>
      </c>
    </row>
    <row r="20" spans="1:8" x14ac:dyDescent="0.45">
      <c r="A20" s="48"/>
      <c r="B20" s="208" t="s">
        <v>196</v>
      </c>
      <c r="C20" s="200" t="s">
        <v>90</v>
      </c>
      <c r="D20" s="536" t="str">
        <f t="shared" ca="1" si="2"/>
        <v>ー</v>
      </c>
      <c r="E20" s="536" t="str">
        <f t="shared" ca="1" si="2"/>
        <v>ー</v>
      </c>
      <c r="F20" s="536" t="str">
        <f t="shared" ca="1" si="3"/>
        <v>ー</v>
      </c>
      <c r="G20" s="40">
        <f ca="1">INDIRECT("'"&amp;$A$16&amp;"'!"&amp;G$16&amp;$H20)</f>
        <v>0</v>
      </c>
      <c r="H20" s="566">
        <v>6</v>
      </c>
    </row>
    <row r="21" spans="1:8" x14ac:dyDescent="0.45">
      <c r="B21" s="547" t="s">
        <v>516</v>
      </c>
      <c r="C21" s="200" t="s">
        <v>485</v>
      </c>
      <c r="D21" s="533">
        <f t="shared" ca="1" si="2"/>
        <v>0</v>
      </c>
      <c r="E21" s="533">
        <f t="shared" ca="1" si="2"/>
        <v>0</v>
      </c>
      <c r="F21" s="534">
        <f t="shared" ca="1" si="3"/>
        <v>0</v>
      </c>
      <c r="G21" s="40">
        <f ca="1">INDIRECT("'"&amp;$A$16&amp;"'!"&amp;G$16&amp;$H21)</f>
        <v>0</v>
      </c>
      <c r="H21" s="566">
        <v>7</v>
      </c>
    </row>
    <row r="22" spans="1:8" x14ac:dyDescent="0.45">
      <c r="A22" s="48"/>
    </row>
    <row r="23" spans="1:8" x14ac:dyDescent="0.45">
      <c r="A23" s="68" t="s">
        <v>505</v>
      </c>
      <c r="C23" s="550"/>
      <c r="D23" s="566"/>
      <c r="E23" s="567"/>
      <c r="F23" s="567"/>
      <c r="G23" s="567"/>
    </row>
    <row r="24" spans="1:8" x14ac:dyDescent="0.45">
      <c r="A24" s="48"/>
      <c r="B24" s="208" t="s">
        <v>194</v>
      </c>
      <c r="C24" s="200" t="s">
        <v>195</v>
      </c>
      <c r="D24" s="197" t="s">
        <v>76</v>
      </c>
      <c r="E24" s="197" t="s">
        <v>87</v>
      </c>
      <c r="F24" s="197" t="s">
        <v>193</v>
      </c>
      <c r="G24" s="198" t="s">
        <v>197</v>
      </c>
    </row>
    <row r="25" spans="1:8" x14ac:dyDescent="0.45">
      <c r="A25" s="48"/>
      <c r="B25" s="248" t="s">
        <v>84</v>
      </c>
      <c r="C25" s="200" t="s">
        <v>85</v>
      </c>
      <c r="D25" s="536">
        <f ca="1">INDIRECT("'"&amp;$A$23&amp;"'!"&amp;D$16&amp;$H25)</f>
        <v>0</v>
      </c>
      <c r="E25" s="536">
        <f t="shared" ref="E25:F29" ca="1" si="4">INDIRECT("'"&amp;$A$23&amp;"'!"&amp;E$16&amp;$H25)</f>
        <v>0</v>
      </c>
      <c r="F25" s="536">
        <f t="shared" ca="1" si="4"/>
        <v>0</v>
      </c>
      <c r="G25" s="40">
        <f ca="1">INDIRECT("'"&amp;$A$23&amp;"'!"&amp;G$16&amp;$H25)</f>
        <v>0</v>
      </c>
      <c r="H25" s="566">
        <v>4</v>
      </c>
    </row>
    <row r="26" spans="1:8" x14ac:dyDescent="0.45">
      <c r="A26" s="48"/>
      <c r="B26" s="548" t="s">
        <v>113</v>
      </c>
      <c r="C26" s="200" t="s">
        <v>112</v>
      </c>
      <c r="D26" s="535">
        <f ca="1">INDIRECT("'"&amp;$A$23&amp;"'!"&amp;D$16&amp;$H26)</f>
        <v>0</v>
      </c>
      <c r="E26" s="535">
        <f t="shared" ca="1" si="4"/>
        <v>0</v>
      </c>
      <c r="F26" s="536">
        <f t="shared" ca="1" si="4"/>
        <v>0</v>
      </c>
      <c r="G26" s="40">
        <f ca="1">INDIRECT("'"&amp;$A$23&amp;"'!"&amp;G$16&amp;$H26)</f>
        <v>0</v>
      </c>
      <c r="H26" s="566">
        <v>5</v>
      </c>
    </row>
    <row r="27" spans="1:8" x14ac:dyDescent="0.45">
      <c r="A27" s="48"/>
      <c r="B27" s="248" t="s">
        <v>58</v>
      </c>
      <c r="C27" s="211" t="s">
        <v>62</v>
      </c>
      <c r="D27" s="533">
        <f ca="1">INDIRECT("'"&amp;$A$23&amp;"'!"&amp;D$16&amp;$H27)</f>
        <v>0</v>
      </c>
      <c r="E27" s="533">
        <f t="shared" ca="1" si="4"/>
        <v>0</v>
      </c>
      <c r="F27" s="512">
        <f t="shared" ca="1" si="4"/>
        <v>0</v>
      </c>
      <c r="G27" s="40">
        <f ca="1">INDIRECT("'"&amp;$A$23&amp;"'!"&amp;G$16&amp;$H27)</f>
        <v>0</v>
      </c>
      <c r="H27" s="566">
        <v>6</v>
      </c>
    </row>
    <row r="28" spans="1:8" x14ac:dyDescent="0.45">
      <c r="A28" s="48"/>
      <c r="B28" s="208" t="s">
        <v>196</v>
      </c>
      <c r="C28" s="200" t="s">
        <v>90</v>
      </c>
      <c r="D28" s="536" t="str">
        <f ca="1">INDIRECT("'"&amp;$A$23&amp;"'!"&amp;D$16&amp;$H28)</f>
        <v>ー</v>
      </c>
      <c r="E28" s="536" t="str">
        <f t="shared" ca="1" si="4"/>
        <v>ー</v>
      </c>
      <c r="F28" s="536" t="str">
        <f t="shared" ca="1" si="4"/>
        <v>ー</v>
      </c>
      <c r="G28" s="40">
        <f ca="1">INDIRECT("'"&amp;$A$23&amp;"'!"&amp;G$16&amp;$H28)</f>
        <v>0</v>
      </c>
      <c r="H28" s="566">
        <v>7</v>
      </c>
    </row>
    <row r="29" spans="1:8" x14ac:dyDescent="0.45">
      <c r="B29" s="547" t="s">
        <v>516</v>
      </c>
      <c r="C29" s="200" t="s">
        <v>485</v>
      </c>
      <c r="D29" s="533">
        <f ca="1">INDIRECT("'"&amp;$A$23&amp;"'!"&amp;D$16&amp;$H29)</f>
        <v>0</v>
      </c>
      <c r="E29" s="533">
        <f t="shared" ca="1" si="4"/>
        <v>0</v>
      </c>
      <c r="F29" s="534">
        <f t="shared" ca="1" si="4"/>
        <v>0</v>
      </c>
      <c r="G29" s="40">
        <f ca="1">INDIRECT("'"&amp;$A$23&amp;"'!"&amp;G$16&amp;$H29)</f>
        <v>0</v>
      </c>
      <c r="H29" s="566">
        <v>8</v>
      </c>
    </row>
    <row r="30" spans="1:8" x14ac:dyDescent="0.45">
      <c r="A30" s="48"/>
    </row>
    <row r="31" spans="1:8" x14ac:dyDescent="0.45">
      <c r="A31" s="68" t="s">
        <v>509</v>
      </c>
      <c r="C31" s="550"/>
      <c r="D31" s="566"/>
      <c r="E31" s="567"/>
      <c r="F31" s="567"/>
      <c r="G31" s="567"/>
    </row>
    <row r="32" spans="1:8" x14ac:dyDescent="0.45">
      <c r="B32" s="208" t="s">
        <v>141</v>
      </c>
      <c r="C32" s="200" t="s">
        <v>140</v>
      </c>
      <c r="D32" s="197" t="s">
        <v>76</v>
      </c>
      <c r="E32" s="197" t="s">
        <v>87</v>
      </c>
      <c r="F32" s="197" t="s">
        <v>193</v>
      </c>
      <c r="G32" s="198" t="s">
        <v>197</v>
      </c>
    </row>
    <row r="33" spans="1:8" x14ac:dyDescent="0.45">
      <c r="B33" s="248" t="s">
        <v>58</v>
      </c>
      <c r="C33" s="211" t="s">
        <v>62</v>
      </c>
      <c r="D33" s="512">
        <f ca="1">INDIRECT("'"&amp;$A$31&amp;"'!"&amp;D$16&amp;$H33)</f>
        <v>0</v>
      </c>
      <c r="E33" s="512">
        <f t="shared" ref="E33:F35" ca="1" si="5">INDIRECT("'"&amp;$A$31&amp;"'!"&amp;E$16&amp;$H33)</f>
        <v>0</v>
      </c>
      <c r="F33" s="512">
        <f t="shared" ca="1" si="5"/>
        <v>0</v>
      </c>
      <c r="G33" s="40">
        <f ca="1">INDIRECT("'"&amp;$A$31&amp;"'!"&amp;G$16&amp;$H33)</f>
        <v>0</v>
      </c>
      <c r="H33" s="566">
        <v>4</v>
      </c>
    </row>
    <row r="34" spans="1:8" x14ac:dyDescent="0.45">
      <c r="B34" s="208" t="s">
        <v>196</v>
      </c>
      <c r="C34" s="200" t="s">
        <v>90</v>
      </c>
      <c r="D34" s="536" t="str">
        <f ca="1">IF(INDIRECT("'"&amp;$A$31&amp;"'!"&amp;D$16&amp;$H34)="ー","0",INDIRECT("'"&amp;$A$31&amp;"'!"&amp;D$16&amp;$H34))</f>
        <v>0</v>
      </c>
      <c r="E34" s="536" t="str">
        <f ca="1">IF(INDIRECT("'"&amp;$A$31&amp;"'!"&amp;E$16&amp;$H34)="ー","0",INDIRECT("'"&amp;$A$31&amp;"'!"&amp;E$16&amp;$H34))</f>
        <v>0</v>
      </c>
      <c r="F34" s="536" t="str">
        <f ca="1">IF(INDIRECT("'"&amp;$A$31&amp;"'!"&amp;F$16&amp;$H34)="ー","0",INDIRECT("'"&amp;$A$31&amp;"'!"&amp;F$16&amp;$H34))</f>
        <v>0</v>
      </c>
      <c r="G34" s="266" t="str">
        <f ca="1">IF(INDIRECT("'"&amp;$A$31&amp;"'!"&amp;G$16&amp;$H34)="ー","0",INDIRECT("'"&amp;$A$31&amp;"'!"&amp;G$16&amp;$H34))</f>
        <v>0</v>
      </c>
      <c r="H34" s="566">
        <v>5</v>
      </c>
    </row>
    <row r="35" spans="1:8" x14ac:dyDescent="0.45">
      <c r="B35" s="547" t="s">
        <v>516</v>
      </c>
      <c r="C35" s="200" t="s">
        <v>485</v>
      </c>
      <c r="D35" s="533">
        <f ca="1">INDIRECT("'"&amp;$A$31&amp;"'!"&amp;D$16&amp;$H35)</f>
        <v>0</v>
      </c>
      <c r="E35" s="533">
        <f t="shared" ca="1" si="5"/>
        <v>0</v>
      </c>
      <c r="F35" s="534">
        <f t="shared" ca="1" si="5"/>
        <v>0</v>
      </c>
      <c r="G35" s="40">
        <f ca="1">INDIRECT("'"&amp;$A$31&amp;"'!"&amp;G$16&amp;$H35)</f>
        <v>0</v>
      </c>
      <c r="H35" s="566">
        <v>6</v>
      </c>
    </row>
    <row r="38" spans="1:8" x14ac:dyDescent="0.45">
      <c r="A38" s="68" t="s">
        <v>508</v>
      </c>
      <c r="C38" s="550"/>
      <c r="D38" s="566"/>
      <c r="E38" s="567"/>
      <c r="F38" s="567"/>
      <c r="G38" s="567"/>
    </row>
    <row r="39" spans="1:8" x14ac:dyDescent="0.45">
      <c r="B39" s="208" t="s">
        <v>141</v>
      </c>
      <c r="C39" s="200" t="s">
        <v>140</v>
      </c>
      <c r="D39" s="197" t="s">
        <v>76</v>
      </c>
      <c r="E39" s="197" t="s">
        <v>87</v>
      </c>
      <c r="F39" s="197" t="s">
        <v>193</v>
      </c>
      <c r="G39" s="198" t="s">
        <v>197</v>
      </c>
    </row>
    <row r="40" spans="1:8" x14ac:dyDescent="0.45">
      <c r="B40" s="248" t="s">
        <v>84</v>
      </c>
      <c r="C40" s="200" t="s">
        <v>85</v>
      </c>
      <c r="D40" s="536">
        <f ca="1">INDIRECT("'"&amp;$A$38&amp;"'!"&amp;D$16&amp;$H40)</f>
        <v>0</v>
      </c>
      <c r="E40" s="536">
        <f t="shared" ref="E40:G43" ca="1" si="6">INDIRECT("'"&amp;$A$38&amp;"'!"&amp;E$16&amp;$H40)</f>
        <v>0</v>
      </c>
      <c r="F40" s="536">
        <f t="shared" ca="1" si="6"/>
        <v>0</v>
      </c>
      <c r="G40" s="40">
        <f t="shared" ca="1" si="6"/>
        <v>0</v>
      </c>
      <c r="H40" s="566">
        <v>4</v>
      </c>
    </row>
    <row r="41" spans="1:8" x14ac:dyDescent="0.45">
      <c r="B41" s="248" t="s">
        <v>58</v>
      </c>
      <c r="C41" s="211" t="s">
        <v>62</v>
      </c>
      <c r="D41" s="512">
        <f ca="1">INDIRECT("'"&amp;$A$38&amp;"'!"&amp;D$16&amp;$H41)</f>
        <v>0</v>
      </c>
      <c r="E41" s="512">
        <f t="shared" ca="1" si="6"/>
        <v>0</v>
      </c>
      <c r="F41" s="512">
        <f t="shared" ca="1" si="6"/>
        <v>0</v>
      </c>
      <c r="G41" s="40">
        <f t="shared" ca="1" si="6"/>
        <v>0</v>
      </c>
      <c r="H41" s="566">
        <v>5</v>
      </c>
    </row>
    <row r="42" spans="1:8" x14ac:dyDescent="0.45">
      <c r="B42" s="208" t="s">
        <v>196</v>
      </c>
      <c r="C42" s="200" t="s">
        <v>90</v>
      </c>
      <c r="D42" s="536" t="str">
        <f ca="1">INDIRECT("'"&amp;$A$38&amp;"'!"&amp;D$16&amp;$H42)</f>
        <v>ー</v>
      </c>
      <c r="E42" s="536" t="str">
        <f t="shared" ca="1" si="6"/>
        <v>ー</v>
      </c>
      <c r="F42" s="536" t="str">
        <f t="shared" ca="1" si="6"/>
        <v>ー</v>
      </c>
      <c r="G42" s="40">
        <f t="shared" ca="1" si="6"/>
        <v>0</v>
      </c>
      <c r="H42" s="566">
        <v>6</v>
      </c>
    </row>
    <row r="43" spans="1:8" x14ac:dyDescent="0.45">
      <c r="B43" s="547" t="s">
        <v>516</v>
      </c>
      <c r="C43" s="200" t="s">
        <v>485</v>
      </c>
      <c r="D43" s="533">
        <f ca="1">INDIRECT("'"&amp;$A$38&amp;"'!"&amp;D$16&amp;$H43)</f>
        <v>0</v>
      </c>
      <c r="E43" s="533">
        <f t="shared" ca="1" si="6"/>
        <v>0</v>
      </c>
      <c r="F43" s="534">
        <f ca="1">INDIRECT("'"&amp;$A$38&amp;"'!"&amp;F$16&amp;$H43)</f>
        <v>0</v>
      </c>
      <c r="G43" s="40">
        <f t="shared" ca="1" si="6"/>
        <v>0</v>
      </c>
      <c r="H43" s="566">
        <v>7</v>
      </c>
    </row>
    <row r="45" spans="1:8" x14ac:dyDescent="0.45">
      <c r="A45" s="68" t="s">
        <v>515</v>
      </c>
      <c r="C45" s="550"/>
      <c r="D45" s="566"/>
      <c r="E45" s="567"/>
      <c r="F45" s="567"/>
      <c r="G45" s="567"/>
    </row>
    <row r="46" spans="1:8" x14ac:dyDescent="0.45">
      <c r="B46" s="208" t="s">
        <v>141</v>
      </c>
      <c r="C46" s="200" t="s">
        <v>140</v>
      </c>
      <c r="D46" s="197" t="s">
        <v>76</v>
      </c>
      <c r="E46" s="197" t="s">
        <v>87</v>
      </c>
      <c r="F46" s="197" t="s">
        <v>193</v>
      </c>
      <c r="G46" s="198" t="s">
        <v>197</v>
      </c>
    </row>
    <row r="47" spans="1:8" x14ac:dyDescent="0.45">
      <c r="B47" s="248" t="s">
        <v>84</v>
      </c>
      <c r="C47" s="200" t="s">
        <v>85</v>
      </c>
      <c r="D47" s="536">
        <f ca="1">INDIRECT("'"&amp;$A$45&amp;"'!"&amp;D$16&amp;$H47)</f>
        <v>0</v>
      </c>
      <c r="E47" s="536">
        <f t="shared" ref="E47:G50" ca="1" si="7">INDIRECT("'"&amp;$A$45&amp;"'!"&amp;E$16&amp;$H47)</f>
        <v>0</v>
      </c>
      <c r="F47" s="536">
        <f t="shared" ca="1" si="7"/>
        <v>0</v>
      </c>
      <c r="G47" s="40">
        <f t="shared" ca="1" si="7"/>
        <v>0</v>
      </c>
      <c r="H47" s="566">
        <v>4</v>
      </c>
    </row>
    <row r="48" spans="1:8" x14ac:dyDescent="0.45">
      <c r="B48" s="248" t="s">
        <v>58</v>
      </c>
      <c r="C48" s="211" t="s">
        <v>62</v>
      </c>
      <c r="D48" s="512">
        <f ca="1">INDIRECT("'"&amp;$A$45&amp;"'!"&amp;D$16&amp;$H48)</f>
        <v>0</v>
      </c>
      <c r="E48" s="512">
        <f t="shared" ca="1" si="7"/>
        <v>0</v>
      </c>
      <c r="F48" s="512">
        <f t="shared" ca="1" si="7"/>
        <v>0</v>
      </c>
      <c r="G48" s="40">
        <f t="shared" ca="1" si="7"/>
        <v>0</v>
      </c>
      <c r="H48" s="566">
        <v>5</v>
      </c>
    </row>
    <row r="49" spans="1:8" x14ac:dyDescent="0.45">
      <c r="B49" s="208" t="s">
        <v>196</v>
      </c>
      <c r="C49" s="200" t="s">
        <v>90</v>
      </c>
      <c r="D49" s="536" t="str">
        <f ca="1">INDIRECT("'"&amp;$A$45&amp;"'!"&amp;D$16&amp;$H49)</f>
        <v>ー</v>
      </c>
      <c r="E49" s="536" t="str">
        <f t="shared" ca="1" si="7"/>
        <v>ー</v>
      </c>
      <c r="F49" s="536" t="str">
        <f t="shared" ca="1" si="7"/>
        <v>ー</v>
      </c>
      <c r="G49" s="40">
        <f t="shared" ca="1" si="7"/>
        <v>0</v>
      </c>
      <c r="H49" s="566">
        <v>6</v>
      </c>
    </row>
    <row r="50" spans="1:8" ht="18" customHeight="1" x14ac:dyDescent="0.45">
      <c r="B50" s="547" t="s">
        <v>516</v>
      </c>
      <c r="C50" s="200" t="s">
        <v>485</v>
      </c>
      <c r="D50" s="533">
        <f ca="1">INDIRECT("'"&amp;$A$45&amp;"'!"&amp;D$16&amp;$H50)</f>
        <v>0</v>
      </c>
      <c r="E50" s="533">
        <f t="shared" ca="1" si="7"/>
        <v>0</v>
      </c>
      <c r="F50" s="534">
        <f t="shared" ca="1" si="7"/>
        <v>0</v>
      </c>
      <c r="G50" s="40">
        <f t="shared" ca="1" si="7"/>
        <v>0</v>
      </c>
      <c r="H50" s="566">
        <v>7</v>
      </c>
    </row>
    <row r="52" spans="1:8" hidden="1" x14ac:dyDescent="0.45">
      <c r="A52" s="68" t="s">
        <v>506</v>
      </c>
      <c r="C52" s="550"/>
      <c r="D52" s="566"/>
      <c r="E52" s="567"/>
      <c r="F52" s="567"/>
      <c r="G52" s="567"/>
    </row>
    <row r="53" spans="1:8" hidden="1" x14ac:dyDescent="0.45">
      <c r="B53" s="208" t="s">
        <v>194</v>
      </c>
      <c r="C53" s="200" t="s">
        <v>195</v>
      </c>
      <c r="D53" s="197" t="s">
        <v>76</v>
      </c>
      <c r="E53" s="197" t="s">
        <v>87</v>
      </c>
      <c r="F53" s="197" t="s">
        <v>193</v>
      </c>
      <c r="G53" s="198" t="s">
        <v>197</v>
      </c>
    </row>
    <row r="54" spans="1:8" hidden="1" x14ac:dyDescent="0.45">
      <c r="B54" s="248" t="s">
        <v>84</v>
      </c>
      <c r="C54" s="200" t="s">
        <v>85</v>
      </c>
      <c r="D54" s="536"/>
      <c r="E54" s="536"/>
      <c r="F54" s="536"/>
      <c r="G54" s="40"/>
    </row>
    <row r="55" spans="1:8" hidden="1" x14ac:dyDescent="0.45">
      <c r="B55" s="548" t="s">
        <v>145</v>
      </c>
      <c r="C55" s="551" t="str">
        <f ca="1">IF(C52="なし",0,INDIRECT("'"&amp;A52&amp;"'!f5"))</f>
        <v>kWh/年</v>
      </c>
      <c r="D55" s="535"/>
      <c r="E55" s="535"/>
      <c r="F55" s="536"/>
      <c r="G55" s="40"/>
    </row>
    <row r="56" spans="1:8" hidden="1" x14ac:dyDescent="0.45">
      <c r="B56" s="248" t="s">
        <v>58</v>
      </c>
      <c r="C56" s="211" t="s">
        <v>62</v>
      </c>
      <c r="D56" s="533"/>
      <c r="E56" s="533"/>
      <c r="F56" s="512"/>
      <c r="G56" s="40"/>
    </row>
    <row r="57" spans="1:8" hidden="1" x14ac:dyDescent="0.45">
      <c r="B57" s="208" t="s">
        <v>196</v>
      </c>
      <c r="C57" s="200" t="s">
        <v>90</v>
      </c>
      <c r="D57" s="536"/>
      <c r="E57" s="536"/>
      <c r="F57" s="536"/>
      <c r="G57" s="40"/>
    </row>
    <row r="58" spans="1:8" hidden="1" x14ac:dyDescent="0.45">
      <c r="B58" s="547" t="s">
        <v>516</v>
      </c>
      <c r="C58" s="200" t="s">
        <v>485</v>
      </c>
      <c r="D58" s="533"/>
      <c r="E58" s="533"/>
      <c r="F58" s="534"/>
      <c r="G58" s="40"/>
    </row>
  </sheetData>
  <sheetProtection algorithmName="SHA-512" hashValue="2qTSJ7pkGg5LQ2tGuqaWeoVOXPSW4lARMPBluen9uC2D+UHsFh63JMJ4hS5kaZqjkhEnUEZUGFxZUM762qKy9w==" saltValue="W/K96DYbCLdgoJsVfI2yRA==" spinCount="100000" sheet="1" objects="1" scenarios="1" formatCells="0" formatColumns="0" formatRows="0"/>
  <phoneticPr fontId="5"/>
  <conditionalFormatting sqref="G11 G33:G34">
    <cfRule type="expression" dxfId="41" priority="35">
      <formula>$E$1="なし"</formula>
    </cfRule>
  </conditionalFormatting>
  <conditionalFormatting sqref="G18:G20">
    <cfRule type="expression" dxfId="40" priority="16">
      <formula>$E$1="なし"</formula>
    </cfRule>
  </conditionalFormatting>
  <conditionalFormatting sqref="G25:G28">
    <cfRule type="expression" dxfId="39" priority="15">
      <formula>$E$1="なし"</formula>
    </cfRule>
  </conditionalFormatting>
  <conditionalFormatting sqref="G54:G57">
    <cfRule type="expression" dxfId="38" priority="14">
      <formula>$E$1="なし"</formula>
    </cfRule>
  </conditionalFormatting>
  <conditionalFormatting sqref="G12:G13">
    <cfRule type="expression" dxfId="37" priority="17">
      <formula>$E$1="なし"</formula>
    </cfRule>
  </conditionalFormatting>
  <conditionalFormatting sqref="G40:G42">
    <cfRule type="expression" dxfId="36" priority="13">
      <formula>$E$1="なし"</formula>
    </cfRule>
  </conditionalFormatting>
  <conditionalFormatting sqref="G35">
    <cfRule type="expression" dxfId="35" priority="6">
      <formula>$E$1="なし"</formula>
    </cfRule>
  </conditionalFormatting>
  <conditionalFormatting sqref="G43">
    <cfRule type="expression" dxfId="34" priority="5">
      <formula>$E$1="なし"</formula>
    </cfRule>
  </conditionalFormatting>
  <conditionalFormatting sqref="G47:G49">
    <cfRule type="expression" dxfId="33" priority="10">
      <formula>$E$1="なし"</formula>
    </cfRule>
  </conditionalFormatting>
  <conditionalFormatting sqref="G58">
    <cfRule type="expression" dxfId="32" priority="4">
      <formula>$E$1="なし"</formula>
    </cfRule>
  </conditionalFormatting>
  <conditionalFormatting sqref="G29">
    <cfRule type="expression" dxfId="31" priority="3">
      <formula>$E$1="なし"</formula>
    </cfRule>
  </conditionalFormatting>
  <conditionalFormatting sqref="G21">
    <cfRule type="expression" dxfId="30" priority="2">
      <formula>$E$1="なし"</formula>
    </cfRule>
  </conditionalFormatting>
  <conditionalFormatting sqref="G50">
    <cfRule type="expression" dxfId="29" priority="9">
      <formula>$E$1="なし"</formula>
    </cfRule>
  </conditionalFormatting>
  <conditionalFormatting sqref="G14">
    <cfRule type="expression" dxfId="28" priority="1">
      <formula>$E$1="なし"</formula>
    </cfRule>
  </conditionalFormatting>
  <pageMargins left="0.7" right="0.7" top="0.75" bottom="0.75" header="0.3" footer="0.3"/>
  <pageSetup paperSize="9" scale="88" orientation="portrait" r:id="rId1"/>
  <rowBreaks count="1" manualBreakCount="1">
    <brk id="37" max="16383" man="1"/>
  </rowBreaks>
  <ignoredErrors>
    <ignoredError sqref="F5 D34:G34"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11"/>
  <sheetViews>
    <sheetView view="pageBreakPreview" topLeftCell="A23" zoomScaleNormal="100" zoomScaleSheetLayoutView="100" workbookViewId="0">
      <selection activeCell="B30" sqref="B30"/>
    </sheetView>
  </sheetViews>
  <sheetFormatPr defaultRowHeight="18" x14ac:dyDescent="0.45"/>
  <cols>
    <col min="1" max="1" width="5.19921875" customWidth="1"/>
    <col min="2" max="2" width="16.09765625" customWidth="1"/>
    <col min="3" max="7" width="8.19921875" customWidth="1"/>
    <col min="8" max="9" width="7.59765625" customWidth="1"/>
  </cols>
  <sheetData>
    <row r="1" spans="1:7" ht="26.4" x14ac:dyDescent="0.65">
      <c r="A1" s="66" t="s">
        <v>215</v>
      </c>
    </row>
    <row r="2" spans="1:7" ht="26.4" x14ac:dyDescent="0.65">
      <c r="A2" s="37"/>
    </row>
    <row r="3" spans="1:7" ht="26.4" x14ac:dyDescent="0.65">
      <c r="A3" s="37"/>
      <c r="B3" s="84" t="str">
        <f>使用量と光熱費!B14</f>
        <v>主要エネルギーの月別使用量把握</v>
      </c>
      <c r="C3" s="52"/>
      <c r="D3" s="52"/>
      <c r="E3" s="53"/>
      <c r="F3" s="85">
        <f>使用量と光熱費!F14</f>
        <v>0</v>
      </c>
      <c r="G3" s="1">
        <f>IF(F3="把握している",1,0)</f>
        <v>0</v>
      </c>
    </row>
    <row r="4" spans="1:7" ht="26.4" x14ac:dyDescent="0.65">
      <c r="A4" s="37"/>
      <c r="B4" s="84" t="str">
        <f>使用量と光熱費!B29</f>
        <v>主要設備または主要工程のエネルギー使用量の把握</v>
      </c>
      <c r="C4" s="52"/>
      <c r="D4" s="52"/>
      <c r="E4" s="53"/>
      <c r="F4" s="85">
        <f>使用量と光熱費!F29</f>
        <v>0</v>
      </c>
      <c r="G4" s="1">
        <f t="shared" ref="G4:G5" si="0">IF(F4="把握している",1,0)</f>
        <v>0</v>
      </c>
    </row>
    <row r="5" spans="1:7" ht="26.4" x14ac:dyDescent="0.65">
      <c r="A5" s="37"/>
      <c r="B5" s="84" t="str">
        <f>使用量と光熱費!B44</f>
        <v>ピーク電力等把握</v>
      </c>
      <c r="C5" s="52"/>
      <c r="D5" s="52"/>
      <c r="E5" s="53"/>
      <c r="F5" s="85">
        <f>使用量と光熱費!F44</f>
        <v>0</v>
      </c>
      <c r="G5" s="1">
        <f t="shared" si="0"/>
        <v>0</v>
      </c>
    </row>
    <row r="6" spans="1:7" ht="26.4" x14ac:dyDescent="0.65">
      <c r="A6" s="37"/>
      <c r="B6" s="86" t="s">
        <v>248</v>
      </c>
      <c r="C6" s="60"/>
      <c r="D6" s="60"/>
      <c r="E6" s="61"/>
      <c r="F6" s="96">
        <f>C96</f>
        <v>0</v>
      </c>
      <c r="G6" s="1">
        <f>IF(F6&gt;=85,1,0)</f>
        <v>0</v>
      </c>
    </row>
    <row r="7" spans="1:7" ht="26.4" x14ac:dyDescent="0.65">
      <c r="A7" s="37"/>
      <c r="B7" s="86" t="str">
        <f>使用量と光熱費!B52</f>
        <v>再生可能エネルギーの活用</v>
      </c>
      <c r="C7" s="60"/>
      <c r="D7" s="60"/>
      <c r="E7" s="61"/>
      <c r="F7" s="85">
        <f>使用量と光熱費!F52</f>
        <v>0</v>
      </c>
      <c r="G7" s="1">
        <f>IF(F7="実施中",1,0)</f>
        <v>0</v>
      </c>
    </row>
    <row r="8" spans="1:7" ht="26.4" x14ac:dyDescent="0.65">
      <c r="A8" s="37"/>
      <c r="B8" s="86" t="str">
        <f>使用量と光熱費!B57</f>
        <v>買電の低炭素化</v>
      </c>
      <c r="C8" s="60"/>
      <c r="D8" s="60"/>
      <c r="E8" s="61"/>
      <c r="F8" s="86">
        <f>使用量と光熱費!F57</f>
        <v>0</v>
      </c>
      <c r="G8" s="1">
        <f>IF(F8="実施中",1,0)</f>
        <v>0</v>
      </c>
    </row>
    <row r="9" spans="1:7" ht="26.4" x14ac:dyDescent="0.65">
      <c r="A9" s="37"/>
      <c r="B9" s="51" t="s">
        <v>60</v>
      </c>
      <c r="C9" s="63"/>
      <c r="D9" s="63"/>
      <c r="E9" s="64"/>
      <c r="F9" s="697" t="str">
        <f>REPT("★",SUM(G3:G8))</f>
        <v/>
      </c>
      <c r="G9" s="698"/>
    </row>
    <row r="11" spans="1:7" ht="19.8" x14ac:dyDescent="0.5">
      <c r="A11" s="65">
        <v>1</v>
      </c>
      <c r="B11" s="65" t="s">
        <v>88</v>
      </c>
    </row>
    <row r="12" spans="1:7" x14ac:dyDescent="0.45">
      <c r="B12" t="s">
        <v>218</v>
      </c>
    </row>
    <row r="13" spans="1:7" x14ac:dyDescent="0.45">
      <c r="B13" s="1" t="s">
        <v>217</v>
      </c>
      <c r="C13" s="1" t="s">
        <v>664</v>
      </c>
      <c r="D13" s="1"/>
      <c r="E13" s="10" t="s">
        <v>58</v>
      </c>
      <c r="F13" s="10"/>
      <c r="G13" s="1" t="s">
        <v>216</v>
      </c>
    </row>
    <row r="14" spans="1:7" x14ac:dyDescent="0.45">
      <c r="B14" s="85" t="str">
        <f>使用量と光熱費!C7&amp;""</f>
        <v>電気</v>
      </c>
      <c r="C14" s="12">
        <f>使用量と光熱費!D7</f>
        <v>0</v>
      </c>
      <c r="D14" s="1" t="str">
        <f>使用量と光熱費!E7</f>
        <v>kWh</v>
      </c>
      <c r="E14" s="87">
        <f>使用量と光熱費!J7</f>
        <v>0</v>
      </c>
      <c r="F14" s="53" t="s">
        <v>62</v>
      </c>
      <c r="G14" s="40" t="e">
        <f t="shared" ref="G14:G19" si="1">E14/$E$19</f>
        <v>#DIV/0!</v>
      </c>
    </row>
    <row r="15" spans="1:7" x14ac:dyDescent="0.45">
      <c r="B15" s="85" t="str">
        <f>使用量と光熱費!C8&amp;""</f>
        <v>都市ガス</v>
      </c>
      <c r="C15" s="12">
        <f>使用量と光熱費!D8</f>
        <v>0</v>
      </c>
      <c r="D15" s="1" t="str">
        <f>使用量と光熱費!E8</f>
        <v>㎥</v>
      </c>
      <c r="E15" s="87">
        <f>使用量と光熱費!J8</f>
        <v>0</v>
      </c>
      <c r="F15" s="53" t="s">
        <v>62</v>
      </c>
      <c r="G15" s="40" t="e">
        <f t="shared" si="1"/>
        <v>#DIV/0!</v>
      </c>
    </row>
    <row r="16" spans="1:7" x14ac:dyDescent="0.45">
      <c r="B16" s="85" t="str">
        <f>使用量と光熱費!C9&amp;""</f>
        <v>液化石油ガス（LPG）</v>
      </c>
      <c r="C16" s="12">
        <f>使用量と光熱費!D9</f>
        <v>0</v>
      </c>
      <c r="D16" s="1" t="str">
        <f>使用量と光熱費!E9</f>
        <v>kg</v>
      </c>
      <c r="E16" s="87">
        <f>使用量と光熱費!J9</f>
        <v>0</v>
      </c>
      <c r="F16" s="53" t="s">
        <v>62</v>
      </c>
      <c r="G16" s="40" t="e">
        <f t="shared" si="1"/>
        <v>#DIV/0!</v>
      </c>
    </row>
    <row r="17" spans="2:7" x14ac:dyDescent="0.45">
      <c r="B17" s="85" t="str">
        <f>使用量と光熱費!C10&amp;""</f>
        <v/>
      </c>
      <c r="C17" s="12">
        <f>使用量と光熱費!D10</f>
        <v>0</v>
      </c>
      <c r="D17" s="1" t="str">
        <f>使用量と光熱費!E10</f>
        <v/>
      </c>
      <c r="E17" s="87">
        <f>使用量と光熱費!J10</f>
        <v>0</v>
      </c>
      <c r="F17" s="53" t="s">
        <v>62</v>
      </c>
      <c r="G17" s="40" t="e">
        <f t="shared" si="1"/>
        <v>#DIV/0!</v>
      </c>
    </row>
    <row r="18" spans="2:7" x14ac:dyDescent="0.45">
      <c r="B18" s="85" t="str">
        <f>使用量と光熱費!C11&amp;""</f>
        <v/>
      </c>
      <c r="C18" s="12">
        <f>使用量と光熱費!D11</f>
        <v>0</v>
      </c>
      <c r="D18" s="1" t="str">
        <f>使用量と光熱費!E11</f>
        <v/>
      </c>
      <c r="E18" s="87">
        <f>使用量と光熱費!J11</f>
        <v>0</v>
      </c>
      <c r="F18" s="53" t="s">
        <v>62</v>
      </c>
      <c r="G18" s="40" t="e">
        <f t="shared" si="1"/>
        <v>#DIV/0!</v>
      </c>
    </row>
    <row r="19" spans="2:7" x14ac:dyDescent="0.45">
      <c r="B19" s="1" t="s">
        <v>60</v>
      </c>
      <c r="C19" s="1"/>
      <c r="D19" s="1"/>
      <c r="E19" s="55">
        <f>SUM(E14:E18)</f>
        <v>0</v>
      </c>
      <c r="F19" s="53" t="s">
        <v>62</v>
      </c>
      <c r="G19" s="40" t="e">
        <f t="shared" si="1"/>
        <v>#DIV/0!</v>
      </c>
    </row>
    <row r="36" spans="1:18" ht="19.8" x14ac:dyDescent="0.5">
      <c r="A36" s="65">
        <v>2</v>
      </c>
      <c r="B36" s="65" t="s">
        <v>65</v>
      </c>
    </row>
    <row r="37" spans="1:18" ht="19.8" x14ac:dyDescent="0.5">
      <c r="A37" s="65"/>
      <c r="B37" s="1" t="s">
        <v>224</v>
      </c>
      <c r="C37" s="609" t="s">
        <v>225</v>
      </c>
      <c r="D37" s="601"/>
      <c r="E37" s="601"/>
      <c r="F37" s="601"/>
      <c r="G37" s="601"/>
      <c r="H37" s="601"/>
      <c r="I37" s="604"/>
    </row>
    <row r="38" spans="1:18" ht="18" customHeight="1" x14ac:dyDescent="0.45">
      <c r="B38" s="88">
        <f>使用量と光熱費!F14</f>
        <v>0</v>
      </c>
      <c r="C38" s="695" t="s">
        <v>231</v>
      </c>
      <c r="D38" s="695"/>
      <c r="E38" s="695"/>
      <c r="F38" s="695"/>
      <c r="G38" s="695"/>
      <c r="H38" s="695"/>
      <c r="I38" s="695"/>
      <c r="J38" s="33"/>
      <c r="K38" s="33"/>
      <c r="L38" s="33"/>
      <c r="M38" s="33"/>
    </row>
    <row r="39" spans="1:18" ht="64.95" customHeight="1" x14ac:dyDescent="0.45">
      <c r="B39" s="67" t="str">
        <f>IF(B38="把握している","★","☆")</f>
        <v>☆</v>
      </c>
      <c r="C39" s="695"/>
      <c r="D39" s="695"/>
      <c r="E39" s="695"/>
      <c r="F39" s="695"/>
      <c r="G39" s="695"/>
      <c r="H39" s="695"/>
      <c r="I39" s="695"/>
      <c r="J39" s="33"/>
      <c r="K39" s="33"/>
      <c r="L39" s="33"/>
      <c r="M39" s="33"/>
    </row>
    <row r="40" spans="1:18" ht="54" x14ac:dyDescent="0.45">
      <c r="K40" s="41" t="s">
        <v>219</v>
      </c>
      <c r="L40" s="57" t="s">
        <v>220</v>
      </c>
      <c r="M40" s="58" t="s">
        <v>221</v>
      </c>
      <c r="N40" s="89" t="str">
        <f>使用量と光熱費!C17&amp;CHAR(10)&amp;"tCO2"</f>
        <v>電気
tCO2</v>
      </c>
      <c r="O40" s="89" t="str">
        <f>使用量と光熱費!C18&amp;CHAR(10)&amp;"tCO2"</f>
        <v>都市ガス
tCO2</v>
      </c>
      <c r="P40" s="89" t="str">
        <f>使用量と光熱費!C19&amp;CHAR(10)&amp;"tCO2"</f>
        <v>液化石油ガス（LPG）
tCO2</v>
      </c>
      <c r="Q40" s="89" t="str">
        <f>使用量と光熱費!C20&amp;CHAR(10)&amp;"tCO2"</f>
        <v xml:space="preserve">
tCO2</v>
      </c>
      <c r="R40" s="89" t="str">
        <f>使用量と光熱費!C21&amp;CHAR(10)&amp;"tCO2"</f>
        <v xml:space="preserve">
tCO2</v>
      </c>
    </row>
    <row r="41" spans="1:18" x14ac:dyDescent="0.45">
      <c r="K41" s="2" t="s">
        <v>8</v>
      </c>
      <c r="L41" s="90">
        <f>SUM(N41:R41)</f>
        <v>0</v>
      </c>
      <c r="M41" s="40" t="e">
        <f t="shared" ref="M41:M53" si="2">L41/$L$53</f>
        <v>#DIV/0!</v>
      </c>
      <c r="N41" s="74">
        <f>IF($B$38="把握していない","",使用量と光熱費!E22)</f>
        <v>0</v>
      </c>
      <c r="O41" s="74">
        <f>IF($B$38="把握していない","",使用量と光熱費!E23)</f>
        <v>0</v>
      </c>
      <c r="P41" s="74">
        <f>IF($B$38="把握していない","",使用量と光熱費!E24)</f>
        <v>0</v>
      </c>
      <c r="Q41" s="74">
        <f>IF($B$38="把握していない","",使用量と光熱費!E25)</f>
        <v>0</v>
      </c>
      <c r="R41" s="74">
        <f>IF($B$38="把握していない","",使用量と光熱費!E26)</f>
        <v>0</v>
      </c>
    </row>
    <row r="42" spans="1:18" x14ac:dyDescent="0.45">
      <c r="K42" s="2" t="s">
        <v>9</v>
      </c>
      <c r="L42" s="90">
        <f t="shared" ref="L42:L52" si="3">SUM(N42:R42)</f>
        <v>0</v>
      </c>
      <c r="M42" s="40" t="e">
        <f t="shared" si="2"/>
        <v>#DIV/0!</v>
      </c>
      <c r="N42" s="74">
        <f>IF($B$38="把握していない","",使用量と光熱費!F22)</f>
        <v>0</v>
      </c>
      <c r="O42" s="74">
        <f>IF($B$38="把握していない","",使用量と光熱費!F23)</f>
        <v>0</v>
      </c>
      <c r="P42" s="74">
        <f>IF($B$38="把握していない","",使用量と光熱費!F24)</f>
        <v>0</v>
      </c>
      <c r="Q42" s="74">
        <f>IF($B$38="把握していない","",使用量と光熱費!F25)</f>
        <v>0</v>
      </c>
      <c r="R42" s="74">
        <f>IF($B$38="把握していない","",使用量と光熱費!F26)</f>
        <v>0</v>
      </c>
    </row>
    <row r="43" spans="1:18" x14ac:dyDescent="0.45">
      <c r="K43" s="2" t="s">
        <v>10</v>
      </c>
      <c r="L43" s="90">
        <f t="shared" si="3"/>
        <v>0</v>
      </c>
      <c r="M43" s="40" t="e">
        <f t="shared" si="2"/>
        <v>#DIV/0!</v>
      </c>
      <c r="N43" s="74">
        <f>IF($B$38="把握していない","",使用量と光熱費!G22)</f>
        <v>0</v>
      </c>
      <c r="O43" s="74">
        <f>IF($B$38="把握していない","",使用量と光熱費!G23)</f>
        <v>0</v>
      </c>
      <c r="P43" s="74">
        <f>IF($B$38="把握していない","",使用量と光熱費!G24)</f>
        <v>0</v>
      </c>
      <c r="Q43" s="74">
        <f>IF($B$38="把握していない","",使用量と光熱費!G25)</f>
        <v>0</v>
      </c>
      <c r="R43" s="74">
        <f>IF($B$38="把握していない","",使用量と光熱費!G26)</f>
        <v>0</v>
      </c>
    </row>
    <row r="44" spans="1:18" x14ac:dyDescent="0.45">
      <c r="K44" s="2" t="s">
        <v>11</v>
      </c>
      <c r="L44" s="90">
        <f t="shared" si="3"/>
        <v>0</v>
      </c>
      <c r="M44" s="40" t="e">
        <f t="shared" si="2"/>
        <v>#DIV/0!</v>
      </c>
      <c r="N44" s="74">
        <f>IF($B$38="把握していない","",使用量と光熱費!H22)</f>
        <v>0</v>
      </c>
      <c r="O44" s="74">
        <f>IF($B$38="把握していない","",使用量と光熱費!H23)</f>
        <v>0</v>
      </c>
      <c r="P44" s="74">
        <f>IF($B$38="把握していない","",使用量と光熱費!H24)</f>
        <v>0</v>
      </c>
      <c r="Q44" s="74">
        <f>IF($B$38="把握していない","",使用量と光熱費!H25)</f>
        <v>0</v>
      </c>
      <c r="R44" s="74">
        <f>IF($B$38="把握していない","",使用量と光熱費!H26)</f>
        <v>0</v>
      </c>
    </row>
    <row r="45" spans="1:18" x14ac:dyDescent="0.45">
      <c r="K45" s="2" t="s">
        <v>12</v>
      </c>
      <c r="L45" s="90">
        <f t="shared" si="3"/>
        <v>0</v>
      </c>
      <c r="M45" s="40" t="e">
        <f t="shared" si="2"/>
        <v>#DIV/0!</v>
      </c>
      <c r="N45" s="74">
        <f>IF($B$38="把握していない","",使用量と光熱費!I22)</f>
        <v>0</v>
      </c>
      <c r="O45" s="74">
        <f>IF($B$38="把握していない","",使用量と光熱費!I23)</f>
        <v>0</v>
      </c>
      <c r="P45" s="74">
        <f>IF($B$38="把握していない","",使用量と光熱費!I24)</f>
        <v>0</v>
      </c>
      <c r="Q45" s="74">
        <f>IF($B$38="把握していない","",使用量と光熱費!I25)</f>
        <v>0</v>
      </c>
      <c r="R45" s="74">
        <f>IF($B$38="把握していない","",使用量と光熱費!I26)</f>
        <v>0</v>
      </c>
    </row>
    <row r="46" spans="1:18" x14ac:dyDescent="0.45">
      <c r="K46" s="2" t="s">
        <v>13</v>
      </c>
      <c r="L46" s="90">
        <f t="shared" si="3"/>
        <v>0</v>
      </c>
      <c r="M46" s="40" t="e">
        <f t="shared" si="2"/>
        <v>#DIV/0!</v>
      </c>
      <c r="N46" s="74">
        <f>IF($B$38="把握していない","",使用量と光熱費!J22)</f>
        <v>0</v>
      </c>
      <c r="O46" s="74">
        <f>IF($B$38="把握していない","",使用量と光熱費!J23)</f>
        <v>0</v>
      </c>
      <c r="P46" s="74">
        <f>IF($B$38="把握していない","",使用量と光熱費!J24)</f>
        <v>0</v>
      </c>
      <c r="Q46" s="74">
        <f>IF($B$38="把握していない","",使用量と光熱費!J25)</f>
        <v>0</v>
      </c>
      <c r="R46" s="74">
        <f>IF($B$38="把握していない","",使用量と光熱費!J26)</f>
        <v>0</v>
      </c>
    </row>
    <row r="47" spans="1:18" x14ac:dyDescent="0.45">
      <c r="K47" s="2" t="s">
        <v>14</v>
      </c>
      <c r="L47" s="90">
        <f t="shared" si="3"/>
        <v>0</v>
      </c>
      <c r="M47" s="40" t="e">
        <f t="shared" si="2"/>
        <v>#DIV/0!</v>
      </c>
      <c r="N47" s="74">
        <f>IF($B$38="把握していない","",使用量と光熱費!K22)</f>
        <v>0</v>
      </c>
      <c r="O47" s="74">
        <f>IF($B$38="把握していない","",使用量と光熱費!K23)</f>
        <v>0</v>
      </c>
      <c r="P47" s="74">
        <f>IF($B$38="把握していない","",使用量と光熱費!K24)</f>
        <v>0</v>
      </c>
      <c r="Q47" s="74">
        <f>IF($B$38="把握していない","",使用量と光熱費!K25)</f>
        <v>0</v>
      </c>
      <c r="R47" s="74">
        <f>IF($B$38="把握していない","",使用量と光熱費!K26)</f>
        <v>0</v>
      </c>
    </row>
    <row r="48" spans="1:18" x14ac:dyDescent="0.45">
      <c r="K48" s="2" t="s">
        <v>15</v>
      </c>
      <c r="L48" s="90">
        <f t="shared" si="3"/>
        <v>0</v>
      </c>
      <c r="M48" s="40" t="e">
        <f t="shared" si="2"/>
        <v>#DIV/0!</v>
      </c>
      <c r="N48" s="74">
        <f>IF($B$38="把握していない","",使用量と光熱費!L22)</f>
        <v>0</v>
      </c>
      <c r="O48" s="74">
        <f>IF($B$38="把握していない","",使用量と光熱費!L23)</f>
        <v>0</v>
      </c>
      <c r="P48" s="74">
        <f>IF($B$38="把握していない","",使用量と光熱費!L24)</f>
        <v>0</v>
      </c>
      <c r="Q48" s="74">
        <f>IF($B$38="把握していない","",使用量と光熱費!L25)</f>
        <v>0</v>
      </c>
      <c r="R48" s="74">
        <f>IF($B$38="把握していない","",使用量と光熱費!L26)</f>
        <v>0</v>
      </c>
    </row>
    <row r="49" spans="11:18" x14ac:dyDescent="0.45">
      <c r="K49" s="2" t="s">
        <v>16</v>
      </c>
      <c r="L49" s="90">
        <f t="shared" si="3"/>
        <v>0</v>
      </c>
      <c r="M49" s="40" t="e">
        <f t="shared" si="2"/>
        <v>#DIV/0!</v>
      </c>
      <c r="N49" s="74">
        <f>IF($B$38="把握していない","",使用量と光熱費!M22)</f>
        <v>0</v>
      </c>
      <c r="O49" s="74">
        <f>IF($B$38="把握していない","",使用量と光熱費!M23)</f>
        <v>0</v>
      </c>
      <c r="P49" s="74">
        <f>IF($B$38="把握していない","",使用量と光熱費!M24)</f>
        <v>0</v>
      </c>
      <c r="Q49" s="74">
        <f>IF($B$38="把握していない","",使用量と光熱費!M25)</f>
        <v>0</v>
      </c>
      <c r="R49" s="74">
        <f>IF($B$38="把握していない","",使用量と光熱費!M26)</f>
        <v>0</v>
      </c>
    </row>
    <row r="50" spans="11:18" x14ac:dyDescent="0.45">
      <c r="K50" s="2" t="s">
        <v>17</v>
      </c>
      <c r="L50" s="90">
        <f t="shared" si="3"/>
        <v>0</v>
      </c>
      <c r="M50" s="40" t="e">
        <f t="shared" si="2"/>
        <v>#DIV/0!</v>
      </c>
      <c r="N50" s="74">
        <f>IF($B$38="把握していない","",使用量と光熱費!N22)</f>
        <v>0</v>
      </c>
      <c r="O50" s="74">
        <f>IF($B$38="把握していない","",使用量と光熱費!N23)</f>
        <v>0</v>
      </c>
      <c r="P50" s="74">
        <f>IF($B$38="把握していない","",使用量と光熱費!N24)</f>
        <v>0</v>
      </c>
      <c r="Q50" s="74">
        <f>IF($B$38="把握していない","",使用量と光熱費!N25)</f>
        <v>0</v>
      </c>
      <c r="R50" s="74">
        <f>IF($B$38="把握していない","",使用量と光熱費!N26)</f>
        <v>0</v>
      </c>
    </row>
    <row r="51" spans="11:18" x14ac:dyDescent="0.45">
      <c r="K51" s="2" t="s">
        <v>18</v>
      </c>
      <c r="L51" s="90">
        <f t="shared" si="3"/>
        <v>0</v>
      </c>
      <c r="M51" s="40" t="e">
        <f t="shared" si="2"/>
        <v>#DIV/0!</v>
      </c>
      <c r="N51" s="74">
        <f>IF($B$38="把握していない","",使用量と光熱費!O22)</f>
        <v>0</v>
      </c>
      <c r="O51" s="74">
        <f>IF($B$38="把握していない","",使用量と光熱費!O23)</f>
        <v>0</v>
      </c>
      <c r="P51" s="74">
        <f>IF($B$38="把握していない","",使用量と光熱費!O24)</f>
        <v>0</v>
      </c>
      <c r="Q51" s="74">
        <f>IF($B$38="把握していない","",使用量と光熱費!O25)</f>
        <v>0</v>
      </c>
      <c r="R51" s="74">
        <f>IF($B$38="把握していない","",使用量と光熱費!O26)</f>
        <v>0</v>
      </c>
    </row>
    <row r="52" spans="11:18" x14ac:dyDescent="0.45">
      <c r="K52" s="2" t="s">
        <v>19</v>
      </c>
      <c r="L52" s="90">
        <f t="shared" si="3"/>
        <v>0</v>
      </c>
      <c r="M52" s="40" t="e">
        <f t="shared" si="2"/>
        <v>#DIV/0!</v>
      </c>
      <c r="N52" s="74">
        <f>IF($B$38="把握していない","",使用量と光熱費!P22)</f>
        <v>0</v>
      </c>
      <c r="O52" s="74">
        <f>IF($B$38="把握していない","",使用量と光熱費!P23)</f>
        <v>0</v>
      </c>
      <c r="P52" s="74">
        <f>IF($B$38="把握していない","",使用量と光熱費!P24)</f>
        <v>0</v>
      </c>
      <c r="Q52" s="74">
        <f>IF($B$38="把握していない","",使用量と光熱費!P25)</f>
        <v>0</v>
      </c>
      <c r="R52" s="74">
        <f>IF($B$38="把握していない","",使用量と光熱費!P26)</f>
        <v>0</v>
      </c>
    </row>
    <row r="53" spans="11:18" x14ac:dyDescent="0.45">
      <c r="K53" s="2" t="s">
        <v>60</v>
      </c>
      <c r="L53" s="56">
        <f>SUM(L41:L52)</f>
        <v>0</v>
      </c>
      <c r="M53" s="40" t="e">
        <f t="shared" si="2"/>
        <v>#DIV/0!</v>
      </c>
      <c r="N53" s="56">
        <f>SUM(N41:N52)</f>
        <v>0</v>
      </c>
      <c r="O53" s="56">
        <f t="shared" ref="O53:R53" si="4">SUM(O41:O52)</f>
        <v>0</v>
      </c>
      <c r="P53" s="56">
        <f t="shared" si="4"/>
        <v>0</v>
      </c>
      <c r="Q53" s="56">
        <f t="shared" si="4"/>
        <v>0</v>
      </c>
      <c r="R53" s="56">
        <f t="shared" si="4"/>
        <v>0</v>
      </c>
    </row>
    <row r="66" spans="1:18" ht="19.8" x14ac:dyDescent="0.5">
      <c r="A66" s="65">
        <v>3</v>
      </c>
      <c r="B66" s="65" t="s">
        <v>171</v>
      </c>
    </row>
    <row r="67" spans="1:18" ht="19.8" x14ac:dyDescent="0.5">
      <c r="A67" s="65"/>
      <c r="B67" s="1" t="s">
        <v>224</v>
      </c>
      <c r="C67" s="609" t="s">
        <v>225</v>
      </c>
      <c r="D67" s="601"/>
      <c r="E67" s="601"/>
      <c r="F67" s="601"/>
      <c r="G67" s="601"/>
      <c r="H67" s="601"/>
      <c r="I67" s="604"/>
    </row>
    <row r="68" spans="1:18" x14ac:dyDescent="0.45">
      <c r="B68" s="88">
        <f>使用量と光熱費!F29</f>
        <v>0</v>
      </c>
      <c r="C68" s="695" t="s">
        <v>232</v>
      </c>
      <c r="D68" s="695"/>
      <c r="E68" s="695"/>
      <c r="F68" s="695"/>
      <c r="G68" s="695"/>
      <c r="H68" s="695"/>
      <c r="I68" s="695"/>
    </row>
    <row r="69" spans="1:18" ht="48" customHeight="1" x14ac:dyDescent="0.45">
      <c r="B69" s="94" t="str">
        <f>IF(B68="把握している","★","☆")</f>
        <v>☆</v>
      </c>
      <c r="C69" s="695"/>
      <c r="D69" s="695"/>
      <c r="E69" s="695"/>
      <c r="F69" s="695"/>
      <c r="G69" s="695"/>
      <c r="H69" s="695"/>
      <c r="I69" s="695"/>
    </row>
    <row r="70" spans="1:18" x14ac:dyDescent="0.45">
      <c r="K70" s="1" t="s">
        <v>2</v>
      </c>
      <c r="L70" s="88" t="str">
        <f>IF($B$68="把握していない","",使用量と光熱費!E31&amp;"")</f>
        <v/>
      </c>
      <c r="M70" s="88" t="str">
        <f>IF($B$68="把握していない","",使用量と光熱費!F31&amp;"")</f>
        <v/>
      </c>
      <c r="N70" s="88" t="str">
        <f>IF($B$68="把握していない","",使用量と光熱費!G31&amp;"")</f>
        <v/>
      </c>
      <c r="O70" s="88" t="str">
        <f>IF($B$68="把握していない","",使用量と光熱費!H31&amp;"")</f>
        <v/>
      </c>
      <c r="P70" s="88" t="str">
        <f>IF($B$68="把握していない","",使用量と光熱費!I31&amp;"")</f>
        <v/>
      </c>
      <c r="Q70" s="1" t="str">
        <f>IF($B$68="把握していない","","その他")</f>
        <v>その他</v>
      </c>
      <c r="R70" s="1" t="s">
        <v>226</v>
      </c>
    </row>
    <row r="71" spans="1:18" x14ac:dyDescent="0.45">
      <c r="K71" s="85" t="str">
        <f>使用量と光熱費!C37</f>
        <v>電気</v>
      </c>
      <c r="L71" s="88">
        <f>IF($B$68="把握していない","",使用量と光熱費!E37)</f>
        <v>0</v>
      </c>
      <c r="M71" s="88">
        <f>IF($B$68="把握していない","",使用量と光熱費!F37)</f>
        <v>0</v>
      </c>
      <c r="N71" s="88">
        <f>IF($B$68="把握していない","",使用量と光熱費!G37)</f>
        <v>0</v>
      </c>
      <c r="O71" s="88">
        <f>IF($B$68="把握していない","",使用量と光熱費!H37)</f>
        <v>0</v>
      </c>
      <c r="P71" s="88">
        <f>IF($B$68="把握していない","",使用量と光熱費!I37)</f>
        <v>0</v>
      </c>
      <c r="Q71" s="56">
        <f>R71-SUM(L71:P71)</f>
        <v>0</v>
      </c>
      <c r="R71" s="56">
        <f t="shared" ref="R71:R76" si="5">E14</f>
        <v>0</v>
      </c>
    </row>
    <row r="72" spans="1:18" x14ac:dyDescent="0.45">
      <c r="K72" s="85" t="str">
        <f>使用量と光熱費!C38</f>
        <v>都市ガス</v>
      </c>
      <c r="L72" s="88">
        <f>IF($B$68="把握していない","",使用量と光熱費!E38)</f>
        <v>0</v>
      </c>
      <c r="M72" s="88">
        <f>IF($B$68="把握していない","",使用量と光熱費!F38)</f>
        <v>0</v>
      </c>
      <c r="N72" s="88">
        <f>IF($B$68="把握していない","",使用量と光熱費!G38)</f>
        <v>0</v>
      </c>
      <c r="O72" s="88">
        <f>IF($B$68="把握していない","",使用量と光熱費!H38)</f>
        <v>0</v>
      </c>
      <c r="P72" s="88">
        <f>IF($B$68="把握していない","",使用量と光熱費!I38)</f>
        <v>0</v>
      </c>
      <c r="Q72" s="56">
        <f t="shared" ref="Q72:Q76" si="6">R72-SUM(L72:P72)</f>
        <v>0</v>
      </c>
      <c r="R72" s="56">
        <f t="shared" si="5"/>
        <v>0</v>
      </c>
    </row>
    <row r="73" spans="1:18" x14ac:dyDescent="0.45">
      <c r="K73" s="85" t="str">
        <f>使用量と光熱費!C39</f>
        <v>液化石油ガス（LPG）</v>
      </c>
      <c r="L73" s="88">
        <f>IF($B$68="把握していない","",使用量と光熱費!E39)</f>
        <v>0</v>
      </c>
      <c r="M73" s="88">
        <f>IF($B$68="把握していない","",使用量と光熱費!F39)</f>
        <v>0</v>
      </c>
      <c r="N73" s="88">
        <f>IF($B$68="把握していない","",使用量と光熱費!G39)</f>
        <v>0</v>
      </c>
      <c r="O73" s="88">
        <f>IF($B$68="把握していない","",使用量と光熱費!H39)</f>
        <v>0</v>
      </c>
      <c r="P73" s="88">
        <f>IF($B$68="把握していない","",使用量と光熱費!I39)</f>
        <v>0</v>
      </c>
      <c r="Q73" s="56">
        <f t="shared" si="6"/>
        <v>0</v>
      </c>
      <c r="R73" s="56">
        <f t="shared" si="5"/>
        <v>0</v>
      </c>
    </row>
    <row r="74" spans="1:18" x14ac:dyDescent="0.45">
      <c r="K74" s="85" t="str">
        <f>使用量と光熱費!C40</f>
        <v/>
      </c>
      <c r="L74" s="88">
        <f>IF($B$68="把握していない","",使用量と光熱費!E40)</f>
        <v>0</v>
      </c>
      <c r="M74" s="88">
        <f>IF($B$68="把握していない","",使用量と光熱費!F40)</f>
        <v>0</v>
      </c>
      <c r="N74" s="88">
        <f>IF($B$68="把握していない","",使用量と光熱費!G40)</f>
        <v>0</v>
      </c>
      <c r="O74" s="88">
        <f>IF($B$68="把握していない","",使用量と光熱費!H40)</f>
        <v>0</v>
      </c>
      <c r="P74" s="88">
        <f>IF($B$68="把握していない","",使用量と光熱費!I40)</f>
        <v>0</v>
      </c>
      <c r="Q74" s="56">
        <f t="shared" si="6"/>
        <v>0</v>
      </c>
      <c r="R74" s="56">
        <f t="shared" si="5"/>
        <v>0</v>
      </c>
    </row>
    <row r="75" spans="1:18" x14ac:dyDescent="0.45">
      <c r="K75" s="85" t="str">
        <f>使用量と光熱費!C41</f>
        <v/>
      </c>
      <c r="L75" s="88">
        <f>IF($B$68="把握していない","",使用量と光熱費!E41)</f>
        <v>0</v>
      </c>
      <c r="M75" s="88">
        <f>IF($B$68="把握していない","",使用量と光熱費!F41)</f>
        <v>0</v>
      </c>
      <c r="N75" s="88">
        <f>IF($B$68="把握していない","",使用量と光熱費!G41)</f>
        <v>0</v>
      </c>
      <c r="O75" s="88">
        <f>IF($B$68="把握していない","",使用量と光熱費!H41)</f>
        <v>0</v>
      </c>
      <c r="P75" s="88">
        <f>IF($B$68="把握していない","",使用量と光熱費!I41)</f>
        <v>0</v>
      </c>
      <c r="Q75" s="56">
        <f t="shared" si="6"/>
        <v>0</v>
      </c>
      <c r="R75" s="56">
        <f t="shared" si="5"/>
        <v>0</v>
      </c>
    </row>
    <row r="76" spans="1:18" x14ac:dyDescent="0.45">
      <c r="K76" s="85" t="str">
        <f>使用量と光熱費!C42</f>
        <v>合計</v>
      </c>
      <c r="L76" s="88">
        <f>SUM(L71:L75)</f>
        <v>0</v>
      </c>
      <c r="M76" s="88">
        <f t="shared" ref="M76:P76" si="7">SUM(M71:M75)</f>
        <v>0</v>
      </c>
      <c r="N76" s="88">
        <f t="shared" si="7"/>
        <v>0</v>
      </c>
      <c r="O76" s="88">
        <f t="shared" si="7"/>
        <v>0</v>
      </c>
      <c r="P76" s="88">
        <f t="shared" si="7"/>
        <v>0</v>
      </c>
      <c r="Q76" s="56">
        <f t="shared" si="6"/>
        <v>0</v>
      </c>
      <c r="R76" s="56">
        <f t="shared" si="5"/>
        <v>0</v>
      </c>
    </row>
    <row r="77" spans="1:18" x14ac:dyDescent="0.45">
      <c r="K77" s="1" t="s">
        <v>216</v>
      </c>
      <c r="L77" s="40" t="e">
        <f>IF($B$68="把握していない","",L76/$R$76)</f>
        <v>#DIV/0!</v>
      </c>
      <c r="M77" s="40" t="e">
        <f t="shared" ref="M77:Q77" si="8">IF($B$68="把握していない","",M76/$R$76)</f>
        <v>#DIV/0!</v>
      </c>
      <c r="N77" s="40" t="e">
        <f t="shared" si="8"/>
        <v>#DIV/0!</v>
      </c>
      <c r="O77" s="40" t="e">
        <f t="shared" si="8"/>
        <v>#DIV/0!</v>
      </c>
      <c r="P77" s="40" t="e">
        <f t="shared" si="8"/>
        <v>#DIV/0!</v>
      </c>
      <c r="Q77" s="40" t="e">
        <f t="shared" si="8"/>
        <v>#DIV/0!</v>
      </c>
      <c r="R77" s="40" t="e">
        <f>R76/$R$76</f>
        <v>#DIV/0!</v>
      </c>
    </row>
    <row r="84" spans="1:9" ht="19.8" x14ac:dyDescent="0.5">
      <c r="A84" s="65">
        <v>4</v>
      </c>
      <c r="B84" s="65" t="s">
        <v>203</v>
      </c>
    </row>
    <row r="85" spans="1:9" x14ac:dyDescent="0.45">
      <c r="B85" s="1" t="s">
        <v>224</v>
      </c>
      <c r="C85" s="609" t="s">
        <v>225</v>
      </c>
      <c r="D85" s="601"/>
      <c r="E85" s="601"/>
      <c r="F85" s="601"/>
      <c r="G85" s="601"/>
      <c r="H85" s="601"/>
      <c r="I85" s="604"/>
    </row>
    <row r="86" spans="1:9" x14ac:dyDescent="0.45">
      <c r="B86" s="88">
        <f>使用量と光熱費!F44</f>
        <v>0</v>
      </c>
      <c r="C86" s="695" t="s">
        <v>255</v>
      </c>
      <c r="D86" s="695"/>
      <c r="E86" s="695"/>
      <c r="F86" s="695"/>
      <c r="G86" s="695"/>
      <c r="H86" s="695"/>
      <c r="I86" s="695"/>
    </row>
    <row r="87" spans="1:9" ht="63.6" customHeight="1" x14ac:dyDescent="0.45">
      <c r="B87" s="94" t="str">
        <f>IF(B86="把握している","★","☆")</f>
        <v>☆</v>
      </c>
      <c r="C87" s="695"/>
      <c r="D87" s="695"/>
      <c r="E87" s="695"/>
      <c r="F87" s="695"/>
      <c r="G87" s="695"/>
      <c r="H87" s="695"/>
      <c r="I87" s="695"/>
    </row>
    <row r="88" spans="1:9" x14ac:dyDescent="0.45">
      <c r="B88" s="1" t="s">
        <v>233</v>
      </c>
      <c r="C88" s="696" t="s">
        <v>234</v>
      </c>
      <c r="D88" s="696"/>
      <c r="E88" s="696"/>
      <c r="F88" s="696"/>
      <c r="G88" s="696"/>
      <c r="H88" s="696"/>
      <c r="I88" s="696"/>
    </row>
    <row r="89" spans="1:9" ht="19.8" x14ac:dyDescent="0.45">
      <c r="B89" s="95" t="str">
        <f>使用量と光熱費!D47&amp;"%"</f>
        <v>%</v>
      </c>
      <c r="C89" s="696"/>
      <c r="D89" s="696"/>
      <c r="E89" s="696"/>
      <c r="F89" s="696"/>
      <c r="G89" s="696"/>
      <c r="H89" s="696"/>
      <c r="I89" s="696"/>
    </row>
    <row r="90" spans="1:9" ht="71.55" customHeight="1" x14ac:dyDescent="0.45">
      <c r="B90" s="94" t="str">
        <f>IF(C96&gt;=90,"★","☆")</f>
        <v>☆</v>
      </c>
      <c r="C90" s="696"/>
      <c r="D90" s="696"/>
      <c r="E90" s="696"/>
      <c r="F90" s="696"/>
      <c r="G90" s="696"/>
      <c r="H90" s="696"/>
      <c r="I90" s="696"/>
    </row>
    <row r="92" spans="1:9" ht="42" customHeight="1" x14ac:dyDescent="0.45">
      <c r="B92" s="1" t="s">
        <v>511</v>
      </c>
      <c r="C92" s="602" t="s">
        <v>235</v>
      </c>
      <c r="D92" s="602"/>
      <c r="E92" s="699" t="s">
        <v>238</v>
      </c>
      <c r="F92" s="699"/>
      <c r="G92" s="699" t="s">
        <v>242</v>
      </c>
      <c r="H92" s="699"/>
      <c r="I92" s="699"/>
    </row>
    <row r="93" spans="1:9" x14ac:dyDescent="0.45">
      <c r="B93" s="1" t="s">
        <v>512</v>
      </c>
      <c r="C93" s="701">
        <f>C98-C97*C95*(185-100)/100*12</f>
        <v>0</v>
      </c>
      <c r="D93" s="701"/>
      <c r="E93" s="700">
        <f>C98-C97*(C95*0.95)*(185-C96)/100*12</f>
        <v>0</v>
      </c>
      <c r="F93" s="700"/>
      <c r="G93" s="700">
        <f>C98-C97*(C95*0.95)*(185-100)/100*12</f>
        <v>0</v>
      </c>
      <c r="H93" s="700"/>
      <c r="I93" s="700"/>
    </row>
    <row r="94" spans="1:9" x14ac:dyDescent="0.45">
      <c r="B94" s="91"/>
      <c r="C94" s="91"/>
    </row>
    <row r="95" spans="1:9" x14ac:dyDescent="0.45">
      <c r="B95" s="1" t="s">
        <v>241</v>
      </c>
      <c r="C95" s="3">
        <f>使用量と光熱費!D46</f>
        <v>0</v>
      </c>
      <c r="D95" s="1" t="s">
        <v>201</v>
      </c>
    </row>
    <row r="96" spans="1:9" x14ac:dyDescent="0.45">
      <c r="B96" s="1" t="s">
        <v>205</v>
      </c>
      <c r="C96" s="3">
        <f>使用量と光熱費!D47</f>
        <v>0</v>
      </c>
      <c r="D96" s="1" t="s">
        <v>204</v>
      </c>
    </row>
    <row r="97" spans="1:9" x14ac:dyDescent="0.45">
      <c r="B97" s="1" t="s">
        <v>240</v>
      </c>
      <c r="C97" s="3">
        <f>使用量と光熱費!D48</f>
        <v>0</v>
      </c>
      <c r="D97" s="1" t="s">
        <v>239</v>
      </c>
    </row>
    <row r="98" spans="1:9" x14ac:dyDescent="0.45">
      <c r="B98" s="1" t="s">
        <v>237</v>
      </c>
      <c r="C98" s="93">
        <f>C97*C95*(185-C96)/100*12</f>
        <v>0</v>
      </c>
      <c r="D98" s="1" t="s">
        <v>236</v>
      </c>
    </row>
    <row r="101" spans="1:9" x14ac:dyDescent="0.45">
      <c r="A101">
        <v>5</v>
      </c>
      <c r="B101" t="s">
        <v>200</v>
      </c>
    </row>
    <row r="102" spans="1:9" x14ac:dyDescent="0.45">
      <c r="B102" s="1" t="s">
        <v>224</v>
      </c>
      <c r="C102" s="609" t="s">
        <v>225</v>
      </c>
      <c r="D102" s="601"/>
      <c r="E102" s="601"/>
      <c r="F102" s="601"/>
      <c r="G102" s="601"/>
      <c r="H102" s="601"/>
      <c r="I102" s="604"/>
    </row>
    <row r="103" spans="1:9" x14ac:dyDescent="0.45">
      <c r="B103" s="88">
        <f>使用量と光熱費!F52</f>
        <v>0</v>
      </c>
      <c r="C103" s="695" t="s">
        <v>522</v>
      </c>
      <c r="D103" s="695"/>
      <c r="E103" s="695"/>
      <c r="F103" s="695"/>
      <c r="G103" s="695"/>
      <c r="H103" s="695"/>
      <c r="I103" s="695"/>
    </row>
    <row r="104" spans="1:9" ht="39" x14ac:dyDescent="0.45">
      <c r="B104" s="94" t="str">
        <f>IF(B103="実施中","★","☆")</f>
        <v>☆</v>
      </c>
      <c r="C104" s="695"/>
      <c r="D104" s="695"/>
      <c r="E104" s="695"/>
      <c r="F104" s="695"/>
      <c r="G104" s="695"/>
      <c r="H104" s="695"/>
      <c r="I104" s="695"/>
    </row>
    <row r="105" spans="1:9" x14ac:dyDescent="0.45">
      <c r="B105" s="1" t="s">
        <v>513</v>
      </c>
      <c r="C105" s="51">
        <f>使用量と光熱費!D55*係数!$H$30</f>
        <v>0</v>
      </c>
      <c r="D105" s="52" t="s">
        <v>514</v>
      </c>
      <c r="E105" s="52"/>
      <c r="F105" s="52"/>
      <c r="G105" s="52"/>
      <c r="H105" s="52"/>
      <c r="I105" s="53"/>
    </row>
    <row r="107" spans="1:9" x14ac:dyDescent="0.45">
      <c r="A107">
        <v>5</v>
      </c>
      <c r="B107" t="s">
        <v>209</v>
      </c>
    </row>
    <row r="108" spans="1:9" x14ac:dyDescent="0.45">
      <c r="B108" s="1" t="s">
        <v>224</v>
      </c>
      <c r="C108" s="609" t="s">
        <v>225</v>
      </c>
      <c r="D108" s="601"/>
      <c r="E108" s="601"/>
      <c r="F108" s="601"/>
      <c r="G108" s="601"/>
      <c r="H108" s="601"/>
      <c r="I108" s="604"/>
    </row>
    <row r="109" spans="1:9" ht="18" customHeight="1" x14ac:dyDescent="0.45">
      <c r="B109" s="88">
        <f>使用量と光熱費!F57</f>
        <v>0</v>
      </c>
      <c r="C109" s="695" t="s">
        <v>521</v>
      </c>
      <c r="D109" s="695"/>
      <c r="E109" s="695"/>
      <c r="F109" s="695"/>
      <c r="G109" s="695"/>
      <c r="H109" s="695"/>
      <c r="I109" s="695"/>
    </row>
    <row r="110" spans="1:9" ht="51" customHeight="1" x14ac:dyDescent="0.45">
      <c r="B110" s="94" t="str">
        <f>IF(B109="実施中","★","☆")</f>
        <v>☆</v>
      </c>
      <c r="C110" s="695"/>
      <c r="D110" s="695"/>
      <c r="E110" s="695"/>
      <c r="F110" s="695"/>
      <c r="G110" s="695"/>
      <c r="H110" s="695"/>
      <c r="I110" s="695"/>
    </row>
    <row r="111" spans="1:9" x14ac:dyDescent="0.45">
      <c r="B111" s="1" t="s">
        <v>513</v>
      </c>
      <c r="C111" s="51">
        <f>IF(B109="実施中",使用量と光熱費!Q17*(係数!$H$30-使用量と光熱費!D59),0)</f>
        <v>0</v>
      </c>
      <c r="D111" s="52" t="s">
        <v>514</v>
      </c>
      <c r="E111" s="52"/>
      <c r="F111" s="52"/>
      <c r="G111" s="52"/>
      <c r="H111" s="52"/>
      <c r="I111" s="53"/>
    </row>
  </sheetData>
  <sheetProtection algorithmName="SHA-512" hashValue="DsRxXzfX8A5InqWbEmY2K7no/YAv/wbduteWH+vyOadOVy3zliPC26ACqjkrYCYGAxvYxwCi+SueBloDiRkqqQ==" saltValue="97qkN9f6oYpan4vvYFygUQ==" spinCount="100000" sheet="1" objects="1" scenarios="1" formatCells="0" formatColumns="0" formatRows="0"/>
  <mergeCells count="18">
    <mergeCell ref="C102:I102"/>
    <mergeCell ref="C103:I104"/>
    <mergeCell ref="C108:I108"/>
    <mergeCell ref="C109:I110"/>
    <mergeCell ref="E92:F92"/>
    <mergeCell ref="E93:F93"/>
    <mergeCell ref="G92:I92"/>
    <mergeCell ref="G93:I93"/>
    <mergeCell ref="C92:D92"/>
    <mergeCell ref="C93:D93"/>
    <mergeCell ref="C68:I69"/>
    <mergeCell ref="C85:I85"/>
    <mergeCell ref="C86:I87"/>
    <mergeCell ref="C88:I90"/>
    <mergeCell ref="F9:G9"/>
    <mergeCell ref="C38:I39"/>
    <mergeCell ref="C37:I37"/>
    <mergeCell ref="C67:I67"/>
  </mergeCells>
  <phoneticPr fontId="5"/>
  <conditionalFormatting sqref="M41:M52">
    <cfRule type="colorScale" priority="13">
      <colorScale>
        <cfvo type="min"/>
        <cfvo type="max"/>
        <color rgb="FFFCFCFF"/>
        <color rgb="FFF8696B"/>
      </colorScale>
    </cfRule>
  </conditionalFormatting>
  <conditionalFormatting sqref="G14:G18">
    <cfRule type="colorScale" priority="11">
      <colorScale>
        <cfvo type="min"/>
        <cfvo type="max"/>
        <color rgb="FFFCFCFF"/>
        <color rgb="FFF8696B"/>
      </colorScale>
    </cfRule>
  </conditionalFormatting>
  <conditionalFormatting sqref="N53:R53">
    <cfRule type="colorScale" priority="10">
      <colorScale>
        <cfvo type="min"/>
        <cfvo type="max"/>
        <color rgb="FFFCFCFF"/>
        <color rgb="FFF8696B"/>
      </colorScale>
    </cfRule>
  </conditionalFormatting>
  <conditionalFormatting sqref="J5:J6">
    <cfRule type="iconSet" priority="8">
      <iconSet iconSet="3Signs">
        <cfvo type="percent" val="0"/>
        <cfvo type="num" val="0.33"/>
        <cfvo type="num" val="0.67"/>
      </iconSet>
    </cfRule>
  </conditionalFormatting>
  <conditionalFormatting sqref="C95:C98">
    <cfRule type="expression" dxfId="27" priority="2">
      <formula>$F$44="把握していない"</formula>
    </cfRule>
  </conditionalFormatting>
  <pageMargins left="0.7" right="0.7" top="0.75" bottom="0.75" header="0.3" footer="0.3"/>
  <pageSetup paperSize="9" orientation="portrait" r:id="rId1"/>
  <rowBreaks count="3" manualBreakCount="3">
    <brk id="35" max="16383" man="1"/>
    <brk id="65" max="8" man="1"/>
    <brk id="83" max="8" man="1"/>
  </rowBreaks>
  <ignoredErrors>
    <ignoredError sqref="M53" formula="1"/>
  </ignoredErrors>
  <drawing r:id="rId2"/>
  <extLst>
    <ext xmlns:x14="http://schemas.microsoft.com/office/spreadsheetml/2009/9/main" uri="{78C0D931-6437-407d-A8EE-F0AAD7539E65}">
      <x14:conditionalFormattings>
        <x14:conditionalFormatting xmlns:xm="http://schemas.microsoft.com/office/excel/2006/main">
          <x14:cfRule type="iconSet" priority="5" id="{C5792083-5140-4D8F-9F5E-535EB9950498}">
            <x14:iconSet iconSet="3Stars">
              <x14:cfvo type="percent">
                <xm:f>0</xm:f>
              </x14:cfvo>
              <x14:cfvo type="num">
                <xm:f>0.5</xm:f>
              </x14:cfvo>
              <x14:cfvo type="num">
                <xm:f>0.8</xm:f>
              </x14:cfvo>
            </x14:iconSet>
          </x14:cfRule>
          <xm:sqref>C9:E9</xm:sqref>
        </x14:conditionalFormatting>
        <x14:conditionalFormatting xmlns:xm="http://schemas.microsoft.com/office/excel/2006/main">
          <x14:cfRule type="iconSet" priority="6" id="{F536BA19-1A26-4914-9EAE-083BA00AD9C7}">
            <x14:iconSet iconSet="3Stars">
              <x14:cfvo type="percent">
                <xm:f>0</xm:f>
              </x14:cfvo>
              <x14:cfvo type="percent">
                <xm:f>33</xm:f>
              </x14:cfvo>
              <x14:cfvo type="percent">
                <xm:f>67</xm:f>
              </x14:cfvo>
            </x14:iconSet>
          </x14:cfRule>
          <xm:sqref>G3:G8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1"/>
  <sheetViews>
    <sheetView view="pageBreakPreview" topLeftCell="A11" zoomScaleNormal="100" zoomScaleSheetLayoutView="100" workbookViewId="0">
      <selection activeCell="F12" sqref="F12"/>
    </sheetView>
  </sheetViews>
  <sheetFormatPr defaultRowHeight="18" x14ac:dyDescent="0.45"/>
  <cols>
    <col min="2" max="2" width="6.09765625" customWidth="1"/>
    <col min="3" max="3" width="3.69921875" customWidth="1"/>
    <col min="4" max="4" width="31.19921875" customWidth="1"/>
    <col min="5" max="5" width="9.69921875" customWidth="1"/>
    <col min="6" max="6" width="89" customWidth="1"/>
    <col min="7" max="7" width="5" hidden="1" customWidth="1"/>
  </cols>
  <sheetData>
    <row r="1" spans="1:7" ht="26.4" x14ac:dyDescent="0.65">
      <c r="C1" s="37" t="s">
        <v>214</v>
      </c>
    </row>
    <row r="2" spans="1:7" ht="18" customHeight="1" x14ac:dyDescent="0.65">
      <c r="C2" s="37"/>
    </row>
    <row r="3" spans="1:7" ht="18" customHeight="1" x14ac:dyDescent="0.65">
      <c r="C3" s="37"/>
      <c r="D3" s="25" t="s">
        <v>355</v>
      </c>
      <c r="E3" s="25">
        <f>COUNTIF($E11:$E104,"○")</f>
        <v>0</v>
      </c>
      <c r="F3" s="22"/>
    </row>
    <row r="4" spans="1:7" ht="18" customHeight="1" x14ac:dyDescent="0.65">
      <c r="C4" s="37"/>
      <c r="D4" s="25" t="s">
        <v>222</v>
      </c>
      <c r="E4" s="25">
        <f>E5-E3</f>
        <v>50</v>
      </c>
      <c r="F4" s="22"/>
    </row>
    <row r="5" spans="1:7" ht="18" customHeight="1" thickBot="1" x14ac:dyDescent="0.7">
      <c r="C5" s="37"/>
      <c r="D5" s="25" t="s">
        <v>60</v>
      </c>
      <c r="E5" s="23">
        <f>COUNT(C12:$C$61)</f>
        <v>50</v>
      </c>
    </row>
    <row r="6" spans="1:7" ht="26.55" customHeight="1" x14ac:dyDescent="0.65">
      <c r="C6" s="37"/>
      <c r="D6" s="171" t="s">
        <v>223</v>
      </c>
      <c r="E6" s="167">
        <f>E3/$E$5</f>
        <v>0</v>
      </c>
      <c r="F6" s="168" t="str">
        <f>REPT("★",ROUND(E3/E5*10,0))&amp;REPT("☆",10-ROUND(E3/E5*10,0))</f>
        <v>☆☆☆☆☆☆☆☆☆☆</v>
      </c>
    </row>
    <row r="7" spans="1:7" ht="26.55" customHeight="1" x14ac:dyDescent="0.65">
      <c r="C7" s="37"/>
      <c r="D7" s="25" t="s">
        <v>353</v>
      </c>
      <c r="E7" s="40"/>
      <c r="F7" s="40" t="str">
        <f>IF(AND(H3&gt;=18,G28="○",G40="○",G45="○",G34="○",G42="○"),"プレミアムコース登録基準を満たしています",IF(AND(E3&gt;=13,G28="○",G40="○",G45="○"),"スタンダードコース登録基準を満たしています","登録基準を満たしていません"))</f>
        <v>登録基準を満たしていません</v>
      </c>
    </row>
    <row r="8" spans="1:7" ht="61.2" customHeight="1" x14ac:dyDescent="0.65">
      <c r="C8" s="37"/>
      <c r="D8" s="696" t="s">
        <v>354</v>
      </c>
      <c r="E8" s="696"/>
      <c r="F8" s="696"/>
      <c r="G8" s="185" t="s">
        <v>328</v>
      </c>
    </row>
    <row r="9" spans="1:7" ht="20.55" customHeight="1" x14ac:dyDescent="0.65">
      <c r="C9" s="37"/>
      <c r="D9" s="39" t="str">
        <f>"選択数"&amp;E3&amp;",　　必須項目No.17="&amp;E28&amp;",    No.29="&amp;E40&amp;",    No.34="&amp;E45&amp;":   プレミアNo.23="&amp;E34&amp;",    No.31="&amp;E42</f>
        <v>選択数0,　　必須項目No.17=,    No.29=,    No.34=:   プレミアNo.23=,    No.31=</v>
      </c>
      <c r="E9" s="16"/>
      <c r="F9" s="16"/>
      <c r="G9" s="185" t="s">
        <v>472</v>
      </c>
    </row>
    <row r="10" spans="1:7" ht="33" customHeight="1" x14ac:dyDescent="0.65">
      <c r="C10" s="37"/>
      <c r="D10" s="170" t="s">
        <v>594</v>
      </c>
      <c r="E10" s="169"/>
      <c r="F10" s="169"/>
    </row>
    <row r="11" spans="1:7" x14ac:dyDescent="0.45">
      <c r="A11" s="1" t="s">
        <v>349</v>
      </c>
      <c r="B11" s="1" t="s">
        <v>350</v>
      </c>
      <c r="C11" s="1" t="s">
        <v>351</v>
      </c>
      <c r="D11" s="1" t="s">
        <v>352</v>
      </c>
      <c r="E11" s="1" t="s">
        <v>167</v>
      </c>
      <c r="F11" s="39" t="s">
        <v>158</v>
      </c>
      <c r="G11" s="1" t="s">
        <v>473</v>
      </c>
    </row>
    <row r="12" spans="1:7" ht="107.55" customHeight="1" x14ac:dyDescent="0.45">
      <c r="A12" s="687" t="s">
        <v>321</v>
      </c>
      <c r="B12" s="121"/>
      <c r="C12" s="1">
        <v>1</v>
      </c>
      <c r="D12" s="49" t="s">
        <v>320</v>
      </c>
      <c r="E12" s="172" t="str">
        <f>取組項目!F8&amp;""</f>
        <v/>
      </c>
      <c r="F12" s="16" t="s">
        <v>330</v>
      </c>
      <c r="G12" s="1" t="str">
        <f>IF(OR(取組項目!F8=$G$8,取組項目!F8=$G$9),$G$8,"-")</f>
        <v>-</v>
      </c>
    </row>
    <row r="13" spans="1:7" ht="62.55" customHeight="1" x14ac:dyDescent="0.45">
      <c r="A13" s="688"/>
      <c r="B13" s="121"/>
      <c r="C13" s="1">
        <v>2</v>
      </c>
      <c r="D13" s="49" t="s">
        <v>319</v>
      </c>
      <c r="E13" s="172" t="str">
        <f>取組項目!F9&amp;""</f>
        <v/>
      </c>
      <c r="F13" s="418" t="s">
        <v>331</v>
      </c>
      <c r="G13" s="1" t="str">
        <f>IF(OR(取組項目!F9=$G$8,取組項目!F9=$G$9),$G$8,"-")</f>
        <v>-</v>
      </c>
    </row>
    <row r="14" spans="1:7" ht="82.2" customHeight="1" x14ac:dyDescent="0.45">
      <c r="A14" s="688"/>
      <c r="B14" s="121"/>
      <c r="C14" s="1">
        <v>3</v>
      </c>
      <c r="D14" s="49" t="s">
        <v>318</v>
      </c>
      <c r="E14" s="172" t="str">
        <f>取組項目!F10&amp;""</f>
        <v/>
      </c>
      <c r="F14" s="418" t="s">
        <v>337</v>
      </c>
      <c r="G14" s="1" t="str">
        <f>IF(OR(取組項目!F10=$G$8,取組項目!F10=$G$9),$G$8,"-")</f>
        <v>-</v>
      </c>
    </row>
    <row r="15" spans="1:7" ht="94.2" customHeight="1" x14ac:dyDescent="0.45">
      <c r="A15" s="688"/>
      <c r="B15" s="121"/>
      <c r="C15" s="1">
        <v>4</v>
      </c>
      <c r="D15" s="49" t="s">
        <v>317</v>
      </c>
      <c r="E15" s="172" t="str">
        <f>取組項目!F11&amp;""</f>
        <v/>
      </c>
      <c r="F15" s="418" t="s">
        <v>332</v>
      </c>
      <c r="G15" s="1" t="str">
        <f>IF(OR(取組項目!F11=$G$8,取組項目!F11=$G$9),$G$8,"-")</f>
        <v>-</v>
      </c>
    </row>
    <row r="16" spans="1:7" ht="79.95" customHeight="1" x14ac:dyDescent="0.45">
      <c r="A16" s="688"/>
      <c r="B16" s="121"/>
      <c r="C16" s="1">
        <v>5</v>
      </c>
      <c r="D16" s="49" t="s">
        <v>342</v>
      </c>
      <c r="E16" s="172" t="str">
        <f>取組項目!F12&amp;""</f>
        <v/>
      </c>
      <c r="F16" s="418" t="s">
        <v>333</v>
      </c>
      <c r="G16" s="1" t="str">
        <f>IF(OR(取組項目!F12=$G$8,取組項目!F12=$G$9),$G$8,"-")</f>
        <v>-</v>
      </c>
    </row>
    <row r="17" spans="1:7" ht="81" customHeight="1" x14ac:dyDescent="0.45">
      <c r="A17" s="688"/>
      <c r="B17" s="121"/>
      <c r="C17" s="1">
        <v>6</v>
      </c>
      <c r="D17" s="49" t="s">
        <v>343</v>
      </c>
      <c r="E17" s="172" t="str">
        <f>取組項目!F13&amp;""</f>
        <v/>
      </c>
      <c r="F17" s="418" t="s">
        <v>334</v>
      </c>
      <c r="G17" s="1" t="str">
        <f>IF(OR(取組項目!F13=$G$8,取組項目!F13=$G$9),$G$8,"-")</f>
        <v>-</v>
      </c>
    </row>
    <row r="18" spans="1:7" ht="245.55" customHeight="1" x14ac:dyDescent="0.45">
      <c r="A18" s="688"/>
      <c r="B18" s="121"/>
      <c r="C18" s="1">
        <v>7</v>
      </c>
      <c r="D18" s="49" t="s">
        <v>316</v>
      </c>
      <c r="E18" s="172" t="str">
        <f>取組項目!F14&amp;""</f>
        <v/>
      </c>
      <c r="F18" s="418" t="s">
        <v>335</v>
      </c>
      <c r="G18" s="1" t="str">
        <f>IF(OR(取組項目!F14=$G$8,取組項目!F14=$G$9),$G$8,"-")</f>
        <v>-</v>
      </c>
    </row>
    <row r="19" spans="1:7" ht="87" customHeight="1" x14ac:dyDescent="0.45">
      <c r="A19" s="688"/>
      <c r="B19" s="121"/>
      <c r="C19" s="1">
        <v>8</v>
      </c>
      <c r="D19" s="49" t="s">
        <v>315</v>
      </c>
      <c r="E19" s="172" t="str">
        <f>取組項目!F15&amp;""</f>
        <v/>
      </c>
      <c r="F19" s="49" t="s">
        <v>336</v>
      </c>
      <c r="G19" s="1" t="str">
        <f>IF(OR(取組項目!F15=$G$8,取組項目!F15=$G$9),$G$8,"-")</f>
        <v>-</v>
      </c>
    </row>
    <row r="20" spans="1:7" ht="61.95" customHeight="1" x14ac:dyDescent="0.45">
      <c r="A20" s="688"/>
      <c r="B20" s="121"/>
      <c r="C20" s="1">
        <v>9</v>
      </c>
      <c r="D20" s="49" t="s">
        <v>338</v>
      </c>
      <c r="E20" s="172" t="str">
        <f>取組項目!F16&amp;""</f>
        <v/>
      </c>
      <c r="F20" s="49" t="s">
        <v>339</v>
      </c>
      <c r="G20" s="1" t="str">
        <f>IF(OR(取組項目!F16=$G$8,取組項目!F16=$G$9),$G$8,"-")</f>
        <v>-</v>
      </c>
    </row>
    <row r="21" spans="1:7" ht="61.95" customHeight="1" x14ac:dyDescent="0.45">
      <c r="A21" s="689"/>
      <c r="B21" s="121"/>
      <c r="C21" s="1">
        <v>10</v>
      </c>
      <c r="D21" s="49" t="s">
        <v>314</v>
      </c>
      <c r="E21" s="172" t="str">
        <f>取組項目!F17&amp;""</f>
        <v/>
      </c>
      <c r="F21" s="49" t="s">
        <v>340</v>
      </c>
      <c r="G21" s="1" t="str">
        <f>IF(OR(取組項目!F17=$G$8,取組項目!F17=$G$9),$G$8,"-")</f>
        <v>-</v>
      </c>
    </row>
    <row r="22" spans="1:7" ht="61.95" customHeight="1" x14ac:dyDescent="0.45">
      <c r="A22" s="690" t="s">
        <v>305</v>
      </c>
      <c r="B22" s="125"/>
      <c r="C22" s="1">
        <v>11</v>
      </c>
      <c r="D22" s="49" t="s">
        <v>313</v>
      </c>
      <c r="E22" s="172" t="str">
        <f>取組項目!F18&amp;""</f>
        <v/>
      </c>
      <c r="F22" s="49" t="s">
        <v>341</v>
      </c>
      <c r="G22" s="1" t="str">
        <f>IF(OR(取組項目!F18=$G$8,取組項目!F18=$G$9),$G$8,"-")</f>
        <v>-</v>
      </c>
    </row>
    <row r="23" spans="1:7" ht="61.95" customHeight="1" x14ac:dyDescent="0.45">
      <c r="A23" s="691"/>
      <c r="B23" s="125"/>
      <c r="C23" s="1">
        <v>12</v>
      </c>
      <c r="D23" s="49" t="s">
        <v>312</v>
      </c>
      <c r="E23" s="172" t="str">
        <f>取組項目!F19&amp;""</f>
        <v/>
      </c>
      <c r="F23" s="419" t="s">
        <v>249</v>
      </c>
      <c r="G23" s="1" t="str">
        <f>IF(OR(取組項目!F19=$G$8,取組項目!F19=$G$9),$G$8,"-")</f>
        <v>-</v>
      </c>
    </row>
    <row r="24" spans="1:7" ht="61.95" customHeight="1" x14ac:dyDescent="0.45">
      <c r="A24" s="691"/>
      <c r="B24" s="125"/>
      <c r="C24" s="1">
        <v>13</v>
      </c>
      <c r="D24" s="49" t="s">
        <v>311</v>
      </c>
      <c r="E24" s="172" t="str">
        <f>取組項目!F20&amp;""</f>
        <v/>
      </c>
      <c r="F24" s="49" t="s">
        <v>365</v>
      </c>
      <c r="G24" s="1" t="str">
        <f>IF(OR(取組項目!F20=$G$8,取組項目!F20=$G$9),$G$8,"-")</f>
        <v>-</v>
      </c>
    </row>
    <row r="25" spans="1:7" ht="61.95" customHeight="1" x14ac:dyDescent="0.45">
      <c r="A25" s="691"/>
      <c r="B25" s="125"/>
      <c r="C25" s="1">
        <v>14</v>
      </c>
      <c r="D25" s="49" t="s">
        <v>310</v>
      </c>
      <c r="E25" s="172" t="str">
        <f>取組項目!F21&amp;""</f>
        <v/>
      </c>
      <c r="F25" s="49" t="s">
        <v>364</v>
      </c>
      <c r="G25" s="1" t="str">
        <f>IF(OR(取組項目!F21=$G$8,取組項目!F21=$G$9),$G$8,"-")</f>
        <v>-</v>
      </c>
    </row>
    <row r="26" spans="1:7" ht="61.95" customHeight="1" x14ac:dyDescent="0.45">
      <c r="A26" s="691"/>
      <c r="B26" s="125"/>
      <c r="C26" s="1">
        <v>15</v>
      </c>
      <c r="D26" s="50" t="s">
        <v>366</v>
      </c>
      <c r="E26" s="172" t="str">
        <f>取組項目!F22&amp;""</f>
        <v/>
      </c>
      <c r="F26" s="49" t="s">
        <v>367</v>
      </c>
      <c r="G26" s="1" t="str">
        <f>IF(OR(取組項目!F22=$G$8,取組項目!F22=$G$9),$G$8,"-")</f>
        <v>-</v>
      </c>
    </row>
    <row r="27" spans="1:7" ht="41.55" customHeight="1" thickBot="1" x14ac:dyDescent="0.5">
      <c r="A27" s="691"/>
      <c r="B27" s="127"/>
      <c r="C27" s="17">
        <v>16</v>
      </c>
      <c r="D27" s="116" t="s">
        <v>308</v>
      </c>
      <c r="E27" s="174" t="str">
        <f>取組項目!F23&amp;""</f>
        <v/>
      </c>
      <c r="F27" s="116" t="s">
        <v>361</v>
      </c>
      <c r="G27" s="1" t="str">
        <f>IF(OR(取組項目!F23=$G$8,取組項目!F23=$G$9),$G$8,"-")</f>
        <v>-</v>
      </c>
    </row>
    <row r="28" spans="1:7" ht="36.6" thickBot="1" x14ac:dyDescent="0.5">
      <c r="A28" s="691"/>
      <c r="B28" s="161" t="s">
        <v>287</v>
      </c>
      <c r="C28" s="162">
        <v>17</v>
      </c>
      <c r="D28" s="163" t="s">
        <v>307</v>
      </c>
      <c r="E28" s="176" t="str">
        <f>取組項目!F24&amp;""</f>
        <v/>
      </c>
      <c r="F28" s="420" t="s">
        <v>368</v>
      </c>
      <c r="G28" s="1" t="str">
        <f>IF(OR(取組項目!F24=$G$8,取組項目!F24=$G$9),$G$8,"-")</f>
        <v>-</v>
      </c>
    </row>
    <row r="29" spans="1:7" ht="36" x14ac:dyDescent="0.45">
      <c r="A29" s="682"/>
      <c r="B29" s="134"/>
      <c r="C29" s="19">
        <v>18</v>
      </c>
      <c r="D29" s="118" t="s">
        <v>306</v>
      </c>
      <c r="E29" s="175" t="str">
        <f>取組項目!F25&amp;""</f>
        <v/>
      </c>
      <c r="F29" s="421" t="s">
        <v>259</v>
      </c>
      <c r="G29" s="1" t="str">
        <f>IF(OR(取組項目!F25=$G$8,取組項目!F25=$G$9),$G$8,"-")</f>
        <v>-</v>
      </c>
    </row>
    <row r="30" spans="1:7" ht="54" x14ac:dyDescent="0.45">
      <c r="A30" s="687" t="s">
        <v>305</v>
      </c>
      <c r="B30" s="125"/>
      <c r="C30" s="1">
        <v>19</v>
      </c>
      <c r="D30" s="11" t="s">
        <v>304</v>
      </c>
      <c r="E30" s="172" t="str">
        <f>取組項目!F26&amp;""</f>
        <v/>
      </c>
      <c r="F30" s="419" t="s">
        <v>362</v>
      </c>
      <c r="G30" s="1" t="str">
        <f>IF(OR(取組項目!F26=$G$8,取組項目!F26=$G$9),$G$8,"-")</f>
        <v>-</v>
      </c>
    </row>
    <row r="31" spans="1:7" ht="36" x14ac:dyDescent="0.45">
      <c r="A31" s="692"/>
      <c r="B31" s="125"/>
      <c r="C31" s="1">
        <v>20</v>
      </c>
      <c r="D31" s="11" t="s">
        <v>303</v>
      </c>
      <c r="E31" s="172" t="str">
        <f>取組項目!F27&amp;""</f>
        <v/>
      </c>
      <c r="F31" s="49" t="s">
        <v>359</v>
      </c>
      <c r="G31" s="1" t="str">
        <f>IF(OR(取組項目!F27=$G$8,取組項目!F27=$G$9),$G$8,"-")</f>
        <v>-</v>
      </c>
    </row>
    <row r="32" spans="1:7" ht="54" x14ac:dyDescent="0.45">
      <c r="A32" s="692"/>
      <c r="B32" s="125"/>
      <c r="C32" s="1">
        <v>21</v>
      </c>
      <c r="D32" s="11" t="s">
        <v>302</v>
      </c>
      <c r="E32" s="172" t="str">
        <f>取組項目!F28&amp;""</f>
        <v/>
      </c>
      <c r="F32" s="49"/>
      <c r="G32" s="1" t="str">
        <f>IF(OR(取組項目!F28=$G$8,取組項目!F28=$G$9),$G$8,"-")</f>
        <v>-</v>
      </c>
    </row>
    <row r="33" spans="1:7" ht="72.599999999999994" thickBot="1" x14ac:dyDescent="0.5">
      <c r="A33" s="692"/>
      <c r="B33" s="127"/>
      <c r="C33" s="17">
        <v>22</v>
      </c>
      <c r="D33" s="159" t="s">
        <v>301</v>
      </c>
      <c r="E33" s="172" t="str">
        <f>取組項目!F29&amp;""</f>
        <v/>
      </c>
      <c r="F33" s="116"/>
      <c r="G33" s="1" t="str">
        <f>IF(OR(取組項目!F29=$G$8,取組項目!F29=$G$9),$G$8,"-")</f>
        <v>-</v>
      </c>
    </row>
    <row r="34" spans="1:7" ht="55.2" thickTop="1" thickBot="1" x14ac:dyDescent="0.5">
      <c r="A34" s="692"/>
      <c r="B34" s="166" t="s">
        <v>347</v>
      </c>
      <c r="C34" s="164">
        <v>23</v>
      </c>
      <c r="D34" s="165" t="s">
        <v>300</v>
      </c>
      <c r="E34" s="177" t="str">
        <f>取組項目!F30&amp;""</f>
        <v/>
      </c>
      <c r="F34" s="422" t="s">
        <v>363</v>
      </c>
      <c r="G34" s="1" t="str">
        <f>IF(OR(取組項目!F30=$G$8,取組項目!F30=$G$9),$G$8,"-")</f>
        <v>-</v>
      </c>
    </row>
    <row r="35" spans="1:7" ht="54.6" thickTop="1" x14ac:dyDescent="0.45">
      <c r="A35" s="692"/>
      <c r="B35" s="134"/>
      <c r="C35" s="19">
        <v>24</v>
      </c>
      <c r="D35" s="118" t="s">
        <v>299</v>
      </c>
      <c r="E35" s="172" t="str">
        <f>取組項目!F31&amp;""</f>
        <v/>
      </c>
      <c r="F35" s="423"/>
      <c r="G35" s="1" t="str">
        <f>IF(OR(取組項目!F31=$G$8,取組項目!F31=$G$9),$G$8,"-")</f>
        <v>-</v>
      </c>
    </row>
    <row r="36" spans="1:7" ht="72" x14ac:dyDescent="0.45">
      <c r="A36" s="692"/>
      <c r="B36" s="142"/>
      <c r="C36" s="1">
        <v>25</v>
      </c>
      <c r="D36" s="11" t="s">
        <v>298</v>
      </c>
      <c r="E36" s="172" t="str">
        <f>取組項目!F32&amp;""</f>
        <v/>
      </c>
      <c r="F36" s="49"/>
      <c r="G36" s="1" t="str">
        <f>IF(OR(取組項目!F32=$G$8,取組項目!F32=$G$9),$G$8,"-")</f>
        <v>-</v>
      </c>
    </row>
    <row r="37" spans="1:7" ht="36" x14ac:dyDescent="0.45">
      <c r="A37" s="692"/>
      <c r="B37" s="143"/>
      <c r="C37" s="1">
        <v>26</v>
      </c>
      <c r="D37" s="11" t="s">
        <v>297</v>
      </c>
      <c r="E37" s="172" t="str">
        <f>取組項目!F33&amp;""</f>
        <v/>
      </c>
      <c r="F37" s="49"/>
      <c r="G37" s="1" t="str">
        <f>IF(OR(取組項目!F33=$G$8,取組項目!F33=$G$9),$G$8,"-")</f>
        <v>-</v>
      </c>
    </row>
    <row r="38" spans="1:7" ht="36" x14ac:dyDescent="0.45">
      <c r="A38" s="692"/>
      <c r="B38" s="143"/>
      <c r="C38" s="1">
        <v>27</v>
      </c>
      <c r="D38" s="11" t="s">
        <v>296</v>
      </c>
      <c r="E38" s="172" t="str">
        <f>取組項目!F34&amp;""</f>
        <v/>
      </c>
      <c r="F38" s="49"/>
      <c r="G38" s="1" t="str">
        <f>IF(OR(取組項目!F34=$G$8,取組項目!F34=$G$9),$G$8,"-")</f>
        <v>-</v>
      </c>
    </row>
    <row r="39" spans="1:7" ht="72.599999999999994" thickBot="1" x14ac:dyDescent="0.5">
      <c r="A39" s="693"/>
      <c r="B39" s="144"/>
      <c r="C39" s="17">
        <v>28</v>
      </c>
      <c r="D39" s="159" t="s">
        <v>295</v>
      </c>
      <c r="E39" s="172" t="str">
        <f>取組項目!F35&amp;""</f>
        <v/>
      </c>
      <c r="F39" s="116"/>
      <c r="G39" s="1" t="str">
        <f>IF(OR(取組項目!F35=$G$8,取組項目!F35=$G$9),$G$8,"-")</f>
        <v>-</v>
      </c>
    </row>
    <row r="40" spans="1:7" ht="36.6" thickBot="1" x14ac:dyDescent="0.5">
      <c r="A40" s="694" t="s">
        <v>294</v>
      </c>
      <c r="B40" s="161" t="s">
        <v>287</v>
      </c>
      <c r="C40" s="162">
        <v>29</v>
      </c>
      <c r="D40" s="163" t="s">
        <v>293</v>
      </c>
      <c r="E40" s="176" t="str">
        <f>取組項目!F36&amp;""</f>
        <v/>
      </c>
      <c r="F40" s="420" t="s">
        <v>257</v>
      </c>
      <c r="G40" s="1" t="str">
        <f>IF(OR(取組項目!F36=$G$8,取組項目!F36=$G$9),$G$8,"-")</f>
        <v>-</v>
      </c>
    </row>
    <row r="41" spans="1:7" ht="39" customHeight="1" thickBot="1" x14ac:dyDescent="0.5">
      <c r="A41" s="683"/>
      <c r="B41" s="146"/>
      <c r="C41" s="18">
        <v>30</v>
      </c>
      <c r="D41" s="160" t="s">
        <v>292</v>
      </c>
      <c r="E41" s="174" t="str">
        <f>取組項目!F37&amp;""</f>
        <v/>
      </c>
      <c r="F41" s="424" t="s">
        <v>360</v>
      </c>
      <c r="G41" s="1" t="str">
        <f>IF(OR(取組項目!F37=$G$8,取組項目!F37=$G$9),$G$8,"-")</f>
        <v>-</v>
      </c>
    </row>
    <row r="42" spans="1:7" ht="49.2" thickTop="1" thickBot="1" x14ac:dyDescent="0.5">
      <c r="A42" s="683"/>
      <c r="B42" s="166" t="s">
        <v>347</v>
      </c>
      <c r="C42" s="164">
        <v>31</v>
      </c>
      <c r="D42" s="165" t="s">
        <v>291</v>
      </c>
      <c r="E42" s="177" t="str">
        <f>取組項目!F38&amp;""</f>
        <v/>
      </c>
      <c r="F42" s="422"/>
      <c r="G42" s="1" t="str">
        <f>IF(OR(取組項目!F38=$G$8,取組項目!F38=$G$9),$G$8,"-")</f>
        <v>-</v>
      </c>
    </row>
    <row r="43" spans="1:7" ht="54.6" thickTop="1" x14ac:dyDescent="0.45">
      <c r="A43" s="683"/>
      <c r="B43" s="134"/>
      <c r="C43" s="19">
        <v>32</v>
      </c>
      <c r="D43" s="118" t="s">
        <v>290</v>
      </c>
      <c r="E43" s="175" t="str">
        <f>取組項目!F39&amp;""</f>
        <v/>
      </c>
      <c r="F43" s="419" t="s">
        <v>258</v>
      </c>
      <c r="G43" s="1" t="str">
        <f>IF(OR(取組項目!F39=$G$8,取組項目!F39=$G$9),$G$8,"-")</f>
        <v>-</v>
      </c>
    </row>
    <row r="44" spans="1:7" ht="36.6" thickBot="1" x14ac:dyDescent="0.5">
      <c r="A44" s="683"/>
      <c r="B44" s="125"/>
      <c r="C44" s="17">
        <v>33</v>
      </c>
      <c r="D44" s="159" t="s">
        <v>289</v>
      </c>
      <c r="E44" s="172" t="str">
        <f>取組項目!F40&amp;""</f>
        <v/>
      </c>
      <c r="F44" s="116"/>
      <c r="G44" s="1" t="str">
        <f>IF(OR(取組項目!F40=$G$8,取組項目!F40=$G$9),$G$8,"-")</f>
        <v>-</v>
      </c>
    </row>
    <row r="45" spans="1:7" ht="36.6" thickBot="1" x14ac:dyDescent="0.5">
      <c r="A45" s="682" t="s">
        <v>288</v>
      </c>
      <c r="B45" s="161" t="s">
        <v>287</v>
      </c>
      <c r="C45" s="162">
        <v>34</v>
      </c>
      <c r="D45" s="163" t="s">
        <v>286</v>
      </c>
      <c r="E45" s="176" t="str">
        <f>取組項目!F41&amp;""</f>
        <v/>
      </c>
      <c r="F45" s="420" t="s">
        <v>251</v>
      </c>
      <c r="G45" s="1" t="str">
        <f>IF(OR(取組項目!F41=$G$8,取組項目!F41=$G$9),$G$8,"-")</f>
        <v>-</v>
      </c>
    </row>
    <row r="46" spans="1:7" ht="36" x14ac:dyDescent="0.45">
      <c r="A46" s="683"/>
      <c r="B46" s="134"/>
      <c r="C46" s="19">
        <v>35</v>
      </c>
      <c r="D46" s="118" t="s">
        <v>285</v>
      </c>
      <c r="E46" s="172" t="str">
        <f>取組項目!F42&amp;""</f>
        <v/>
      </c>
      <c r="F46" s="423" t="s">
        <v>525</v>
      </c>
      <c r="G46" s="1" t="str">
        <f>IF(OR(取組項目!F42=$G$8,取組項目!F42=$G$9),$G$8,"-")</f>
        <v>-</v>
      </c>
    </row>
    <row r="47" spans="1:7" ht="36" x14ac:dyDescent="0.45">
      <c r="A47" s="683"/>
      <c r="B47" s="125"/>
      <c r="C47" s="1">
        <v>36</v>
      </c>
      <c r="D47" s="11" t="s">
        <v>284</v>
      </c>
      <c r="E47" s="172" t="str">
        <f>取組項目!F43&amp;""</f>
        <v/>
      </c>
      <c r="F47" s="49"/>
      <c r="G47" s="1" t="str">
        <f>IF(OR(取組項目!F43=$G$8,取組項目!F43=$G$9),$G$8,"-")</f>
        <v>-</v>
      </c>
    </row>
    <row r="48" spans="1:7" ht="36" x14ac:dyDescent="0.45">
      <c r="A48" s="683"/>
      <c r="B48" s="125"/>
      <c r="C48" s="1">
        <v>37</v>
      </c>
      <c r="D48" s="11" t="s">
        <v>283</v>
      </c>
      <c r="E48" s="172" t="str">
        <f>取組項目!F44&amp;""</f>
        <v/>
      </c>
      <c r="F48" s="49"/>
      <c r="G48" s="1" t="str">
        <f>IF(OR(取組項目!F44=$G$8,取組項目!F44=$G$9),$G$8,"-")</f>
        <v>-</v>
      </c>
    </row>
    <row r="49" spans="1:7" x14ac:dyDescent="0.45">
      <c r="A49" s="683"/>
      <c r="B49" s="157"/>
      <c r="C49" s="1">
        <v>38</v>
      </c>
      <c r="D49" s="11" t="s">
        <v>282</v>
      </c>
      <c r="E49" s="172" t="str">
        <f>取組項目!F45&amp;""</f>
        <v/>
      </c>
      <c r="F49" s="49"/>
      <c r="G49" s="1" t="str">
        <f>IF(OR(取組項目!F45=$G$8,取組項目!F45=$G$9),$G$8,"-")</f>
        <v>-</v>
      </c>
    </row>
    <row r="50" spans="1:7" ht="36" x14ac:dyDescent="0.45">
      <c r="A50" s="683"/>
      <c r="B50" s="125"/>
      <c r="C50" s="1">
        <v>39</v>
      </c>
      <c r="D50" s="11" t="s">
        <v>281</v>
      </c>
      <c r="E50" s="172" t="str">
        <f>取組項目!F46&amp;""</f>
        <v/>
      </c>
      <c r="F50" s="49"/>
      <c r="G50" s="1" t="str">
        <f>IF(OR(取組項目!F46=$G$8,取組項目!F46=$G$9),$G$8,"-")</f>
        <v>-</v>
      </c>
    </row>
    <row r="51" spans="1:7" ht="54" x14ac:dyDescent="0.45">
      <c r="A51" s="683"/>
      <c r="B51" s="125"/>
      <c r="C51" s="1">
        <v>40</v>
      </c>
      <c r="D51" s="11" t="s">
        <v>280</v>
      </c>
      <c r="E51" s="172" t="str">
        <f>取組項目!F47&amp;""</f>
        <v/>
      </c>
      <c r="F51" s="49"/>
      <c r="G51" s="1" t="str">
        <f>IF(OR(取組項目!F47=$G$8,取組項目!F47=$G$9),$G$8,"-")</f>
        <v>-</v>
      </c>
    </row>
    <row r="52" spans="1:7" ht="54" x14ac:dyDescent="0.45">
      <c r="A52" s="683" t="s">
        <v>279</v>
      </c>
      <c r="B52" s="125"/>
      <c r="C52" s="1">
        <v>41</v>
      </c>
      <c r="D52" s="11" t="s">
        <v>278</v>
      </c>
      <c r="E52" s="172" t="str">
        <f>取組項目!F48&amp;""</f>
        <v/>
      </c>
      <c r="F52" s="49"/>
      <c r="G52" s="1" t="str">
        <f>IF(OR(取組項目!F48=$G$8,取組項目!F48=$G$9),$G$8,"-")</f>
        <v>-</v>
      </c>
    </row>
    <row r="53" spans="1:7" ht="36" x14ac:dyDescent="0.45">
      <c r="A53" s="683"/>
      <c r="B53" s="125"/>
      <c r="C53" s="1">
        <v>42</v>
      </c>
      <c r="D53" s="11" t="s">
        <v>276</v>
      </c>
      <c r="E53" s="172" t="str">
        <f>取組項目!F49&amp;""</f>
        <v/>
      </c>
      <c r="F53" s="49"/>
      <c r="G53" s="1" t="str">
        <f>IF(OR(取組項目!F49=$G$8,取組項目!F49=$G$9),$G$8,"-")</f>
        <v>-</v>
      </c>
    </row>
    <row r="54" spans="1:7" ht="36" x14ac:dyDescent="0.45">
      <c r="A54" s="683"/>
      <c r="B54" s="125"/>
      <c r="C54" s="1">
        <v>43</v>
      </c>
      <c r="D54" s="11" t="s">
        <v>275</v>
      </c>
      <c r="E54" s="172" t="str">
        <f>取組項目!F50&amp;""</f>
        <v/>
      </c>
      <c r="F54" s="49"/>
      <c r="G54" s="1" t="str">
        <f>IF(OR(取組項目!F50=$G$8,取組項目!F50=$G$9),$G$8,"-")</f>
        <v>-</v>
      </c>
    </row>
    <row r="55" spans="1:7" ht="54" x14ac:dyDescent="0.45">
      <c r="A55" s="683"/>
      <c r="B55" s="125"/>
      <c r="C55" s="1">
        <v>44</v>
      </c>
      <c r="D55" s="11" t="s">
        <v>274</v>
      </c>
      <c r="E55" s="172" t="str">
        <f>取組項目!F51&amp;""</f>
        <v/>
      </c>
      <c r="F55" s="49"/>
      <c r="G55" s="1" t="str">
        <f>IF(OR(取組項目!F51=$G$8,取組項目!F51=$G$9),$G$8,"-")</f>
        <v>-</v>
      </c>
    </row>
    <row r="56" spans="1:7" ht="54" x14ac:dyDescent="0.45">
      <c r="A56" s="683"/>
      <c r="B56" s="125"/>
      <c r="C56" s="1">
        <v>45</v>
      </c>
      <c r="D56" s="11" t="s">
        <v>273</v>
      </c>
      <c r="E56" s="172" t="str">
        <f>取組項目!F52&amp;""</f>
        <v/>
      </c>
      <c r="F56" s="49"/>
      <c r="G56" s="1" t="str">
        <f>IF(OR(取組項目!F52=$G$8,取組項目!F52=$G$9),$G$8,"-")</f>
        <v>-</v>
      </c>
    </row>
    <row r="57" spans="1:7" ht="36" x14ac:dyDescent="0.45">
      <c r="A57" s="683"/>
      <c r="B57" s="125"/>
      <c r="C57" s="1">
        <v>46</v>
      </c>
      <c r="D57" s="11" t="s">
        <v>272</v>
      </c>
      <c r="E57" s="172" t="str">
        <f>取組項目!F53&amp;""</f>
        <v/>
      </c>
      <c r="F57" s="49"/>
      <c r="G57" s="1" t="str">
        <f>IF(OR(取組項目!F53=$G$8,取組項目!F53=$G$9),$G$8,"-")</f>
        <v>-</v>
      </c>
    </row>
    <row r="58" spans="1:7" ht="36" x14ac:dyDescent="0.45">
      <c r="A58" s="683" t="s">
        <v>271</v>
      </c>
      <c r="B58" s="125"/>
      <c r="C58" s="1">
        <v>47</v>
      </c>
      <c r="D58" s="11" t="s">
        <v>270</v>
      </c>
      <c r="E58" s="172" t="str">
        <f>取組項目!F54&amp;""</f>
        <v/>
      </c>
      <c r="F58" s="49"/>
      <c r="G58" s="1" t="str">
        <f>IF(OR(取組項目!F54=$G$8,取組項目!F54=$G$9),$G$8,"-")</f>
        <v>-</v>
      </c>
    </row>
    <row r="59" spans="1:7" ht="54" x14ac:dyDescent="0.45">
      <c r="A59" s="683"/>
      <c r="B59" s="125"/>
      <c r="C59" s="1">
        <v>48</v>
      </c>
      <c r="D59" s="11" t="s">
        <v>269</v>
      </c>
      <c r="E59" s="172" t="str">
        <f>取組項目!F55&amp;""</f>
        <v/>
      </c>
      <c r="F59" s="49"/>
      <c r="G59" s="1" t="str">
        <f>IF(OR(取組項目!F55=$G$8,取組項目!F55=$G$9),$G$8,"-")</f>
        <v>-</v>
      </c>
    </row>
    <row r="60" spans="1:7" ht="37.200000000000003" x14ac:dyDescent="0.45">
      <c r="A60" s="109" t="s">
        <v>268</v>
      </c>
      <c r="B60" s="125"/>
      <c r="C60" s="1">
        <v>49</v>
      </c>
      <c r="D60" s="11" t="s">
        <v>267</v>
      </c>
      <c r="E60" s="172" t="str">
        <f>取組項目!F56&amp;""</f>
        <v/>
      </c>
      <c r="F60" s="49"/>
      <c r="G60" s="1" t="str">
        <f>IF(OR(取組項目!F56=$G$8,取組項目!F56=$G$9),$G$8,"-")</f>
        <v>-</v>
      </c>
    </row>
    <row r="61" spans="1:7" ht="37.200000000000003" x14ac:dyDescent="0.45">
      <c r="A61" s="109" t="s">
        <v>266</v>
      </c>
      <c r="B61" s="125"/>
      <c r="C61" s="1">
        <v>50</v>
      </c>
      <c r="D61" s="11" t="s">
        <v>265</v>
      </c>
      <c r="E61" s="172" t="str">
        <f>取組項目!F57&amp;""</f>
        <v/>
      </c>
      <c r="F61" s="49" t="s">
        <v>344</v>
      </c>
      <c r="G61" s="1" t="str">
        <f>IF(OR(取組項目!F57=$G$8,取組項目!F57=$G$9),$G$8,"-")</f>
        <v>-</v>
      </c>
    </row>
  </sheetData>
  <sheetProtection algorithmName="SHA-512" hashValue="ooR1ifqpp6XrzaonA1JbSnOOg1exw6yLwTOodkFPp7Bi24TmHUH8cpIXLUhxt9jl8AqgJEeRjCUMGKALFPUDWA==" saltValue="miovQPQ2DWqdc0UWv9BXhQ==" spinCount="100000" sheet="1" objects="1" scenarios="1" formatCells="0" formatColumns="0" formatRows="0"/>
  <mergeCells count="8">
    <mergeCell ref="A45:A51"/>
    <mergeCell ref="A52:A57"/>
    <mergeCell ref="A58:A59"/>
    <mergeCell ref="D8:F8"/>
    <mergeCell ref="A12:A21"/>
    <mergeCell ref="A22:A29"/>
    <mergeCell ref="A30:A39"/>
    <mergeCell ref="A40:A44"/>
  </mergeCells>
  <phoneticPr fontId="5"/>
  <conditionalFormatting sqref="E12:E33 E41:E44 E46:E61 E35:E39">
    <cfRule type="cellIs" dxfId="26" priority="31" operator="equal">
      <formula>"未実施"</formula>
    </cfRule>
    <cfRule type="cellIs" dxfId="25" priority="32" operator="equal">
      <formula>"実施済み"</formula>
    </cfRule>
  </conditionalFormatting>
  <conditionalFormatting sqref="E28:E33 E41 E46:E61 E43:E44 E35:E39">
    <cfRule type="cellIs" dxfId="24" priority="27" operator="equal">
      <formula>"未実施"</formula>
    </cfRule>
    <cfRule type="cellIs" dxfId="23" priority="28" operator="equal">
      <formula>"実施済み"</formula>
    </cfRule>
  </conditionalFormatting>
  <conditionalFormatting sqref="E42">
    <cfRule type="cellIs" dxfId="22" priority="17" operator="equal">
      <formula>"未実施"</formula>
    </cfRule>
    <cfRule type="cellIs" dxfId="21" priority="18" operator="equal">
      <formula>"実施済み"</formula>
    </cfRule>
  </conditionalFormatting>
  <conditionalFormatting sqref="E42">
    <cfRule type="cellIs" dxfId="20" priority="15" operator="equal">
      <formula>"未実施"</formula>
    </cfRule>
    <cfRule type="cellIs" dxfId="19" priority="16" operator="equal">
      <formula>"実施済み"</formula>
    </cfRule>
  </conditionalFormatting>
  <conditionalFormatting sqref="E40">
    <cfRule type="cellIs" dxfId="18" priority="13" operator="equal">
      <formula>"未実施"</formula>
    </cfRule>
    <cfRule type="cellIs" dxfId="17" priority="14" operator="equal">
      <formula>"実施済み"</formula>
    </cfRule>
  </conditionalFormatting>
  <conditionalFormatting sqref="E40">
    <cfRule type="cellIs" dxfId="16" priority="11" operator="equal">
      <formula>"未実施"</formula>
    </cfRule>
    <cfRule type="cellIs" dxfId="15" priority="12" operator="equal">
      <formula>"実施済み"</formula>
    </cfRule>
  </conditionalFormatting>
  <conditionalFormatting sqref="E45">
    <cfRule type="cellIs" dxfId="14" priority="9" operator="equal">
      <formula>"未実施"</formula>
    </cfRule>
    <cfRule type="cellIs" dxfId="13" priority="10" operator="equal">
      <formula>"実施済み"</formula>
    </cfRule>
  </conditionalFormatting>
  <conditionalFormatting sqref="E45">
    <cfRule type="cellIs" dxfId="12" priority="7" operator="equal">
      <formula>"未実施"</formula>
    </cfRule>
    <cfRule type="cellIs" dxfId="11" priority="8" operator="equal">
      <formula>"実施済み"</formula>
    </cfRule>
  </conditionalFormatting>
  <conditionalFormatting sqref="E34">
    <cfRule type="cellIs" dxfId="10" priority="5" operator="equal">
      <formula>"未実施"</formula>
    </cfRule>
    <cfRule type="cellIs" dxfId="9" priority="6" operator="equal">
      <formula>"実施済み"</formula>
    </cfRule>
  </conditionalFormatting>
  <conditionalFormatting sqref="E34">
    <cfRule type="cellIs" dxfId="8" priority="3" operator="equal">
      <formula>"未実施"</formula>
    </cfRule>
    <cfRule type="cellIs" dxfId="7" priority="4" operator="equal">
      <formula>"実施済み"</formula>
    </cfRule>
  </conditionalFormatting>
  <conditionalFormatting sqref="E34">
    <cfRule type="cellIs" dxfId="6" priority="1" operator="equal">
      <formula>"未実施"</formula>
    </cfRule>
    <cfRule type="cellIs" dxfId="5" priority="2" operator="equal">
      <formula>"実施済み"</formula>
    </cfRule>
  </conditionalFormatting>
  <dataValidations disablePrompts="1" count="2">
    <dataValidation type="list" allowBlank="1" showInputMessage="1" showErrorMessage="1" sqref="G9" xr:uid="{00000000-0002-0000-0D00-000000000000}">
      <formula1>"　,○,●"</formula1>
    </dataValidation>
    <dataValidation type="list" allowBlank="1" showInputMessage="1" showErrorMessage="1" sqref="G8" xr:uid="{00000000-0002-0000-0D00-000001000000}">
      <formula1>"　,○"</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D17"/>
  <sheetViews>
    <sheetView view="pageBreakPreview" zoomScale="60" zoomScaleNormal="100" workbookViewId="0">
      <selection activeCell="D1" sqref="D1"/>
    </sheetView>
  </sheetViews>
  <sheetFormatPr defaultRowHeight="18" x14ac:dyDescent="0.45"/>
  <cols>
    <col min="2" max="2" width="25.69921875" style="32" customWidth="1"/>
    <col min="3" max="3" width="38.5" customWidth="1"/>
    <col min="4" max="4" width="55.5" customWidth="1"/>
  </cols>
  <sheetData>
    <row r="1" spans="2:4" x14ac:dyDescent="0.45">
      <c r="B1" s="35" t="s">
        <v>162</v>
      </c>
    </row>
    <row r="2" spans="2:4" x14ac:dyDescent="0.45">
      <c r="B2" s="32" t="s">
        <v>141</v>
      </c>
      <c r="C2" t="s">
        <v>157</v>
      </c>
      <c r="D2" t="s">
        <v>158</v>
      </c>
    </row>
    <row r="3" spans="2:4" ht="54" x14ac:dyDescent="0.45">
      <c r="B3" s="32" t="s">
        <v>66</v>
      </c>
      <c r="C3" s="33" t="s">
        <v>70</v>
      </c>
      <c r="D3" s="33" t="s">
        <v>262</v>
      </c>
    </row>
    <row r="4" spans="2:4" ht="54" x14ac:dyDescent="0.45">
      <c r="B4" s="32" t="s">
        <v>153</v>
      </c>
      <c r="C4" s="33"/>
      <c r="D4" s="33" t="s">
        <v>261</v>
      </c>
    </row>
    <row r="5" spans="2:4" ht="72" x14ac:dyDescent="0.45">
      <c r="B5" s="32" t="s">
        <v>154</v>
      </c>
      <c r="C5" s="33" t="s">
        <v>159</v>
      </c>
      <c r="D5" s="33" t="s">
        <v>160</v>
      </c>
    </row>
    <row r="6" spans="2:4" ht="36" x14ac:dyDescent="0.45">
      <c r="B6" s="32" t="s">
        <v>155</v>
      </c>
      <c r="C6" s="33" t="s">
        <v>67</v>
      </c>
      <c r="D6" s="33" t="s">
        <v>161</v>
      </c>
    </row>
    <row r="7" spans="2:4" ht="54" x14ac:dyDescent="0.45">
      <c r="B7" s="32" t="s">
        <v>71</v>
      </c>
      <c r="C7" s="33"/>
      <c r="D7" s="33" t="s">
        <v>249</v>
      </c>
    </row>
    <row r="8" spans="2:4" ht="54" x14ac:dyDescent="0.45">
      <c r="B8" s="32" t="s">
        <v>250</v>
      </c>
      <c r="C8" s="33" t="s">
        <v>156</v>
      </c>
      <c r="D8" s="33" t="s">
        <v>251</v>
      </c>
    </row>
    <row r="9" spans="2:4" ht="54" x14ac:dyDescent="0.45">
      <c r="B9" s="32" t="s">
        <v>72</v>
      </c>
      <c r="C9" s="33" t="s">
        <v>73</v>
      </c>
      <c r="D9" s="33" t="s">
        <v>260</v>
      </c>
    </row>
    <row r="10" spans="2:4" ht="54" x14ac:dyDescent="0.45">
      <c r="B10" s="32" t="s">
        <v>163</v>
      </c>
      <c r="D10" s="31" t="s">
        <v>259</v>
      </c>
    </row>
    <row r="11" spans="2:4" ht="54" x14ac:dyDescent="0.45">
      <c r="B11" s="32" t="s">
        <v>74</v>
      </c>
      <c r="C11" s="33" t="s">
        <v>164</v>
      </c>
      <c r="D11" s="33" t="s">
        <v>252</v>
      </c>
    </row>
    <row r="12" spans="2:4" ht="54" x14ac:dyDescent="0.45">
      <c r="B12" s="32" t="s">
        <v>151</v>
      </c>
      <c r="C12" s="33" t="s">
        <v>149</v>
      </c>
      <c r="D12" s="33" t="s">
        <v>253</v>
      </c>
    </row>
    <row r="13" spans="2:4" ht="54" x14ac:dyDescent="0.45">
      <c r="B13" s="32" t="s">
        <v>152</v>
      </c>
      <c r="C13" s="33" t="s">
        <v>150</v>
      </c>
      <c r="D13" s="33" t="s">
        <v>253</v>
      </c>
    </row>
    <row r="14" spans="2:4" ht="72" x14ac:dyDescent="0.45">
      <c r="B14" s="32" t="s">
        <v>64</v>
      </c>
      <c r="C14" s="33"/>
      <c r="D14" s="33" t="s">
        <v>254</v>
      </c>
    </row>
    <row r="15" spans="2:4" ht="54" x14ac:dyDescent="0.45">
      <c r="B15" s="32" t="s">
        <v>68</v>
      </c>
      <c r="C15" s="33" t="s">
        <v>69</v>
      </c>
      <c r="D15" s="33" t="s">
        <v>256</v>
      </c>
    </row>
    <row r="16" spans="2:4" ht="54" x14ac:dyDescent="0.45">
      <c r="B16" s="34" t="s">
        <v>165</v>
      </c>
      <c r="C16" s="34"/>
      <c r="D16" s="34" t="s">
        <v>257</v>
      </c>
    </row>
    <row r="17" spans="2:4" ht="54" x14ac:dyDescent="0.45">
      <c r="B17" s="32" t="s">
        <v>166</v>
      </c>
      <c r="D17" s="31" t="s">
        <v>258</v>
      </c>
    </row>
  </sheetData>
  <sheetProtection algorithmName="SHA-512" hashValue="h9fUaG0CRqVmPqLhzT0I9e7YjVuqt2qP2veEWjB0GCnbzc06eBtRMQr0ogliEdAT5I5Y5G6ZfMFn5lrs8rW9qA==" saltValue="0yTLGFcwWvi/yr3TGR0cjQ==" spinCount="100000" sheet="1" objects="1" scenarios="1"/>
  <phoneticPr fontId="5"/>
  <hyperlinks>
    <hyperlink ref="B1" r:id="rId1" xr:uid="{00000000-0004-0000-0E00-000000000000}"/>
  </hyperlinks>
  <pageMargins left="0.7" right="0.7" top="0.75" bottom="0.75" header="0.3" footer="0.3"/>
  <pageSetup paperSize="9" scale="93"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0"/>
  <sheetViews>
    <sheetView view="pageBreakPreview" zoomScale="60" zoomScaleNormal="100" workbookViewId="0">
      <selection activeCell="L17" sqref="L17"/>
    </sheetView>
  </sheetViews>
  <sheetFormatPr defaultColWidth="8.69921875" defaultRowHeight="18" x14ac:dyDescent="0.45"/>
  <cols>
    <col min="1" max="1" width="12.5" style="4" customWidth="1"/>
    <col min="2" max="2" width="25.19921875" style="4" customWidth="1"/>
    <col min="3" max="3" width="8.69921875" style="4"/>
    <col min="4" max="4" width="12.69921875" style="4" customWidth="1"/>
    <col min="5" max="5" width="12.09765625" style="4" customWidth="1"/>
    <col min="6" max="7" width="8.69921875" style="4"/>
    <col min="8" max="8" width="14.69921875" style="581" customWidth="1"/>
    <col min="9" max="9" width="11.796875" style="4" customWidth="1"/>
    <col min="10" max="10" width="4.19921875" style="4" customWidth="1"/>
    <col min="11" max="16384" width="8.69921875" style="4"/>
  </cols>
  <sheetData>
    <row r="1" spans="1:9" ht="19.2" x14ac:dyDescent="0.45">
      <c r="A1" s="570" t="s">
        <v>53</v>
      </c>
      <c r="B1" s="571">
        <v>1</v>
      </c>
      <c r="C1" s="571">
        <v>2</v>
      </c>
      <c r="D1" s="571">
        <v>3</v>
      </c>
      <c r="E1" s="571">
        <v>4</v>
      </c>
      <c r="F1" s="571">
        <v>5</v>
      </c>
      <c r="G1" s="571">
        <v>6</v>
      </c>
      <c r="H1" s="571">
        <v>7</v>
      </c>
      <c r="I1" s="571">
        <v>8</v>
      </c>
    </row>
    <row r="2" spans="1:9" x14ac:dyDescent="0.45">
      <c r="A2" s="4" t="s">
        <v>75</v>
      </c>
      <c r="B2" s="572" t="s">
        <v>20</v>
      </c>
      <c r="C2" s="573" t="s">
        <v>54</v>
      </c>
      <c r="D2" s="574" t="s">
        <v>55</v>
      </c>
      <c r="E2" s="575" t="s">
        <v>56</v>
      </c>
      <c r="F2" s="576" t="s">
        <v>57</v>
      </c>
      <c r="G2" s="574" t="s">
        <v>22</v>
      </c>
      <c r="H2" s="577" t="s">
        <v>21</v>
      </c>
      <c r="I2" s="574" t="s">
        <v>22</v>
      </c>
    </row>
    <row r="3" spans="1:9" ht="18" customHeight="1" x14ac:dyDescent="0.45">
      <c r="B3" s="578" t="s">
        <v>23</v>
      </c>
      <c r="C3" s="6">
        <v>38.200000000000003</v>
      </c>
      <c r="D3" s="8" t="str">
        <f>"MJ/"&amp;E3</f>
        <v>MJ/L</v>
      </c>
      <c r="E3" s="8" t="s">
        <v>6</v>
      </c>
      <c r="F3" s="415">
        <v>1.8700000000000001E-2</v>
      </c>
      <c r="G3" s="5" t="s">
        <v>24</v>
      </c>
      <c r="H3" s="7">
        <f>$C3*F3*44/12/1000</f>
        <v>2.6192466666666667E-3</v>
      </c>
      <c r="I3" s="579" t="str">
        <f>"tCO2/"&amp;E3</f>
        <v>tCO2/L</v>
      </c>
    </row>
    <row r="4" spans="1:9" x14ac:dyDescent="0.45">
      <c r="B4" s="578" t="s">
        <v>25</v>
      </c>
      <c r="C4" s="6">
        <v>35.299999999999997</v>
      </c>
      <c r="D4" s="8" t="str">
        <f t="shared" ref="D4:D10" si="0">"MJ/"&amp;E4</f>
        <v>MJ/L</v>
      </c>
      <c r="E4" s="8" t="s">
        <v>6</v>
      </c>
      <c r="F4" s="415">
        <v>1.84E-2</v>
      </c>
      <c r="G4" s="5" t="s">
        <v>24</v>
      </c>
      <c r="H4" s="7">
        <f t="shared" ref="H4:H25" si="1">$C4*F4*44/12/1000</f>
        <v>2.3815733333333333E-3</v>
      </c>
      <c r="I4" s="579" t="str">
        <f t="shared" ref="I4:I30" si="2">"tCO2/"&amp;E4</f>
        <v>tCO2/L</v>
      </c>
    </row>
    <row r="5" spans="1:9" x14ac:dyDescent="0.45">
      <c r="B5" s="578" t="s">
        <v>26</v>
      </c>
      <c r="C5" s="6">
        <v>34.6</v>
      </c>
      <c r="D5" s="8" t="str">
        <f t="shared" si="0"/>
        <v>MJ/L</v>
      </c>
      <c r="E5" s="8" t="s">
        <v>6</v>
      </c>
      <c r="F5" s="415">
        <v>1.83E-2</v>
      </c>
      <c r="G5" s="5" t="s">
        <v>24</v>
      </c>
      <c r="H5" s="7">
        <f t="shared" si="1"/>
        <v>2.3216600000000001E-3</v>
      </c>
      <c r="I5" s="579" t="str">
        <f t="shared" si="2"/>
        <v>tCO2/L</v>
      </c>
    </row>
    <row r="6" spans="1:9" x14ac:dyDescent="0.45">
      <c r="B6" s="578" t="s">
        <v>27</v>
      </c>
      <c r="C6" s="6">
        <v>33.6</v>
      </c>
      <c r="D6" s="8" t="str">
        <f t="shared" si="0"/>
        <v>MJ/L</v>
      </c>
      <c r="E6" s="8" t="s">
        <v>6</v>
      </c>
      <c r="F6" s="415">
        <v>1.8200000000000001E-2</v>
      </c>
      <c r="G6" s="5" t="s">
        <v>24</v>
      </c>
      <c r="H6" s="7">
        <f t="shared" si="1"/>
        <v>2.2422400000000004E-3</v>
      </c>
      <c r="I6" s="579" t="str">
        <f t="shared" si="2"/>
        <v>tCO2/L</v>
      </c>
    </row>
    <row r="7" spans="1:9" x14ac:dyDescent="0.45">
      <c r="B7" s="578" t="s">
        <v>28</v>
      </c>
      <c r="C7" s="6">
        <v>36.700000000000003</v>
      </c>
      <c r="D7" s="8" t="str">
        <f t="shared" si="0"/>
        <v>MJ/L</v>
      </c>
      <c r="E7" s="8" t="s">
        <v>6</v>
      </c>
      <c r="F7" s="415">
        <v>1.8499999999999999E-2</v>
      </c>
      <c r="G7" s="5" t="s">
        <v>24</v>
      </c>
      <c r="H7" s="7">
        <f t="shared" si="1"/>
        <v>2.4894833333333338E-3</v>
      </c>
      <c r="I7" s="579" t="str">
        <f t="shared" si="2"/>
        <v>tCO2/L</v>
      </c>
    </row>
    <row r="8" spans="1:9" x14ac:dyDescent="0.45">
      <c r="B8" s="578" t="s">
        <v>29</v>
      </c>
      <c r="C8" s="6">
        <v>37.700000000000003</v>
      </c>
      <c r="D8" s="8" t="str">
        <f t="shared" si="0"/>
        <v>MJ/L</v>
      </c>
      <c r="E8" s="8" t="s">
        <v>6</v>
      </c>
      <c r="F8" s="415">
        <v>1.8700000000000001E-2</v>
      </c>
      <c r="G8" s="5" t="s">
        <v>24</v>
      </c>
      <c r="H8" s="7">
        <f t="shared" si="1"/>
        <v>2.584963333333334E-3</v>
      </c>
      <c r="I8" s="579" t="str">
        <f t="shared" si="2"/>
        <v>tCO2/L</v>
      </c>
    </row>
    <row r="9" spans="1:9" x14ac:dyDescent="0.45">
      <c r="B9" s="578" t="s">
        <v>30</v>
      </c>
      <c r="C9" s="6">
        <v>39.1</v>
      </c>
      <c r="D9" s="8" t="str">
        <f t="shared" si="0"/>
        <v>MJ/L</v>
      </c>
      <c r="E9" s="8" t="s">
        <v>6</v>
      </c>
      <c r="F9" s="415">
        <v>1.89E-2</v>
      </c>
      <c r="G9" s="5" t="s">
        <v>24</v>
      </c>
      <c r="H9" s="7">
        <f t="shared" si="1"/>
        <v>2.7096300000000002E-3</v>
      </c>
      <c r="I9" s="579" t="str">
        <f t="shared" si="2"/>
        <v>tCO2/L</v>
      </c>
    </row>
    <row r="10" spans="1:9" x14ac:dyDescent="0.45">
      <c r="B10" s="578" t="s">
        <v>31</v>
      </c>
      <c r="C10" s="6">
        <v>41.9</v>
      </c>
      <c r="D10" s="8" t="str">
        <f t="shared" si="0"/>
        <v>MJ/L</v>
      </c>
      <c r="E10" s="8" t="s">
        <v>6</v>
      </c>
      <c r="F10" s="415">
        <v>1.95E-2</v>
      </c>
      <c r="G10" s="5" t="s">
        <v>24</v>
      </c>
      <c r="H10" s="7">
        <f t="shared" si="1"/>
        <v>2.9958499999999996E-3</v>
      </c>
      <c r="I10" s="579" t="str">
        <f t="shared" si="2"/>
        <v>tCO2/L</v>
      </c>
    </row>
    <row r="11" spans="1:9" x14ac:dyDescent="0.45">
      <c r="B11" s="578" t="s">
        <v>32</v>
      </c>
      <c r="C11" s="6">
        <v>40.9</v>
      </c>
      <c r="D11" s="8" t="str">
        <f>"MJ/"&amp;E11</f>
        <v>MJ/kg</v>
      </c>
      <c r="E11" s="8" t="s">
        <v>92</v>
      </c>
      <c r="F11" s="415">
        <v>2.0799999999999999E-2</v>
      </c>
      <c r="G11" s="5" t="s">
        <v>24</v>
      </c>
      <c r="H11" s="7">
        <f t="shared" si="1"/>
        <v>3.1193066666666668E-3</v>
      </c>
      <c r="I11" s="579" t="str">
        <f t="shared" si="2"/>
        <v>tCO2/kg</v>
      </c>
    </row>
    <row r="12" spans="1:9" x14ac:dyDescent="0.45">
      <c r="B12" s="578" t="s">
        <v>33</v>
      </c>
      <c r="C12" s="6">
        <v>29.9</v>
      </c>
      <c r="D12" s="8" t="str">
        <f t="shared" ref="D12:D30" si="3">"MJ/"&amp;E12</f>
        <v>MJ/kg</v>
      </c>
      <c r="E12" s="8" t="s">
        <v>92</v>
      </c>
      <c r="F12" s="415">
        <v>2.5399999999999999E-2</v>
      </c>
      <c r="G12" s="5" t="s">
        <v>24</v>
      </c>
      <c r="H12" s="7">
        <f t="shared" si="1"/>
        <v>2.7846866666666661E-3</v>
      </c>
      <c r="I12" s="579" t="str">
        <f t="shared" si="2"/>
        <v>tCO2/kg</v>
      </c>
    </row>
    <row r="13" spans="1:9" x14ac:dyDescent="0.45">
      <c r="B13" s="578" t="s">
        <v>34</v>
      </c>
      <c r="C13" s="6">
        <v>50.8</v>
      </c>
      <c r="D13" s="8" t="str">
        <f t="shared" si="3"/>
        <v>MJ/kg</v>
      </c>
      <c r="E13" s="8" t="s">
        <v>92</v>
      </c>
      <c r="F13" s="415">
        <v>1.61E-2</v>
      </c>
      <c r="G13" s="5" t="s">
        <v>24</v>
      </c>
      <c r="H13" s="7">
        <f t="shared" si="1"/>
        <v>2.998893333333333E-3</v>
      </c>
      <c r="I13" s="579" t="str">
        <f t="shared" si="2"/>
        <v>tCO2/kg</v>
      </c>
    </row>
    <row r="14" spans="1:9" x14ac:dyDescent="0.45">
      <c r="B14" s="578" t="s">
        <v>35</v>
      </c>
      <c r="C14" s="6">
        <v>44.9</v>
      </c>
      <c r="D14" s="8" t="str">
        <f t="shared" si="3"/>
        <v>MJ/㎥</v>
      </c>
      <c r="E14" s="8" t="s">
        <v>91</v>
      </c>
      <c r="F14" s="415">
        <v>1.4200000000000001E-2</v>
      </c>
      <c r="G14" s="5" t="s">
        <v>24</v>
      </c>
      <c r="H14" s="7">
        <f t="shared" si="1"/>
        <v>2.3377933333333335E-3</v>
      </c>
      <c r="I14" s="579" t="str">
        <f t="shared" si="2"/>
        <v>tCO2/㎥</v>
      </c>
    </row>
    <row r="15" spans="1:9" ht="18" customHeight="1" x14ac:dyDescent="0.45">
      <c r="B15" s="578" t="s">
        <v>36</v>
      </c>
      <c r="C15" s="6">
        <v>54.6</v>
      </c>
      <c r="D15" s="8" t="str">
        <f t="shared" si="3"/>
        <v>MJ/kg</v>
      </c>
      <c r="E15" s="8" t="s">
        <v>92</v>
      </c>
      <c r="F15" s="415">
        <v>1.35E-2</v>
      </c>
      <c r="G15" s="5" t="s">
        <v>24</v>
      </c>
      <c r="H15" s="7">
        <f t="shared" si="1"/>
        <v>2.7027000000000002E-3</v>
      </c>
      <c r="I15" s="579" t="str">
        <f t="shared" si="2"/>
        <v>tCO2/kg</v>
      </c>
    </row>
    <row r="16" spans="1:9" x14ac:dyDescent="0.45">
      <c r="B16" s="578" t="s">
        <v>37</v>
      </c>
      <c r="C16" s="6">
        <v>43.5</v>
      </c>
      <c r="D16" s="8" t="str">
        <f t="shared" si="3"/>
        <v>MJ/㎥</v>
      </c>
      <c r="E16" s="8" t="s">
        <v>91</v>
      </c>
      <c r="F16" s="415">
        <v>1.3899999999999999E-2</v>
      </c>
      <c r="G16" s="5" t="s">
        <v>24</v>
      </c>
      <c r="H16" s="7">
        <f t="shared" si="1"/>
        <v>2.2170499999999999E-3</v>
      </c>
      <c r="I16" s="579" t="str">
        <f t="shared" si="2"/>
        <v>tCO2/㎥</v>
      </c>
    </row>
    <row r="17" spans="2:9" x14ac:dyDescent="0.45">
      <c r="B17" s="578" t="s">
        <v>38</v>
      </c>
      <c r="C17" s="6">
        <v>29</v>
      </c>
      <c r="D17" s="8" t="str">
        <f t="shared" si="3"/>
        <v>MJ/kg</v>
      </c>
      <c r="E17" s="8" t="s">
        <v>92</v>
      </c>
      <c r="F17" s="415">
        <v>2.4500000000000001E-2</v>
      </c>
      <c r="G17" s="5" t="s">
        <v>24</v>
      </c>
      <c r="H17" s="7">
        <f t="shared" si="1"/>
        <v>2.6051666666666667E-3</v>
      </c>
      <c r="I17" s="579" t="str">
        <f t="shared" si="2"/>
        <v>tCO2/kg</v>
      </c>
    </row>
    <row r="18" spans="2:9" x14ac:dyDescent="0.45">
      <c r="B18" s="578" t="s">
        <v>39</v>
      </c>
      <c r="C18" s="6">
        <v>25.7</v>
      </c>
      <c r="D18" s="8" t="str">
        <f t="shared" si="3"/>
        <v>MJ/kg</v>
      </c>
      <c r="E18" s="8" t="s">
        <v>92</v>
      </c>
      <c r="F18" s="415">
        <v>2.47E-2</v>
      </c>
      <c r="G18" s="5" t="s">
        <v>24</v>
      </c>
      <c r="H18" s="7">
        <f t="shared" si="1"/>
        <v>2.3275633333333335E-3</v>
      </c>
      <c r="I18" s="579" t="str">
        <f t="shared" si="2"/>
        <v>tCO2/kg</v>
      </c>
    </row>
    <row r="19" spans="2:9" x14ac:dyDescent="0.45">
      <c r="B19" s="578" t="s">
        <v>40</v>
      </c>
      <c r="C19" s="6">
        <v>26.9</v>
      </c>
      <c r="D19" s="8" t="str">
        <f t="shared" si="3"/>
        <v>MJ/kg</v>
      </c>
      <c r="E19" s="8" t="s">
        <v>92</v>
      </c>
      <c r="F19" s="415">
        <v>2.5499999999999998E-2</v>
      </c>
      <c r="G19" s="5" t="s">
        <v>24</v>
      </c>
      <c r="H19" s="7">
        <f t="shared" si="1"/>
        <v>2.5151499999999999E-3</v>
      </c>
      <c r="I19" s="579" t="str">
        <f t="shared" si="2"/>
        <v>tCO2/kg</v>
      </c>
    </row>
    <row r="20" spans="2:9" x14ac:dyDescent="0.45">
      <c r="B20" s="578" t="s">
        <v>41</v>
      </c>
      <c r="C20" s="6">
        <v>29.4</v>
      </c>
      <c r="D20" s="8" t="str">
        <f t="shared" si="3"/>
        <v>MJ/kg</v>
      </c>
      <c r="E20" s="8" t="s">
        <v>92</v>
      </c>
      <c r="F20" s="415">
        <v>2.9399999999999999E-2</v>
      </c>
      <c r="G20" s="5" t="s">
        <v>24</v>
      </c>
      <c r="H20" s="7">
        <f t="shared" si="1"/>
        <v>3.1693199999999993E-3</v>
      </c>
      <c r="I20" s="579" t="str">
        <f t="shared" si="2"/>
        <v>tCO2/kg</v>
      </c>
    </row>
    <row r="21" spans="2:9" x14ac:dyDescent="0.45">
      <c r="B21" s="578" t="s">
        <v>42</v>
      </c>
      <c r="C21" s="6">
        <v>37.299999999999997</v>
      </c>
      <c r="D21" s="8" t="str">
        <f t="shared" si="3"/>
        <v>MJ/kg</v>
      </c>
      <c r="E21" s="8" t="s">
        <v>92</v>
      </c>
      <c r="F21" s="415">
        <v>2.0899999999999998E-2</v>
      </c>
      <c r="G21" s="5" t="s">
        <v>24</v>
      </c>
      <c r="H21" s="7">
        <f t="shared" si="1"/>
        <v>2.8584233333333329E-3</v>
      </c>
      <c r="I21" s="579" t="str">
        <f t="shared" si="2"/>
        <v>tCO2/kg</v>
      </c>
    </row>
    <row r="22" spans="2:9" x14ac:dyDescent="0.45">
      <c r="B22" s="578" t="s">
        <v>43</v>
      </c>
      <c r="C22" s="6">
        <v>21.1</v>
      </c>
      <c r="D22" s="8" t="str">
        <f t="shared" si="3"/>
        <v>MJ/㎥</v>
      </c>
      <c r="E22" s="8" t="s">
        <v>91</v>
      </c>
      <c r="F22" s="415">
        <v>1.0999999999999999E-2</v>
      </c>
      <c r="G22" s="5" t="s">
        <v>24</v>
      </c>
      <c r="H22" s="7">
        <f t="shared" si="1"/>
        <v>8.5103333333333344E-4</v>
      </c>
      <c r="I22" s="579" t="str">
        <f t="shared" si="2"/>
        <v>tCO2/㎥</v>
      </c>
    </row>
    <row r="23" spans="2:9" x14ac:dyDescent="0.45">
      <c r="B23" s="578" t="s">
        <v>44</v>
      </c>
      <c r="C23" s="416">
        <v>3.41</v>
      </c>
      <c r="D23" s="8" t="str">
        <f t="shared" si="3"/>
        <v>MJ/㎥</v>
      </c>
      <c r="E23" s="8" t="s">
        <v>91</v>
      </c>
      <c r="F23" s="415">
        <v>2.63E-2</v>
      </c>
      <c r="G23" s="5" t="s">
        <v>24</v>
      </c>
      <c r="H23" s="7">
        <f t="shared" si="1"/>
        <v>3.2883766666666665E-4</v>
      </c>
      <c r="I23" s="579" t="str">
        <f t="shared" si="2"/>
        <v>tCO2/㎥</v>
      </c>
    </row>
    <row r="24" spans="2:9" x14ac:dyDescent="0.45">
      <c r="B24" s="578" t="s">
        <v>45</v>
      </c>
      <c r="C24" s="416">
        <v>8.41</v>
      </c>
      <c r="D24" s="8" t="str">
        <f t="shared" si="3"/>
        <v>MJ/㎥</v>
      </c>
      <c r="E24" s="8" t="s">
        <v>91</v>
      </c>
      <c r="F24" s="415">
        <v>3.8399999999999997E-2</v>
      </c>
      <c r="G24" s="232" t="s">
        <v>24</v>
      </c>
      <c r="H24" s="233">
        <f t="shared" si="1"/>
        <v>1.1841279999999998E-3</v>
      </c>
      <c r="I24" s="579" t="str">
        <f t="shared" si="2"/>
        <v>tCO2/㎥</v>
      </c>
    </row>
    <row r="25" spans="2:9" x14ac:dyDescent="0.45">
      <c r="B25" s="578" t="s">
        <v>46</v>
      </c>
      <c r="C25" s="6">
        <v>45</v>
      </c>
      <c r="D25" s="8" t="str">
        <f t="shared" si="3"/>
        <v>MJ/㎥</v>
      </c>
      <c r="E25" s="8" t="s">
        <v>91</v>
      </c>
      <c r="F25" s="415">
        <v>1.3599999999999999E-2</v>
      </c>
      <c r="G25" s="232" t="s">
        <v>24</v>
      </c>
      <c r="H25" s="233">
        <f t="shared" si="1"/>
        <v>2.2440000000000003E-3</v>
      </c>
      <c r="I25" s="579" t="str">
        <f>"tCO2/"&amp;E25</f>
        <v>tCO2/㎥</v>
      </c>
    </row>
    <row r="26" spans="2:9" x14ac:dyDescent="0.45">
      <c r="B26" s="579" t="s">
        <v>47</v>
      </c>
      <c r="C26" s="416">
        <v>1.02</v>
      </c>
      <c r="D26" s="8" t="str">
        <f>"MJ/"&amp;E26</f>
        <v>MJ/MJ</v>
      </c>
      <c r="E26" s="8" t="s">
        <v>543</v>
      </c>
      <c r="F26" s="417">
        <v>0.06</v>
      </c>
      <c r="G26" s="234" t="s">
        <v>48</v>
      </c>
      <c r="H26" s="233">
        <f>$C26*F26/1000</f>
        <v>6.1199999999999997E-5</v>
      </c>
      <c r="I26" s="579" t="str">
        <f>"tCO2/"&amp;E26</f>
        <v>tCO2/MJ</v>
      </c>
    </row>
    <row r="27" spans="2:9" x14ac:dyDescent="0.45">
      <c r="B27" s="579" t="s">
        <v>49</v>
      </c>
      <c r="C27" s="416">
        <v>1.36</v>
      </c>
      <c r="D27" s="8" t="str">
        <f>"MJ/"&amp;E27</f>
        <v>MJ/MJ</v>
      </c>
      <c r="E27" s="8" t="s">
        <v>543</v>
      </c>
      <c r="F27" s="417">
        <v>5.7000000000000002E-2</v>
      </c>
      <c r="G27" s="234" t="s">
        <v>48</v>
      </c>
      <c r="H27" s="233">
        <f t="shared" ref="H27:H29" si="4">$C27*F27/1000</f>
        <v>7.7520000000000003E-5</v>
      </c>
      <c r="I27" s="579" t="str">
        <f t="shared" si="2"/>
        <v>tCO2/MJ</v>
      </c>
    </row>
    <row r="28" spans="2:9" x14ac:dyDescent="0.45">
      <c r="B28" s="579" t="s">
        <v>50</v>
      </c>
      <c r="C28" s="416">
        <v>1.36</v>
      </c>
      <c r="D28" s="8" t="str">
        <f>"MJ/"&amp;E28</f>
        <v>MJ/MJ</v>
      </c>
      <c r="E28" s="8" t="s">
        <v>543</v>
      </c>
      <c r="F28" s="417">
        <v>5.7000000000000002E-2</v>
      </c>
      <c r="G28" s="234" t="s">
        <v>48</v>
      </c>
      <c r="H28" s="233">
        <f t="shared" si="4"/>
        <v>7.7520000000000003E-5</v>
      </c>
      <c r="I28" s="579" t="str">
        <f t="shared" si="2"/>
        <v>tCO2/MJ</v>
      </c>
    </row>
    <row r="29" spans="2:9" x14ac:dyDescent="0.45">
      <c r="B29" s="579" t="s">
        <v>51</v>
      </c>
      <c r="C29" s="416">
        <v>1.36</v>
      </c>
      <c r="D29" s="8" t="str">
        <f>"MJ/"&amp;E29</f>
        <v>MJ/MJ</v>
      </c>
      <c r="E29" s="8" t="s">
        <v>543</v>
      </c>
      <c r="F29" s="417">
        <v>5.7000000000000002E-2</v>
      </c>
      <c r="G29" s="234" t="s">
        <v>48</v>
      </c>
      <c r="H29" s="233">
        <f t="shared" si="4"/>
        <v>7.7520000000000003E-5</v>
      </c>
      <c r="I29" s="579" t="str">
        <f t="shared" si="2"/>
        <v>tCO2/MJ</v>
      </c>
    </row>
    <row r="30" spans="2:9" ht="18" customHeight="1" x14ac:dyDescent="0.45">
      <c r="B30" s="580" t="s">
        <v>0</v>
      </c>
      <c r="C30" s="416">
        <v>9.9700000000000006</v>
      </c>
      <c r="D30" s="8" t="str">
        <f t="shared" si="3"/>
        <v>MJ/kWh</v>
      </c>
      <c r="E30" s="8" t="s">
        <v>5</v>
      </c>
      <c r="F30" s="9">
        <v>4.5600000000000003E-4</v>
      </c>
      <c r="G30" s="234" t="s">
        <v>52</v>
      </c>
      <c r="H30" s="233">
        <f>F30</f>
        <v>4.5600000000000003E-4</v>
      </c>
      <c r="I30" s="579" t="str">
        <f t="shared" si="2"/>
        <v>tCO2/kWh</v>
      </c>
    </row>
  </sheetData>
  <sheetProtection algorithmName="SHA-512" hashValue="jDHukyj0tLr3U6mTdiRx817J4hYjV8arQyZE6+4Bi/THxaeJKXxBLNpT94+azzdrYzlwYJPfCUW+RXrX7TRVBQ==" saltValue="XCURe90OumdUOfzXvjWPTg==" spinCount="100000" sheet="1" objects="1" scenarios="1" formatCells="0" formatColumns="0" formatRows="0"/>
  <phoneticPr fontId="5"/>
  <conditionalFormatting sqref="G30 C30">
    <cfRule type="containsErrors" dxfId="4" priority="3">
      <formula>ISERROR(C30)</formula>
    </cfRule>
  </conditionalFormatting>
  <conditionalFormatting sqref="F30">
    <cfRule type="containsErrors" dxfId="3" priority="2">
      <formula>ISERROR(F30)</formula>
    </cfRule>
  </conditionalFormatting>
  <conditionalFormatting sqref="B30">
    <cfRule type="cellIs" dxfId="2" priority="1" operator="equal">
      <formula>"電気事業者名を選択"</formula>
    </cfRule>
  </conditionalFormatting>
  <pageMargins left="0.7" right="0.7" top="0.75" bottom="0.75" header="0.3" footer="0.3"/>
  <pageSetup paperSize="9" scale="6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F36"/>
  <sheetViews>
    <sheetView workbookViewId="0">
      <selection activeCell="B30" sqref="B30"/>
    </sheetView>
  </sheetViews>
  <sheetFormatPr defaultColWidth="8.69921875" defaultRowHeight="18" x14ac:dyDescent="0.45"/>
  <cols>
    <col min="1" max="16384" width="8.69921875" style="4"/>
  </cols>
  <sheetData>
    <row r="2" spans="1:3" x14ac:dyDescent="0.45">
      <c r="A2" s="23" t="s">
        <v>101</v>
      </c>
      <c r="B2" s="24" t="s">
        <v>102</v>
      </c>
      <c r="C2"/>
    </row>
    <row r="3" spans="1:3" x14ac:dyDescent="0.45">
      <c r="A3" s="1"/>
      <c r="B3" s="1" t="s">
        <v>98</v>
      </c>
      <c r="C3" s="1" t="s">
        <v>111</v>
      </c>
    </row>
    <row r="4" spans="1:3" x14ac:dyDescent="0.45">
      <c r="A4" s="25" t="s">
        <v>7</v>
      </c>
      <c r="B4" s="179" t="s">
        <v>99</v>
      </c>
      <c r="C4" s="26">
        <f t="shared" ref="C4:C15" si="0">IF($B$2="事務所",IF(B4="冷房",B21,C21),IF(B4="冷房",D21,E21))</f>
        <v>0.16</v>
      </c>
    </row>
    <row r="5" spans="1:3" x14ac:dyDescent="0.45">
      <c r="A5" s="25" t="s">
        <v>9</v>
      </c>
      <c r="B5" s="179" t="s">
        <v>99</v>
      </c>
      <c r="C5" s="26">
        <f t="shared" si="0"/>
        <v>0.25700000000000001</v>
      </c>
    </row>
    <row r="6" spans="1:3" x14ac:dyDescent="0.45">
      <c r="A6" s="25" t="s">
        <v>10</v>
      </c>
      <c r="B6" s="179" t="s">
        <v>99</v>
      </c>
      <c r="C6" s="26">
        <f t="shared" si="0"/>
        <v>0.317</v>
      </c>
    </row>
    <row r="7" spans="1:3" x14ac:dyDescent="0.45">
      <c r="A7" s="25" t="s">
        <v>11</v>
      </c>
      <c r="B7" s="179" t="s">
        <v>99</v>
      </c>
      <c r="C7" s="26">
        <f t="shared" si="0"/>
        <v>0.57299999999999995</v>
      </c>
    </row>
    <row r="8" spans="1:3" x14ac:dyDescent="0.45">
      <c r="A8" s="25" t="s">
        <v>12</v>
      </c>
      <c r="B8" s="179" t="s">
        <v>99</v>
      </c>
      <c r="C8" s="26">
        <f t="shared" si="0"/>
        <v>0.61499999999999999</v>
      </c>
    </row>
    <row r="9" spans="1:3" x14ac:dyDescent="0.45">
      <c r="A9" s="25" t="s">
        <v>13</v>
      </c>
      <c r="B9" s="179" t="s">
        <v>99</v>
      </c>
      <c r="C9" s="26">
        <f t="shared" si="0"/>
        <v>0.48399999999999999</v>
      </c>
    </row>
    <row r="10" spans="1:3" x14ac:dyDescent="0.45">
      <c r="A10" s="25" t="s">
        <v>14</v>
      </c>
      <c r="B10" s="179" t="s">
        <v>99</v>
      </c>
      <c r="C10" s="26">
        <f t="shared" si="0"/>
        <v>0.23499999999999999</v>
      </c>
    </row>
    <row r="11" spans="1:3" x14ac:dyDescent="0.45">
      <c r="A11" s="25" t="s">
        <v>15</v>
      </c>
      <c r="B11" s="179" t="s">
        <v>99</v>
      </c>
      <c r="C11" s="26">
        <f t="shared" si="0"/>
        <v>0.13600000000000001</v>
      </c>
    </row>
    <row r="12" spans="1:3" x14ac:dyDescent="0.45">
      <c r="A12" s="25" t="s">
        <v>16</v>
      </c>
      <c r="B12" s="179" t="s">
        <v>100</v>
      </c>
      <c r="C12" s="26">
        <f t="shared" si="0"/>
        <v>0.151</v>
      </c>
    </row>
    <row r="13" spans="1:3" x14ac:dyDescent="0.45">
      <c r="A13" s="25" t="s">
        <v>17</v>
      </c>
      <c r="B13" s="179" t="s">
        <v>100</v>
      </c>
      <c r="C13" s="26">
        <f t="shared" si="0"/>
        <v>0.19900000000000001</v>
      </c>
    </row>
    <row r="14" spans="1:3" x14ac:dyDescent="0.45">
      <c r="A14" s="25" t="s">
        <v>18</v>
      </c>
      <c r="B14" s="179" t="s">
        <v>100</v>
      </c>
      <c r="C14" s="26">
        <f t="shared" si="0"/>
        <v>0.193</v>
      </c>
    </row>
    <row r="15" spans="1:3" x14ac:dyDescent="0.45">
      <c r="A15" s="25" t="s">
        <v>19</v>
      </c>
      <c r="B15" s="179" t="s">
        <v>100</v>
      </c>
      <c r="C15" s="26">
        <f t="shared" si="0"/>
        <v>0.14599999999999999</v>
      </c>
    </row>
    <row r="16" spans="1:3" x14ac:dyDescent="0.45">
      <c r="A16" s="702" t="s">
        <v>382</v>
      </c>
      <c r="B16" s="703"/>
      <c r="C16" s="27">
        <f>AVERAGEIFS($C$4:$C$15,$B$4:$B$15,"冷房")</f>
        <v>0.34712499999999996</v>
      </c>
    </row>
    <row r="17" spans="1:6" x14ac:dyDescent="0.45">
      <c r="A17" s="702" t="s">
        <v>383</v>
      </c>
      <c r="B17" s="703"/>
      <c r="C17" s="27">
        <f>AVERAGEIFS($C$4:$C$15,$B$4:$B$15,"暖房")</f>
        <v>0.17224999999999999</v>
      </c>
    </row>
    <row r="19" spans="1:6" x14ac:dyDescent="0.45">
      <c r="A19" s="13"/>
      <c r="B19" s="13" t="s">
        <v>103</v>
      </c>
      <c r="C19" s="13" t="s">
        <v>103</v>
      </c>
      <c r="D19" s="13" t="s">
        <v>104</v>
      </c>
      <c r="E19" s="13" t="s">
        <v>104</v>
      </c>
      <c r="F19" s="13" t="s">
        <v>105</v>
      </c>
    </row>
    <row r="20" spans="1:6" x14ac:dyDescent="0.45">
      <c r="A20" s="13"/>
      <c r="B20" s="13" t="s">
        <v>106</v>
      </c>
      <c r="C20" s="13" t="s">
        <v>107</v>
      </c>
      <c r="D20" s="13" t="s">
        <v>106</v>
      </c>
      <c r="E20" s="13" t="s">
        <v>107</v>
      </c>
      <c r="F20" s="13"/>
    </row>
    <row r="21" spans="1:6" x14ac:dyDescent="0.45">
      <c r="A21" s="13" t="s">
        <v>7</v>
      </c>
      <c r="B21" s="14">
        <v>0.16</v>
      </c>
      <c r="C21" s="14">
        <v>8.7999999999999995E-2</v>
      </c>
      <c r="D21" s="14">
        <v>0.13700000000000001</v>
      </c>
      <c r="E21" s="14">
        <v>0.151</v>
      </c>
      <c r="F21" s="15">
        <v>0</v>
      </c>
    </row>
    <row r="22" spans="1:6" x14ac:dyDescent="0.45">
      <c r="A22" s="13" t="s">
        <v>9</v>
      </c>
      <c r="B22" s="14">
        <v>0.25700000000000001</v>
      </c>
      <c r="C22" s="14">
        <v>4.4999999999999998E-2</v>
      </c>
      <c r="D22" s="14">
        <v>0.20599999999999999</v>
      </c>
      <c r="E22" s="14">
        <v>0.13200000000000001</v>
      </c>
      <c r="F22" s="15">
        <v>0</v>
      </c>
    </row>
    <row r="23" spans="1:6" x14ac:dyDescent="0.45">
      <c r="A23" s="13" t="s">
        <v>10</v>
      </c>
      <c r="B23" s="14">
        <v>0.317</v>
      </c>
      <c r="C23" s="14">
        <v>0</v>
      </c>
      <c r="D23" s="14">
        <v>0.249</v>
      </c>
      <c r="E23" s="14">
        <v>0</v>
      </c>
      <c r="F23" s="15">
        <v>0</v>
      </c>
    </row>
    <row r="24" spans="1:6" x14ac:dyDescent="0.45">
      <c r="A24" s="13" t="s">
        <v>11</v>
      </c>
      <c r="B24" s="14">
        <v>0.57299999999999995</v>
      </c>
      <c r="C24" s="14">
        <v>0</v>
      </c>
      <c r="D24" s="14">
        <v>0.54400000000000004</v>
      </c>
      <c r="E24" s="14">
        <v>0</v>
      </c>
      <c r="F24" s="15">
        <v>0</v>
      </c>
    </row>
    <row r="25" spans="1:6" x14ac:dyDescent="0.45">
      <c r="A25" s="13" t="s">
        <v>12</v>
      </c>
      <c r="B25" s="14">
        <v>0.61499999999999999</v>
      </c>
      <c r="C25" s="14">
        <v>0</v>
      </c>
      <c r="D25" s="14">
        <v>0.53400000000000003</v>
      </c>
      <c r="E25" s="14">
        <v>0</v>
      </c>
      <c r="F25" s="15">
        <v>0</v>
      </c>
    </row>
    <row r="26" spans="1:6" x14ac:dyDescent="0.45">
      <c r="A26" s="13" t="s">
        <v>13</v>
      </c>
      <c r="B26" s="14">
        <v>0.48399999999999999</v>
      </c>
      <c r="C26" s="14">
        <v>0</v>
      </c>
      <c r="D26" s="14">
        <v>0.432</v>
      </c>
      <c r="E26" s="14">
        <v>0</v>
      </c>
      <c r="F26" s="15">
        <v>0</v>
      </c>
    </row>
    <row r="27" spans="1:6" x14ac:dyDescent="0.45">
      <c r="A27" s="13" t="s">
        <v>14</v>
      </c>
      <c r="B27" s="14">
        <v>0.23499999999999999</v>
      </c>
      <c r="C27" s="14">
        <v>0</v>
      </c>
      <c r="D27" s="14">
        <v>0.20599999999999999</v>
      </c>
      <c r="E27" s="14">
        <v>6.2E-2</v>
      </c>
      <c r="F27" s="15">
        <v>0</v>
      </c>
    </row>
    <row r="28" spans="1:6" x14ac:dyDescent="0.45">
      <c r="A28" s="13" t="s">
        <v>15</v>
      </c>
      <c r="B28" s="14">
        <v>0.13600000000000001</v>
      </c>
      <c r="C28" s="14">
        <v>0.09</v>
      </c>
      <c r="D28" s="14">
        <v>0.129</v>
      </c>
      <c r="E28" s="14">
        <v>0.17100000000000001</v>
      </c>
      <c r="F28" s="15">
        <v>0</v>
      </c>
    </row>
    <row r="29" spans="1:6" x14ac:dyDescent="0.45">
      <c r="A29" s="13" t="s">
        <v>16</v>
      </c>
      <c r="B29" s="14">
        <v>0</v>
      </c>
      <c r="C29" s="14">
        <v>0.151</v>
      </c>
      <c r="D29" s="14">
        <v>0</v>
      </c>
      <c r="E29" s="14">
        <v>0.312</v>
      </c>
      <c r="F29" s="15">
        <v>0</v>
      </c>
    </row>
    <row r="30" spans="1:6" x14ac:dyDescent="0.45">
      <c r="A30" s="13" t="s">
        <v>17</v>
      </c>
      <c r="B30" s="14">
        <v>0</v>
      </c>
      <c r="C30" s="14">
        <v>0.19900000000000001</v>
      </c>
      <c r="D30" s="14">
        <v>0</v>
      </c>
      <c r="E30" s="14">
        <v>0.44600000000000001</v>
      </c>
      <c r="F30" s="15">
        <v>0</v>
      </c>
    </row>
    <row r="31" spans="1:6" x14ac:dyDescent="0.45">
      <c r="A31" s="13" t="s">
        <v>18</v>
      </c>
      <c r="B31" s="14">
        <v>0</v>
      </c>
      <c r="C31" s="14">
        <v>0.193</v>
      </c>
      <c r="D31" s="14">
        <v>0</v>
      </c>
      <c r="E31" s="14">
        <v>0.432</v>
      </c>
      <c r="F31" s="15">
        <v>0</v>
      </c>
    </row>
    <row r="32" spans="1:6" x14ac:dyDescent="0.45">
      <c r="A32" s="13" t="s">
        <v>19</v>
      </c>
      <c r="B32" s="14">
        <v>0.188</v>
      </c>
      <c r="C32" s="14">
        <v>0.14599999999999999</v>
      </c>
      <c r="D32" s="14">
        <v>0.107</v>
      </c>
      <c r="E32" s="14">
        <v>0.32500000000000001</v>
      </c>
      <c r="F32" s="15">
        <v>0</v>
      </c>
    </row>
    <row r="33" spans="1:6" x14ac:dyDescent="0.45">
      <c r="F33" s="4" t="s">
        <v>108</v>
      </c>
    </row>
    <row r="35" spans="1:6" x14ac:dyDescent="0.45">
      <c r="A35" s="4" t="s">
        <v>109</v>
      </c>
    </row>
    <row r="36" spans="1:6" x14ac:dyDescent="0.45">
      <c r="A36" s="4" t="s">
        <v>110</v>
      </c>
    </row>
  </sheetData>
  <sheetProtection algorithmName="SHA-512" hashValue="cWyGkOZFxECwgqFmojS9wCbPEBxTdF6Wo+RpGwrRiPnpYr3Ckd5j1NNTzTqwo4nb/pyyjTareFb6HlVbOiViEA==" saltValue="vl1Z+BCv0744LgsgbK3ceg==" spinCount="100000" sheet="1" objects="1" scenarios="1" formatCells="0" formatColumns="0" formatRows="0"/>
  <mergeCells count="2">
    <mergeCell ref="A16:B16"/>
    <mergeCell ref="A17:B17"/>
  </mergeCells>
  <phoneticPr fontId="5"/>
  <conditionalFormatting sqref="B4:B15">
    <cfRule type="cellIs" dxfId="1" priority="1" operator="equal">
      <formula>"暖房"</formula>
    </cfRule>
    <cfRule type="cellIs" dxfId="0" priority="2" operator="equal">
      <formula>"冷房"</formula>
    </cfRule>
  </conditionalFormatting>
  <dataValidations count="3">
    <dataValidation type="decimal" allowBlank="1" showInputMessage="1" showErrorMessage="1" sqref="F21:F32" xr:uid="{00000000-0002-0000-1000-000000000000}">
      <formula1>0</formula1>
      <formula2>1</formula2>
    </dataValidation>
    <dataValidation type="list" allowBlank="1" showInputMessage="1" showErrorMessage="1" sqref="B2" xr:uid="{00000000-0002-0000-1000-000001000000}">
      <formula1>"事務所,店舗,標準外"</formula1>
    </dataValidation>
    <dataValidation type="list" allowBlank="1" showInputMessage="1" showErrorMessage="1" sqref="B4:B15" xr:uid="{00000000-0002-0000-1000-000002000000}">
      <formula1>"冷房,暖房"</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22"/>
  <sheetViews>
    <sheetView workbookViewId="0">
      <selection activeCell="B30" sqref="B30"/>
    </sheetView>
  </sheetViews>
  <sheetFormatPr defaultRowHeight="18" x14ac:dyDescent="0.45"/>
  <cols>
    <col min="2" max="2" width="11.59765625" customWidth="1"/>
  </cols>
  <sheetData>
    <row r="1" spans="1:6" x14ac:dyDescent="0.45">
      <c r="B1" t="s">
        <v>592</v>
      </c>
      <c r="C1" t="s">
        <v>391</v>
      </c>
      <c r="D1" t="s">
        <v>593</v>
      </c>
      <c r="E1" t="s">
        <v>392</v>
      </c>
      <c r="F1" t="s">
        <v>396</v>
      </c>
    </row>
    <row r="2" spans="1:6" x14ac:dyDescent="0.45">
      <c r="A2" t="s">
        <v>389</v>
      </c>
      <c r="B2" s="325">
        <v>0.75</v>
      </c>
      <c r="C2" s="181">
        <v>0.72099999999999997</v>
      </c>
      <c r="D2" s="181">
        <v>0.72099999999999997</v>
      </c>
      <c r="E2" s="181">
        <v>0.7</v>
      </c>
      <c r="F2" s="181"/>
    </row>
    <row r="3" spans="1:6" x14ac:dyDescent="0.45">
      <c r="A3" t="s">
        <v>389</v>
      </c>
      <c r="B3" s="326">
        <v>1.1000000000000001</v>
      </c>
      <c r="C3" s="181">
        <v>0.75</v>
      </c>
      <c r="D3" s="181">
        <v>0.75</v>
      </c>
      <c r="E3" s="181">
        <v>0.72900000000000009</v>
      </c>
      <c r="F3" s="181"/>
    </row>
    <row r="4" spans="1:6" x14ac:dyDescent="0.45">
      <c r="A4" t="s">
        <v>389</v>
      </c>
      <c r="B4" s="326">
        <v>1.5</v>
      </c>
      <c r="C4" s="181">
        <v>0.77200000000000002</v>
      </c>
      <c r="D4" s="181">
        <v>0.77200000000000002</v>
      </c>
      <c r="E4" s="181">
        <v>0.752</v>
      </c>
      <c r="F4" s="181"/>
    </row>
    <row r="5" spans="1:6" x14ac:dyDescent="0.45">
      <c r="A5" t="s">
        <v>389</v>
      </c>
      <c r="B5" s="326">
        <v>2.2000000000000002</v>
      </c>
      <c r="C5" s="181">
        <v>0.79700000000000004</v>
      </c>
      <c r="D5" s="181">
        <v>0.79700000000000004</v>
      </c>
      <c r="E5" s="181">
        <v>0.77700000000000002</v>
      </c>
      <c r="F5" s="181"/>
    </row>
    <row r="6" spans="1:6" x14ac:dyDescent="0.45">
      <c r="A6" t="s">
        <v>389</v>
      </c>
      <c r="B6" s="326">
        <v>3</v>
      </c>
      <c r="C6" s="181">
        <v>0.81499999999999995</v>
      </c>
      <c r="D6" s="181">
        <v>0.81499999999999995</v>
      </c>
      <c r="E6" s="181">
        <v>0.79700000000000004</v>
      </c>
      <c r="F6" s="181"/>
    </row>
    <row r="7" spans="1:6" x14ac:dyDescent="0.45">
      <c r="A7" t="s">
        <v>389</v>
      </c>
      <c r="B7" s="326">
        <v>3.7</v>
      </c>
      <c r="C7" s="181">
        <v>0.82700000000000007</v>
      </c>
      <c r="D7" s="181">
        <v>0.82700000000000007</v>
      </c>
      <c r="E7" s="181">
        <v>0.80900000000000005</v>
      </c>
      <c r="F7" s="181"/>
    </row>
    <row r="8" spans="1:6" x14ac:dyDescent="0.45">
      <c r="A8" t="s">
        <v>389</v>
      </c>
      <c r="B8" s="326">
        <v>4</v>
      </c>
      <c r="C8" s="181">
        <v>0.83099999999999996</v>
      </c>
      <c r="D8" s="181">
        <v>0.83099999999999996</v>
      </c>
      <c r="E8" s="181">
        <v>0.81400000000000006</v>
      </c>
      <c r="F8" s="181"/>
    </row>
    <row r="9" spans="1:6" x14ac:dyDescent="0.45">
      <c r="A9" t="s">
        <v>389</v>
      </c>
      <c r="B9" s="326">
        <v>5.5</v>
      </c>
      <c r="C9" s="181">
        <v>0.84699999999999998</v>
      </c>
      <c r="D9" s="181">
        <v>0.84699999999999998</v>
      </c>
      <c r="E9" s="181">
        <v>0.83099999999999996</v>
      </c>
      <c r="F9" s="181"/>
    </row>
    <row r="10" spans="1:6" x14ac:dyDescent="0.45">
      <c r="A10" t="s">
        <v>389</v>
      </c>
      <c r="B10" s="326">
        <v>7.5</v>
      </c>
      <c r="C10" s="181">
        <v>0.86</v>
      </c>
      <c r="D10" s="181">
        <v>0.86</v>
      </c>
      <c r="E10" s="181">
        <v>0.84699999999999998</v>
      </c>
      <c r="F10" s="181"/>
    </row>
    <row r="11" spans="1:6" x14ac:dyDescent="0.45">
      <c r="A11" t="s">
        <v>389</v>
      </c>
      <c r="B11" s="327">
        <v>11</v>
      </c>
      <c r="C11" s="181">
        <v>0.87599999999999989</v>
      </c>
      <c r="D11" s="181">
        <v>0.87599999999999989</v>
      </c>
      <c r="E11" s="181">
        <v>0.8640000000000001</v>
      </c>
      <c r="F11" s="181"/>
    </row>
    <row r="12" spans="1:6" x14ac:dyDescent="0.45">
      <c r="A12" t="s">
        <v>389</v>
      </c>
      <c r="B12" s="327">
        <v>15</v>
      </c>
      <c r="C12" s="181">
        <v>0.88700000000000001</v>
      </c>
      <c r="D12" s="181">
        <v>0.88700000000000001</v>
      </c>
      <c r="E12" s="181">
        <v>0.877</v>
      </c>
      <c r="F12" s="181"/>
    </row>
    <row r="13" spans="1:6" x14ac:dyDescent="0.45">
      <c r="A13" t="s">
        <v>389</v>
      </c>
      <c r="B13" s="327">
        <v>18.5</v>
      </c>
      <c r="C13" s="181">
        <v>0.89300000000000002</v>
      </c>
      <c r="D13" s="181">
        <v>0.89300000000000002</v>
      </c>
      <c r="E13" s="181">
        <v>0.8859999999999999</v>
      </c>
      <c r="F13" s="181"/>
    </row>
    <row r="14" spans="1:6" x14ac:dyDescent="0.45">
      <c r="A14" t="s">
        <v>389</v>
      </c>
      <c r="B14" s="327">
        <v>22</v>
      </c>
      <c r="C14" s="181">
        <v>0.89900000000000002</v>
      </c>
      <c r="D14" s="181">
        <v>0.89900000000000002</v>
      </c>
      <c r="E14" s="181">
        <v>0.89200000000000002</v>
      </c>
      <c r="F14" s="181"/>
    </row>
    <row r="15" spans="1:6" x14ac:dyDescent="0.45">
      <c r="A15" t="s">
        <v>389</v>
      </c>
      <c r="B15" s="327">
        <v>30</v>
      </c>
      <c r="C15" s="181">
        <v>0.90700000000000003</v>
      </c>
      <c r="D15" s="181">
        <v>0.90700000000000003</v>
      </c>
      <c r="E15" s="181">
        <v>0.90200000000000002</v>
      </c>
      <c r="F15" s="181"/>
    </row>
    <row r="16" spans="1:6" x14ac:dyDescent="0.45">
      <c r="A16" t="s">
        <v>389</v>
      </c>
      <c r="B16" s="327">
        <v>37</v>
      </c>
      <c r="C16" s="181">
        <v>0.91200000000000003</v>
      </c>
      <c r="D16" s="181">
        <v>0.91200000000000003</v>
      </c>
      <c r="E16" s="181">
        <v>0.90799999999999992</v>
      </c>
      <c r="F16" s="181"/>
    </row>
    <row r="17" spans="1:6" x14ac:dyDescent="0.45">
      <c r="A17" t="s">
        <v>389</v>
      </c>
      <c r="B17" s="327">
        <v>45</v>
      </c>
      <c r="C17" s="181">
        <v>0.91700000000000004</v>
      </c>
      <c r="D17" s="181">
        <v>0.91700000000000004</v>
      </c>
      <c r="E17" s="181">
        <v>0.91400000000000003</v>
      </c>
      <c r="F17" s="181"/>
    </row>
    <row r="18" spans="1:6" x14ac:dyDescent="0.45">
      <c r="A18" t="s">
        <v>389</v>
      </c>
      <c r="B18" s="327">
        <v>55</v>
      </c>
      <c r="C18" s="181">
        <v>0.92099999999999993</v>
      </c>
      <c r="D18" s="181">
        <v>0.92099999999999993</v>
      </c>
      <c r="E18" s="181">
        <v>0.91900000000000004</v>
      </c>
      <c r="F18" s="181"/>
    </row>
    <row r="19" spans="1:6" x14ac:dyDescent="0.45">
      <c r="A19" t="s">
        <v>389</v>
      </c>
      <c r="B19" s="327">
        <v>75</v>
      </c>
      <c r="C19" s="181">
        <v>0.92700000000000005</v>
      </c>
      <c r="D19" s="181">
        <v>0.92700000000000005</v>
      </c>
      <c r="E19" s="181">
        <v>0.92599999999999993</v>
      </c>
      <c r="F19" s="181"/>
    </row>
    <row r="20" spans="1:6" x14ac:dyDescent="0.45">
      <c r="A20" t="s">
        <v>389</v>
      </c>
      <c r="B20" s="327">
        <v>90</v>
      </c>
      <c r="C20" s="181">
        <v>0.93</v>
      </c>
      <c r="D20" s="181">
        <v>0.93</v>
      </c>
      <c r="E20" s="181">
        <v>0.92900000000000005</v>
      </c>
      <c r="F20" s="181"/>
    </row>
    <row r="21" spans="1:6" x14ac:dyDescent="0.45">
      <c r="A21" t="s">
        <v>389</v>
      </c>
      <c r="B21" s="327">
        <v>110</v>
      </c>
      <c r="C21" s="181">
        <v>0.93299999999999994</v>
      </c>
      <c r="D21" s="181">
        <v>0.93299999999999994</v>
      </c>
      <c r="E21" s="181">
        <v>0.93299999999999994</v>
      </c>
      <c r="F21" s="181"/>
    </row>
    <row r="22" spans="1:6" x14ac:dyDescent="0.45">
      <c r="A22" t="s">
        <v>389</v>
      </c>
      <c r="B22" s="327">
        <v>132</v>
      </c>
      <c r="C22" s="181">
        <v>0.93500000000000005</v>
      </c>
      <c r="D22" s="181">
        <v>0.93500000000000005</v>
      </c>
      <c r="E22" s="181">
        <v>0.93500000000000005</v>
      </c>
      <c r="F22" s="181"/>
    </row>
    <row r="23" spans="1:6" x14ac:dyDescent="0.45">
      <c r="A23" t="s">
        <v>389</v>
      </c>
      <c r="B23" s="327">
        <v>160</v>
      </c>
      <c r="C23" s="181">
        <v>0.93799999999999994</v>
      </c>
      <c r="D23" s="181">
        <v>0.93799999999999994</v>
      </c>
      <c r="E23" s="181">
        <v>0.93799999999999994</v>
      </c>
      <c r="F23" s="181"/>
    </row>
    <row r="24" spans="1:6" x14ac:dyDescent="0.45">
      <c r="A24" t="s">
        <v>388</v>
      </c>
      <c r="B24" s="327">
        <v>185</v>
      </c>
      <c r="C24" s="181">
        <v>0.94</v>
      </c>
      <c r="D24" s="181">
        <v>0.94</v>
      </c>
      <c r="E24" s="181">
        <v>0.94</v>
      </c>
      <c r="F24" s="181"/>
    </row>
    <row r="25" spans="1:6" x14ac:dyDescent="0.45">
      <c r="A25" t="s">
        <v>388</v>
      </c>
      <c r="B25" s="327">
        <v>200</v>
      </c>
      <c r="C25" s="181">
        <v>0.94</v>
      </c>
      <c r="D25" s="181">
        <v>0.94</v>
      </c>
      <c r="E25" s="181">
        <v>0.94</v>
      </c>
      <c r="F25" s="181"/>
    </row>
    <row r="26" spans="1:6" x14ac:dyDescent="0.45">
      <c r="A26" t="s">
        <v>388</v>
      </c>
      <c r="B26" s="327">
        <v>220</v>
      </c>
      <c r="C26" s="181">
        <v>0.94</v>
      </c>
      <c r="D26" s="181">
        <v>0.94</v>
      </c>
      <c r="E26" s="181">
        <v>0.94</v>
      </c>
      <c r="F26" s="181"/>
    </row>
    <row r="27" spans="1:6" x14ac:dyDescent="0.45">
      <c r="A27" t="s">
        <v>388</v>
      </c>
      <c r="B27" s="327">
        <v>250</v>
      </c>
      <c r="C27" s="181">
        <v>0.94</v>
      </c>
      <c r="D27" s="181">
        <v>0.94</v>
      </c>
      <c r="E27" s="181">
        <v>0.94</v>
      </c>
      <c r="F27" s="181"/>
    </row>
    <row r="28" spans="1:6" x14ac:dyDescent="0.45">
      <c r="A28" t="s">
        <v>388</v>
      </c>
      <c r="B28" s="327">
        <v>280</v>
      </c>
      <c r="C28" s="181">
        <v>0.94</v>
      </c>
      <c r="D28" s="181">
        <v>0.94</v>
      </c>
      <c r="E28" s="181">
        <v>0.94</v>
      </c>
      <c r="F28" s="181"/>
    </row>
    <row r="29" spans="1:6" x14ac:dyDescent="0.45">
      <c r="A29" t="s">
        <v>388</v>
      </c>
      <c r="B29" s="327">
        <v>300</v>
      </c>
      <c r="C29" s="181">
        <v>0.94</v>
      </c>
      <c r="D29" s="181">
        <v>0.94</v>
      </c>
      <c r="E29" s="181">
        <v>0.94</v>
      </c>
      <c r="F29" s="181"/>
    </row>
    <row r="30" spans="1:6" x14ac:dyDescent="0.45">
      <c r="A30" t="s">
        <v>388</v>
      </c>
      <c r="B30" s="327">
        <v>315</v>
      </c>
      <c r="C30" s="181">
        <v>0.94</v>
      </c>
      <c r="D30" s="181">
        <v>0.94</v>
      </c>
      <c r="E30" s="181">
        <v>0.94</v>
      </c>
      <c r="F30" s="181"/>
    </row>
    <row r="31" spans="1:6" x14ac:dyDescent="0.45">
      <c r="A31" t="s">
        <v>389</v>
      </c>
      <c r="B31" s="327">
        <v>355</v>
      </c>
      <c r="C31" s="181">
        <v>0.94</v>
      </c>
      <c r="D31" s="181">
        <v>0.94</v>
      </c>
      <c r="E31" s="181">
        <v>0.94</v>
      </c>
      <c r="F31" s="181"/>
    </row>
    <row r="32" spans="1:6" x14ac:dyDescent="0.45">
      <c r="A32" t="s">
        <v>389</v>
      </c>
      <c r="B32" s="327">
        <v>375</v>
      </c>
      <c r="C32" s="181">
        <v>0.94</v>
      </c>
      <c r="D32" s="181">
        <v>0.94</v>
      </c>
      <c r="E32" s="181">
        <v>0.94</v>
      </c>
      <c r="F32" s="181"/>
    </row>
    <row r="33" spans="1:6" x14ac:dyDescent="0.45">
      <c r="A33" t="s">
        <v>393</v>
      </c>
      <c r="B33" s="325">
        <v>0.75</v>
      </c>
      <c r="C33" s="181">
        <v>0.77400000000000002</v>
      </c>
      <c r="D33" s="181">
        <v>0.79599999999999993</v>
      </c>
      <c r="E33" s="181">
        <v>0.75900000000000001</v>
      </c>
      <c r="F33" s="181"/>
    </row>
    <row r="34" spans="1:6" x14ac:dyDescent="0.45">
      <c r="A34" t="s">
        <v>393</v>
      </c>
      <c r="B34" s="326">
        <v>1.1000000000000001</v>
      </c>
      <c r="C34" s="181">
        <v>0.79599999999999993</v>
      </c>
      <c r="D34" s="181">
        <v>0.81400000000000006</v>
      </c>
      <c r="E34" s="181">
        <v>0.78099999999999992</v>
      </c>
      <c r="F34" s="181"/>
    </row>
    <row r="35" spans="1:6" x14ac:dyDescent="0.45">
      <c r="A35" t="s">
        <v>393</v>
      </c>
      <c r="B35" s="326">
        <v>1.5</v>
      </c>
      <c r="C35" s="181">
        <v>0.81299999999999994</v>
      </c>
      <c r="D35" s="181">
        <v>0.82799999999999996</v>
      </c>
      <c r="E35" s="181">
        <v>0.79799999999999993</v>
      </c>
      <c r="F35" s="181"/>
    </row>
    <row r="36" spans="1:6" x14ac:dyDescent="0.45">
      <c r="A36" t="s">
        <v>393</v>
      </c>
      <c r="B36" s="326">
        <v>2.2000000000000002</v>
      </c>
      <c r="C36" s="181">
        <v>0.83200000000000007</v>
      </c>
      <c r="D36" s="181">
        <v>0.84299999999999997</v>
      </c>
      <c r="E36" s="181">
        <v>0.81799999999999995</v>
      </c>
      <c r="F36" s="181"/>
    </row>
    <row r="37" spans="1:6" x14ac:dyDescent="0.45">
      <c r="A37" t="s">
        <v>393</v>
      </c>
      <c r="B37" s="326">
        <v>3</v>
      </c>
      <c r="C37" s="181">
        <v>0.84599999999999997</v>
      </c>
      <c r="D37" s="181">
        <v>0.85499999999999998</v>
      </c>
      <c r="E37" s="181">
        <v>0.83299999999999996</v>
      </c>
      <c r="F37" s="181"/>
    </row>
    <row r="38" spans="1:6" x14ac:dyDescent="0.45">
      <c r="A38" t="s">
        <v>393</v>
      </c>
      <c r="B38" s="326">
        <v>3.7</v>
      </c>
      <c r="C38" s="181">
        <v>0.85499999999999998</v>
      </c>
      <c r="D38" s="181">
        <v>0.86299999999999999</v>
      </c>
      <c r="E38" s="181">
        <v>0.84299999999999997</v>
      </c>
      <c r="F38" s="181"/>
    </row>
    <row r="39" spans="1:6" x14ac:dyDescent="0.45">
      <c r="A39" t="s">
        <v>393</v>
      </c>
      <c r="B39" s="326">
        <v>4</v>
      </c>
      <c r="C39" s="181">
        <v>0.85799999999999998</v>
      </c>
      <c r="D39" s="181">
        <v>0.86599999999999999</v>
      </c>
      <c r="E39" s="181">
        <v>0.84599999999999997</v>
      </c>
      <c r="F39" s="181"/>
    </row>
    <row r="40" spans="1:6" x14ac:dyDescent="0.45">
      <c r="A40" t="s">
        <v>393</v>
      </c>
      <c r="B40" s="326">
        <v>5.5</v>
      </c>
      <c r="C40" s="181">
        <v>0.87</v>
      </c>
      <c r="D40" s="181">
        <v>0.877</v>
      </c>
      <c r="E40" s="181">
        <v>0.86</v>
      </c>
      <c r="F40" s="181"/>
    </row>
    <row r="41" spans="1:6" x14ac:dyDescent="0.45">
      <c r="A41" t="s">
        <v>393</v>
      </c>
      <c r="B41" s="326">
        <v>7.5</v>
      </c>
      <c r="C41" s="181">
        <v>0.88099999999999989</v>
      </c>
      <c r="D41" s="181">
        <v>0.88700000000000001</v>
      </c>
      <c r="E41" s="181">
        <v>0.872</v>
      </c>
      <c r="F41" s="181"/>
    </row>
    <row r="42" spans="1:6" x14ac:dyDescent="0.45">
      <c r="A42" t="s">
        <v>393</v>
      </c>
      <c r="B42" s="327">
        <v>11</v>
      </c>
      <c r="C42" s="181">
        <v>0.89400000000000002</v>
      </c>
      <c r="D42" s="181">
        <v>0.89800000000000002</v>
      </c>
      <c r="E42" s="181">
        <v>0.88700000000000001</v>
      </c>
      <c r="F42" s="181"/>
    </row>
    <row r="43" spans="1:6" x14ac:dyDescent="0.45">
      <c r="A43" t="s">
        <v>393</v>
      </c>
      <c r="B43" s="327">
        <v>15</v>
      </c>
      <c r="C43" s="181">
        <v>0.90300000000000002</v>
      </c>
      <c r="D43" s="181">
        <v>0.90599999999999992</v>
      </c>
      <c r="E43" s="181">
        <v>0.89700000000000002</v>
      </c>
      <c r="F43" s="181"/>
    </row>
    <row r="44" spans="1:6" x14ac:dyDescent="0.45">
      <c r="A44" t="s">
        <v>393</v>
      </c>
      <c r="B44" s="327">
        <v>18.5</v>
      </c>
      <c r="C44" s="181">
        <v>0.90900000000000003</v>
      </c>
      <c r="D44" s="181">
        <v>0.91200000000000003</v>
      </c>
      <c r="E44" s="181">
        <v>0.90400000000000003</v>
      </c>
      <c r="F44" s="181"/>
    </row>
    <row r="45" spans="1:6" x14ac:dyDescent="0.45">
      <c r="A45" t="s">
        <v>393</v>
      </c>
      <c r="B45" s="327">
        <v>22</v>
      </c>
      <c r="C45" s="181">
        <v>0.91299999999999992</v>
      </c>
      <c r="D45" s="181">
        <v>0.91599999999999993</v>
      </c>
      <c r="E45" s="181">
        <v>0.90900000000000003</v>
      </c>
      <c r="F45" s="181"/>
    </row>
    <row r="46" spans="1:6" x14ac:dyDescent="0.45">
      <c r="A46" t="s">
        <v>393</v>
      </c>
      <c r="B46" s="327">
        <v>30</v>
      </c>
      <c r="C46" s="181">
        <v>0.92</v>
      </c>
      <c r="D46" s="181">
        <v>0.92299999999999993</v>
      </c>
      <c r="E46" s="181">
        <v>0.91700000000000004</v>
      </c>
      <c r="F46" s="181"/>
    </row>
    <row r="47" spans="1:6" x14ac:dyDescent="0.45">
      <c r="A47" t="s">
        <v>393</v>
      </c>
      <c r="B47" s="327">
        <v>37</v>
      </c>
      <c r="C47" s="181">
        <v>0.92500000000000004</v>
      </c>
      <c r="D47" s="181">
        <v>0.92700000000000005</v>
      </c>
      <c r="E47" s="181">
        <v>0.92200000000000004</v>
      </c>
      <c r="F47" s="181"/>
    </row>
    <row r="48" spans="1:6" x14ac:dyDescent="0.45">
      <c r="A48" t="s">
        <v>393</v>
      </c>
      <c r="B48" s="327">
        <v>45</v>
      </c>
      <c r="C48" s="181">
        <v>0.92900000000000005</v>
      </c>
      <c r="D48" s="181">
        <v>0.93099999999999994</v>
      </c>
      <c r="E48" s="181">
        <v>0.92700000000000005</v>
      </c>
      <c r="F48" s="181"/>
    </row>
    <row r="49" spans="1:6" x14ac:dyDescent="0.45">
      <c r="A49" t="s">
        <v>393</v>
      </c>
      <c r="B49" s="327">
        <v>55</v>
      </c>
      <c r="C49" s="181">
        <v>0.93200000000000005</v>
      </c>
      <c r="D49" s="181">
        <v>0.93500000000000005</v>
      </c>
      <c r="E49" s="181">
        <v>0.93099999999999994</v>
      </c>
      <c r="F49" s="181"/>
    </row>
    <row r="50" spans="1:6" x14ac:dyDescent="0.45">
      <c r="A50" t="s">
        <v>393</v>
      </c>
      <c r="B50" s="327">
        <v>75</v>
      </c>
      <c r="C50" s="181">
        <v>0.93799999999999994</v>
      </c>
      <c r="D50" s="181">
        <v>0.94</v>
      </c>
      <c r="E50" s="181">
        <v>0.93700000000000006</v>
      </c>
      <c r="F50" s="181"/>
    </row>
    <row r="51" spans="1:6" x14ac:dyDescent="0.45">
      <c r="A51" t="s">
        <v>393</v>
      </c>
      <c r="B51" s="327">
        <v>90</v>
      </c>
      <c r="C51" s="181">
        <v>0.94099999999999995</v>
      </c>
      <c r="D51" s="181">
        <v>0.94200000000000006</v>
      </c>
      <c r="E51" s="181">
        <v>0.94</v>
      </c>
      <c r="F51" s="181"/>
    </row>
    <row r="52" spans="1:6" x14ac:dyDescent="0.45">
      <c r="A52" t="s">
        <v>393</v>
      </c>
      <c r="B52" s="327">
        <v>110</v>
      </c>
      <c r="C52" s="181">
        <v>0.94299999999999995</v>
      </c>
      <c r="D52" s="181">
        <v>0.94499999999999995</v>
      </c>
      <c r="E52" s="181">
        <v>0.94299999999999995</v>
      </c>
      <c r="F52" s="181"/>
    </row>
    <row r="53" spans="1:6" x14ac:dyDescent="0.45">
      <c r="A53" t="s">
        <v>393</v>
      </c>
      <c r="B53" s="327">
        <v>132</v>
      </c>
      <c r="C53" s="181">
        <v>0.94599999999999995</v>
      </c>
      <c r="D53" s="181">
        <v>0.94700000000000006</v>
      </c>
      <c r="E53" s="181">
        <v>0.94599999999999995</v>
      </c>
      <c r="F53" s="181"/>
    </row>
    <row r="54" spans="1:6" x14ac:dyDescent="0.45">
      <c r="A54" t="s">
        <v>393</v>
      </c>
      <c r="B54" s="327">
        <v>160</v>
      </c>
      <c r="C54" s="181">
        <v>0.94799999999999995</v>
      </c>
      <c r="D54" s="181">
        <v>0.94900000000000007</v>
      </c>
      <c r="E54" s="181">
        <v>0.94799999999999995</v>
      </c>
      <c r="F54" s="181"/>
    </row>
    <row r="55" spans="1:6" x14ac:dyDescent="0.45">
      <c r="A55" t="s">
        <v>393</v>
      </c>
      <c r="B55" s="327">
        <v>185</v>
      </c>
      <c r="C55" s="181">
        <v>0.95</v>
      </c>
      <c r="D55" s="181">
        <v>0.95099999999999996</v>
      </c>
      <c r="E55" s="181">
        <v>0.95</v>
      </c>
      <c r="F55" s="181"/>
    </row>
    <row r="56" spans="1:6" x14ac:dyDescent="0.45">
      <c r="A56" t="s">
        <v>393</v>
      </c>
      <c r="B56" s="327">
        <v>200</v>
      </c>
      <c r="C56" s="181">
        <v>0.95</v>
      </c>
      <c r="D56" s="181">
        <v>0.95099999999999996</v>
      </c>
      <c r="E56" s="181">
        <v>0.95</v>
      </c>
      <c r="F56" s="181"/>
    </row>
    <row r="57" spans="1:6" x14ac:dyDescent="0.45">
      <c r="A57" t="s">
        <v>393</v>
      </c>
      <c r="B57" s="327">
        <v>220</v>
      </c>
      <c r="C57" s="181">
        <v>0.95</v>
      </c>
      <c r="D57" s="181">
        <v>0.95099999999999996</v>
      </c>
      <c r="E57" s="181">
        <v>0.95</v>
      </c>
      <c r="F57" s="181"/>
    </row>
    <row r="58" spans="1:6" x14ac:dyDescent="0.45">
      <c r="A58" t="s">
        <v>393</v>
      </c>
      <c r="B58" s="327">
        <v>250</v>
      </c>
      <c r="C58" s="181">
        <v>0.95</v>
      </c>
      <c r="D58" s="181">
        <v>0.95099999999999996</v>
      </c>
      <c r="E58" s="181">
        <v>0.95</v>
      </c>
      <c r="F58" s="181"/>
    </row>
    <row r="59" spans="1:6" x14ac:dyDescent="0.45">
      <c r="A59" t="s">
        <v>393</v>
      </c>
      <c r="B59" s="327">
        <v>280</v>
      </c>
      <c r="C59" s="181">
        <v>0.95</v>
      </c>
      <c r="D59" s="181">
        <v>0.95099999999999996</v>
      </c>
      <c r="E59" s="181">
        <v>0.95</v>
      </c>
      <c r="F59" s="181"/>
    </row>
    <row r="60" spans="1:6" x14ac:dyDescent="0.45">
      <c r="A60" t="s">
        <v>393</v>
      </c>
      <c r="B60" s="327">
        <v>300</v>
      </c>
      <c r="C60" s="181">
        <v>0.95</v>
      </c>
      <c r="D60" s="181">
        <v>0.95099999999999996</v>
      </c>
      <c r="E60" s="181">
        <v>0.95</v>
      </c>
      <c r="F60" s="181"/>
    </row>
    <row r="61" spans="1:6" x14ac:dyDescent="0.45">
      <c r="A61" t="s">
        <v>393</v>
      </c>
      <c r="B61" s="327">
        <v>315</v>
      </c>
      <c r="C61" s="181">
        <v>0.95</v>
      </c>
      <c r="D61" s="181">
        <v>0.95099999999999996</v>
      </c>
      <c r="E61" s="181">
        <v>0.95</v>
      </c>
      <c r="F61" s="181"/>
    </row>
    <row r="62" spans="1:6" x14ac:dyDescent="0.45">
      <c r="A62" t="s">
        <v>393</v>
      </c>
      <c r="B62" s="327">
        <v>355</v>
      </c>
      <c r="C62" s="181">
        <v>0.95</v>
      </c>
      <c r="D62" s="181">
        <v>0.95099999999999996</v>
      </c>
      <c r="E62" s="181">
        <v>0.95</v>
      </c>
      <c r="F62" s="181"/>
    </row>
    <row r="63" spans="1:6" x14ac:dyDescent="0.45">
      <c r="A63" t="s">
        <v>393</v>
      </c>
      <c r="B63" s="327">
        <v>375</v>
      </c>
      <c r="C63" s="181">
        <v>0.95</v>
      </c>
      <c r="D63" s="181">
        <v>0.95099999999999996</v>
      </c>
      <c r="E63" s="181">
        <v>0.95</v>
      </c>
      <c r="F63" s="181"/>
    </row>
    <row r="64" spans="1:6" x14ac:dyDescent="0.45">
      <c r="A64" t="s">
        <v>394</v>
      </c>
      <c r="B64" s="325">
        <v>0.75</v>
      </c>
      <c r="C64" s="181">
        <v>0.80700000000000005</v>
      </c>
      <c r="D64" s="181">
        <v>0.82499999999999996</v>
      </c>
      <c r="E64" s="181">
        <v>0.78900000000000003</v>
      </c>
      <c r="F64" s="181"/>
    </row>
    <row r="65" spans="1:6" x14ac:dyDescent="0.45">
      <c r="A65" t="s">
        <v>394</v>
      </c>
      <c r="B65" s="326">
        <v>1.1000000000000001</v>
      </c>
      <c r="C65" s="181">
        <v>0.82700000000000007</v>
      </c>
      <c r="D65" s="181">
        <v>0.84099999999999997</v>
      </c>
      <c r="E65" s="181">
        <v>0.81</v>
      </c>
      <c r="F65" s="181"/>
    </row>
    <row r="66" spans="1:6" x14ac:dyDescent="0.45">
      <c r="A66" t="s">
        <v>394</v>
      </c>
      <c r="B66" s="326">
        <v>1.5</v>
      </c>
      <c r="C66" s="181">
        <v>0.84200000000000008</v>
      </c>
      <c r="D66" s="181">
        <v>0.85299999999999998</v>
      </c>
      <c r="E66" s="181">
        <v>0.82499999999999996</v>
      </c>
      <c r="F66" s="181"/>
    </row>
    <row r="67" spans="1:6" x14ac:dyDescent="0.45">
      <c r="A67" t="s">
        <v>394</v>
      </c>
      <c r="B67" s="326">
        <v>2.2000000000000002</v>
      </c>
      <c r="C67" s="181">
        <v>0.8590000000000001</v>
      </c>
      <c r="D67" s="181">
        <v>0.86699999999999999</v>
      </c>
      <c r="E67" s="181">
        <v>0.84299999999999997</v>
      </c>
      <c r="F67" s="181"/>
    </row>
    <row r="68" spans="1:6" x14ac:dyDescent="0.45">
      <c r="A68" t="s">
        <v>394</v>
      </c>
      <c r="B68" s="326">
        <v>3</v>
      </c>
      <c r="C68" s="181">
        <v>0.871</v>
      </c>
      <c r="D68" s="181">
        <v>0.877</v>
      </c>
      <c r="E68" s="181">
        <v>0.85599999999999998</v>
      </c>
      <c r="F68" s="181"/>
    </row>
    <row r="69" spans="1:6" x14ac:dyDescent="0.45">
      <c r="A69" t="s">
        <v>394</v>
      </c>
      <c r="B69" s="326">
        <v>3.7</v>
      </c>
      <c r="C69" s="181">
        <v>0.878</v>
      </c>
      <c r="D69" s="181">
        <v>0.88400000000000001</v>
      </c>
      <c r="E69" s="181">
        <v>0.86499999999999999</v>
      </c>
      <c r="F69" s="181"/>
    </row>
    <row r="70" spans="1:6" x14ac:dyDescent="0.45">
      <c r="A70" t="s">
        <v>394</v>
      </c>
      <c r="B70" s="326">
        <v>4</v>
      </c>
      <c r="C70" s="181">
        <v>0.88099999999999989</v>
      </c>
      <c r="D70" s="181">
        <v>0.8859999999999999</v>
      </c>
      <c r="E70" s="181">
        <v>0.86799999999999999</v>
      </c>
      <c r="F70" s="181"/>
    </row>
    <row r="71" spans="1:6" x14ac:dyDescent="0.45">
      <c r="A71" t="s">
        <v>394</v>
      </c>
      <c r="B71" s="326">
        <v>5.5</v>
      </c>
      <c r="C71" s="181">
        <v>0.89200000000000002</v>
      </c>
      <c r="D71" s="181">
        <v>0.89599999999999991</v>
      </c>
      <c r="E71" s="181">
        <v>0.88</v>
      </c>
      <c r="F71" s="181"/>
    </row>
    <row r="72" spans="1:6" x14ac:dyDescent="0.45">
      <c r="A72" t="s">
        <v>394</v>
      </c>
      <c r="B72" s="326">
        <v>7.5</v>
      </c>
      <c r="C72" s="181">
        <v>0.90099999999999991</v>
      </c>
      <c r="D72" s="181">
        <v>0.90400000000000003</v>
      </c>
      <c r="E72" s="181">
        <v>0.8909999999999999</v>
      </c>
      <c r="F72" s="181"/>
    </row>
    <row r="73" spans="1:6" x14ac:dyDescent="0.45">
      <c r="A73" t="s">
        <v>394</v>
      </c>
      <c r="B73" s="327">
        <v>11</v>
      </c>
      <c r="C73" s="181">
        <v>0.91200000000000003</v>
      </c>
      <c r="D73" s="181">
        <v>0.91400000000000003</v>
      </c>
      <c r="E73" s="181">
        <v>0.90300000000000002</v>
      </c>
      <c r="F73" s="181"/>
    </row>
    <row r="74" spans="1:6" x14ac:dyDescent="0.45">
      <c r="A74" t="s">
        <v>394</v>
      </c>
      <c r="B74" s="327">
        <v>15</v>
      </c>
      <c r="C74" s="181">
        <v>0.91900000000000004</v>
      </c>
      <c r="D74" s="181">
        <v>0.92099999999999993</v>
      </c>
      <c r="E74" s="181">
        <v>0.91200000000000003</v>
      </c>
      <c r="F74" s="181"/>
    </row>
    <row r="75" spans="1:6" x14ac:dyDescent="0.45">
      <c r="A75" t="s">
        <v>394</v>
      </c>
      <c r="B75" s="327">
        <v>18.5</v>
      </c>
      <c r="C75" s="181">
        <v>0.92400000000000004</v>
      </c>
      <c r="D75" s="181">
        <v>0.92599999999999993</v>
      </c>
      <c r="E75" s="181">
        <v>0.91700000000000004</v>
      </c>
      <c r="F75" s="181"/>
    </row>
    <row r="76" spans="1:6" x14ac:dyDescent="0.45">
      <c r="A76" t="s">
        <v>394</v>
      </c>
      <c r="B76" s="327">
        <v>22</v>
      </c>
      <c r="C76" s="181">
        <v>0.92700000000000005</v>
      </c>
      <c r="D76" s="181">
        <v>0.93</v>
      </c>
      <c r="E76" s="181">
        <v>0.92200000000000004</v>
      </c>
      <c r="F76" s="181"/>
    </row>
    <row r="77" spans="1:6" x14ac:dyDescent="0.45">
      <c r="A77" t="s">
        <v>394</v>
      </c>
      <c r="B77" s="327">
        <v>30</v>
      </c>
      <c r="C77" s="181">
        <v>0.93299999999999994</v>
      </c>
      <c r="D77" s="181">
        <v>0.93599999999999994</v>
      </c>
      <c r="E77" s="181">
        <v>0.92900000000000005</v>
      </c>
      <c r="F77" s="181"/>
    </row>
    <row r="78" spans="1:6" x14ac:dyDescent="0.45">
      <c r="A78" t="s">
        <v>394</v>
      </c>
      <c r="B78" s="327">
        <v>37</v>
      </c>
      <c r="C78" s="181">
        <v>0.93700000000000006</v>
      </c>
      <c r="D78" s="181">
        <v>0.93900000000000006</v>
      </c>
      <c r="E78" s="181">
        <v>0.93299999999999994</v>
      </c>
      <c r="F78" s="181"/>
    </row>
    <row r="79" spans="1:6" x14ac:dyDescent="0.45">
      <c r="A79" t="s">
        <v>394</v>
      </c>
      <c r="B79" s="327">
        <v>45</v>
      </c>
      <c r="C79" s="181">
        <v>0.94</v>
      </c>
      <c r="D79" s="181">
        <v>0.94200000000000006</v>
      </c>
      <c r="E79" s="181">
        <v>0.93700000000000006</v>
      </c>
      <c r="F79" s="181"/>
    </row>
    <row r="80" spans="1:6" x14ac:dyDescent="0.45">
      <c r="A80" t="s">
        <v>394</v>
      </c>
      <c r="B80" s="327">
        <v>55</v>
      </c>
      <c r="C80" s="181">
        <v>0.94299999999999995</v>
      </c>
      <c r="D80" s="181">
        <v>0.94599999999999995</v>
      </c>
      <c r="E80" s="181">
        <v>0.94099999999999995</v>
      </c>
      <c r="F80" s="181"/>
    </row>
    <row r="81" spans="1:6" x14ac:dyDescent="0.45">
      <c r="A81" t="s">
        <v>394</v>
      </c>
      <c r="B81" s="327">
        <v>75</v>
      </c>
      <c r="C81" s="181">
        <v>0.94700000000000006</v>
      </c>
      <c r="D81" s="181">
        <v>0.95</v>
      </c>
      <c r="E81" s="181">
        <v>0.94599999999999995</v>
      </c>
      <c r="F81" s="181"/>
    </row>
    <row r="82" spans="1:6" x14ac:dyDescent="0.45">
      <c r="A82" t="s">
        <v>394</v>
      </c>
      <c r="B82" s="327">
        <v>90</v>
      </c>
      <c r="C82" s="181">
        <v>0.95</v>
      </c>
      <c r="D82" s="181">
        <v>0.95200000000000007</v>
      </c>
      <c r="E82" s="181">
        <v>0.94900000000000007</v>
      </c>
      <c r="F82" s="181"/>
    </row>
    <row r="83" spans="1:6" x14ac:dyDescent="0.45">
      <c r="A83" t="s">
        <v>394</v>
      </c>
      <c r="B83" s="327">
        <v>110</v>
      </c>
      <c r="C83" s="181">
        <v>0.95200000000000007</v>
      </c>
      <c r="D83" s="181">
        <v>0.95400000000000007</v>
      </c>
      <c r="E83" s="181">
        <v>0.95099999999999996</v>
      </c>
      <c r="F83" s="181"/>
    </row>
    <row r="84" spans="1:6" x14ac:dyDescent="0.45">
      <c r="A84" t="s">
        <v>394</v>
      </c>
      <c r="B84" s="327">
        <v>132</v>
      </c>
      <c r="C84" s="181">
        <v>0.95400000000000007</v>
      </c>
      <c r="D84" s="181">
        <v>0.95599999999999996</v>
      </c>
      <c r="E84" s="181">
        <v>0.95400000000000007</v>
      </c>
      <c r="F84" s="181"/>
    </row>
    <row r="85" spans="1:6" x14ac:dyDescent="0.45">
      <c r="A85" t="s">
        <v>394</v>
      </c>
      <c r="B85" s="327">
        <v>160</v>
      </c>
      <c r="C85" s="181">
        <v>0.95599999999999996</v>
      </c>
      <c r="D85" s="181">
        <v>0.95799999999999996</v>
      </c>
      <c r="E85" s="181">
        <v>0.95599999999999996</v>
      </c>
      <c r="F85" s="181"/>
    </row>
    <row r="86" spans="1:6" x14ac:dyDescent="0.45">
      <c r="A86" t="s">
        <v>394</v>
      </c>
      <c r="B86" s="327">
        <v>185</v>
      </c>
      <c r="C86" s="181">
        <v>0.95799999999999996</v>
      </c>
      <c r="D86" s="181">
        <v>0.96</v>
      </c>
      <c r="E86" s="181">
        <v>0.95799999999999996</v>
      </c>
      <c r="F86" s="181"/>
    </row>
    <row r="87" spans="1:6" x14ac:dyDescent="0.45">
      <c r="A87" t="s">
        <v>394</v>
      </c>
      <c r="B87" s="327">
        <v>200</v>
      </c>
      <c r="C87" s="181">
        <v>0.95799999999999996</v>
      </c>
      <c r="D87" s="181">
        <v>0.96</v>
      </c>
      <c r="E87" s="181">
        <v>0.95799999999999996</v>
      </c>
      <c r="F87" s="181"/>
    </row>
    <row r="88" spans="1:6" x14ac:dyDescent="0.45">
      <c r="A88" t="s">
        <v>394</v>
      </c>
      <c r="B88" s="327">
        <v>220</v>
      </c>
      <c r="C88" s="181">
        <v>0.95799999999999996</v>
      </c>
      <c r="D88" s="181">
        <v>0.96</v>
      </c>
      <c r="E88" s="181">
        <v>0.95799999999999996</v>
      </c>
      <c r="F88" s="181"/>
    </row>
    <row r="89" spans="1:6" x14ac:dyDescent="0.45">
      <c r="A89" t="s">
        <v>394</v>
      </c>
      <c r="B89" s="327">
        <v>250</v>
      </c>
      <c r="C89" s="181">
        <v>0.95799999999999996</v>
      </c>
      <c r="D89" s="181">
        <v>0.96</v>
      </c>
      <c r="E89" s="181">
        <v>0.95799999999999996</v>
      </c>
      <c r="F89" s="181"/>
    </row>
    <row r="90" spans="1:6" x14ac:dyDescent="0.45">
      <c r="A90" t="s">
        <v>394</v>
      </c>
      <c r="B90" s="327">
        <v>280</v>
      </c>
      <c r="C90" s="181">
        <v>0.95799999999999996</v>
      </c>
      <c r="D90" s="181">
        <v>0.96</v>
      </c>
      <c r="E90" s="181">
        <v>0.95799999999999996</v>
      </c>
      <c r="F90" s="181"/>
    </row>
    <row r="91" spans="1:6" x14ac:dyDescent="0.45">
      <c r="A91" t="s">
        <v>394</v>
      </c>
      <c r="B91" s="327">
        <v>300</v>
      </c>
      <c r="C91" s="181">
        <v>0.95799999999999996</v>
      </c>
      <c r="D91" s="181">
        <v>0.96</v>
      </c>
      <c r="E91" s="181">
        <v>0.95799999999999996</v>
      </c>
      <c r="F91" s="181"/>
    </row>
    <row r="92" spans="1:6" x14ac:dyDescent="0.45">
      <c r="A92" t="s">
        <v>394</v>
      </c>
      <c r="B92" s="327">
        <v>315</v>
      </c>
      <c r="C92" s="181">
        <v>0.95799999999999996</v>
      </c>
      <c r="D92" s="181">
        <v>0.96</v>
      </c>
      <c r="E92" s="181">
        <v>0.95799999999999996</v>
      </c>
      <c r="F92" s="181"/>
    </row>
    <row r="93" spans="1:6" x14ac:dyDescent="0.45">
      <c r="A93" t="s">
        <v>394</v>
      </c>
      <c r="B93" s="327">
        <v>355</v>
      </c>
      <c r="C93" s="181">
        <v>0.95799999999999996</v>
      </c>
      <c r="D93" s="181">
        <v>0.96</v>
      </c>
      <c r="E93" s="181">
        <v>0.95799999999999996</v>
      </c>
      <c r="F93" s="181"/>
    </row>
    <row r="94" spans="1:6" x14ac:dyDescent="0.45">
      <c r="A94" t="s">
        <v>394</v>
      </c>
      <c r="B94" s="327">
        <v>375</v>
      </c>
      <c r="C94" s="181">
        <v>0.95799999999999996</v>
      </c>
      <c r="D94" s="181">
        <v>0.96</v>
      </c>
      <c r="E94" s="181">
        <v>0.95799999999999996</v>
      </c>
      <c r="F94" s="181"/>
    </row>
    <row r="95" spans="1:6" x14ac:dyDescent="0.45">
      <c r="A95" t="s">
        <v>395</v>
      </c>
      <c r="B95" s="325">
        <v>0.75</v>
      </c>
      <c r="C95" s="181">
        <v>0.83499999999999996</v>
      </c>
      <c r="D95" s="181">
        <v>0.85699999999999998</v>
      </c>
      <c r="E95" s="181">
        <v>0.82700000000000007</v>
      </c>
      <c r="F95" s="181">
        <v>0.78400000000000003</v>
      </c>
    </row>
    <row r="96" spans="1:6" x14ac:dyDescent="0.45">
      <c r="A96" t="s">
        <v>395</v>
      </c>
      <c r="B96" s="326">
        <v>1.1000000000000001</v>
      </c>
      <c r="C96" s="181">
        <v>0.85199999999999998</v>
      </c>
      <c r="D96" s="181">
        <v>0.872</v>
      </c>
      <c r="E96" s="181">
        <v>0.84499999999999997</v>
      </c>
      <c r="F96" s="181">
        <v>0.80799999999999994</v>
      </c>
    </row>
    <row r="97" spans="1:6" x14ac:dyDescent="0.45">
      <c r="A97" t="s">
        <v>395</v>
      </c>
      <c r="B97" s="326">
        <v>1.5</v>
      </c>
      <c r="C97" s="181">
        <v>0.86499999999999999</v>
      </c>
      <c r="D97" s="181">
        <v>0.88200000000000001</v>
      </c>
      <c r="E97" s="181">
        <v>0.8590000000000001</v>
      </c>
      <c r="F97" s="181">
        <v>0.82599999999999996</v>
      </c>
    </row>
    <row r="98" spans="1:6" x14ac:dyDescent="0.45">
      <c r="A98" t="s">
        <v>395</v>
      </c>
      <c r="B98" s="326">
        <v>2.2000000000000002</v>
      </c>
      <c r="C98" s="181">
        <v>0.88</v>
      </c>
      <c r="D98" s="181">
        <v>0.89500000000000002</v>
      </c>
      <c r="E98" s="181">
        <v>0.87400000000000011</v>
      </c>
      <c r="F98" s="181">
        <v>0.84499999999999997</v>
      </c>
    </row>
    <row r="99" spans="1:6" x14ac:dyDescent="0.45">
      <c r="A99" t="s">
        <v>395</v>
      </c>
      <c r="B99" s="326">
        <v>3</v>
      </c>
      <c r="C99" s="181">
        <v>0.8909999999999999</v>
      </c>
      <c r="D99" s="181">
        <v>0.90400000000000003</v>
      </c>
      <c r="E99" s="181">
        <v>0.8859999999999999</v>
      </c>
      <c r="F99" s="181">
        <v>0.8590000000000001</v>
      </c>
    </row>
    <row r="100" spans="1:6" x14ac:dyDescent="0.45">
      <c r="A100" t="s">
        <v>395</v>
      </c>
      <c r="B100" s="326">
        <v>3.7</v>
      </c>
      <c r="C100" s="181">
        <v>0.89700000000000002</v>
      </c>
      <c r="D100" s="181">
        <v>0.90900000000000003</v>
      </c>
      <c r="E100" s="181">
        <v>0.89300000000000002</v>
      </c>
      <c r="F100" s="181">
        <v>0.86799999999999999</v>
      </c>
    </row>
    <row r="101" spans="1:6" x14ac:dyDescent="0.45">
      <c r="A101" t="s">
        <v>395</v>
      </c>
      <c r="B101" s="326">
        <v>4</v>
      </c>
      <c r="C101" s="181">
        <v>0.9</v>
      </c>
      <c r="D101" s="181">
        <v>0.91099999999999992</v>
      </c>
      <c r="E101" s="181">
        <v>0.89500000000000002</v>
      </c>
      <c r="F101" s="181">
        <v>0.871</v>
      </c>
    </row>
    <row r="102" spans="1:6" x14ac:dyDescent="0.45">
      <c r="A102" t="s">
        <v>395</v>
      </c>
      <c r="B102" s="326">
        <v>5.5</v>
      </c>
      <c r="C102" s="181">
        <v>0.90900000000000003</v>
      </c>
      <c r="D102" s="181">
        <v>0.91900000000000004</v>
      </c>
      <c r="E102" s="181">
        <v>0.90500000000000003</v>
      </c>
      <c r="F102" s="181">
        <v>0.88300000000000001</v>
      </c>
    </row>
    <row r="103" spans="1:6" x14ac:dyDescent="0.45">
      <c r="A103" t="s">
        <v>395</v>
      </c>
      <c r="B103" s="326">
        <v>7.5</v>
      </c>
      <c r="C103" s="181">
        <v>0.91700000000000004</v>
      </c>
      <c r="D103" s="181">
        <v>0.92599999999999993</v>
      </c>
      <c r="E103" s="181">
        <v>0.91299999999999992</v>
      </c>
      <c r="F103" s="181">
        <v>0.89300000000000002</v>
      </c>
    </row>
    <row r="104" spans="1:6" x14ac:dyDescent="0.45">
      <c r="A104" t="s">
        <v>395</v>
      </c>
      <c r="B104" s="327">
        <v>11</v>
      </c>
      <c r="C104" s="181">
        <v>0.92599999999999993</v>
      </c>
      <c r="D104" s="181">
        <v>0.93299999999999994</v>
      </c>
      <c r="E104" s="181">
        <v>0.92299999999999993</v>
      </c>
      <c r="F104" s="181">
        <v>0.90400000000000003</v>
      </c>
    </row>
    <row r="105" spans="1:6" x14ac:dyDescent="0.45">
      <c r="A105" t="s">
        <v>395</v>
      </c>
      <c r="B105" s="327">
        <v>15</v>
      </c>
      <c r="C105" s="181">
        <v>0.93299999999999994</v>
      </c>
      <c r="D105" s="181">
        <v>0.93900000000000006</v>
      </c>
      <c r="E105" s="181">
        <v>0.92900000000000005</v>
      </c>
      <c r="F105" s="181">
        <v>0.91200000000000003</v>
      </c>
    </row>
    <row r="106" spans="1:6" x14ac:dyDescent="0.45">
      <c r="A106" t="s">
        <v>395</v>
      </c>
      <c r="B106" s="327">
        <v>18.5</v>
      </c>
      <c r="C106" s="181">
        <v>0.93700000000000006</v>
      </c>
      <c r="D106" s="181">
        <v>0.94200000000000006</v>
      </c>
      <c r="E106" s="181">
        <v>0.93400000000000005</v>
      </c>
      <c r="F106" s="181">
        <v>0.91700000000000004</v>
      </c>
    </row>
    <row r="107" spans="1:6" x14ac:dyDescent="0.45">
      <c r="A107" t="s">
        <v>395</v>
      </c>
      <c r="B107" s="327">
        <v>22</v>
      </c>
      <c r="C107" s="181">
        <v>0.94</v>
      </c>
      <c r="D107" s="181">
        <v>0.94499999999999995</v>
      </c>
      <c r="E107" s="181">
        <v>0.93700000000000006</v>
      </c>
      <c r="F107" s="181">
        <v>0.92099999999999993</v>
      </c>
    </row>
    <row r="108" spans="1:6" x14ac:dyDescent="0.45">
      <c r="A108" t="s">
        <v>395</v>
      </c>
      <c r="B108" s="327">
        <v>30</v>
      </c>
      <c r="C108" s="181">
        <v>0.94499999999999995</v>
      </c>
      <c r="D108" s="181">
        <v>0.94900000000000007</v>
      </c>
      <c r="E108" s="181">
        <v>0.94200000000000006</v>
      </c>
      <c r="F108" s="181">
        <v>0.92700000000000005</v>
      </c>
    </row>
    <row r="109" spans="1:6" x14ac:dyDescent="0.45">
      <c r="A109" t="s">
        <v>395</v>
      </c>
      <c r="B109" s="327">
        <v>37</v>
      </c>
      <c r="C109" s="181">
        <v>0.94799999999999995</v>
      </c>
      <c r="D109" s="181">
        <v>0.95200000000000007</v>
      </c>
      <c r="E109" s="181">
        <v>0.94499999999999995</v>
      </c>
      <c r="F109" s="181">
        <v>0.93099999999999994</v>
      </c>
    </row>
    <row r="110" spans="1:6" x14ac:dyDescent="0.45">
      <c r="A110" t="s">
        <v>395</v>
      </c>
      <c r="B110" s="327">
        <v>45</v>
      </c>
      <c r="C110" s="181">
        <v>0.95</v>
      </c>
      <c r="D110" s="181">
        <v>0.95400000000000007</v>
      </c>
      <c r="E110" s="181">
        <v>0.94799999999999995</v>
      </c>
      <c r="F110" s="181">
        <v>0.93400000000000005</v>
      </c>
    </row>
    <row r="111" spans="1:6" x14ac:dyDescent="0.45">
      <c r="A111" t="s">
        <v>395</v>
      </c>
      <c r="B111" s="327">
        <v>55</v>
      </c>
      <c r="C111" s="181">
        <v>0.95299999999999996</v>
      </c>
      <c r="D111" s="181">
        <v>0.95700000000000007</v>
      </c>
      <c r="E111" s="181">
        <v>0.95099999999999996</v>
      </c>
      <c r="F111" s="181">
        <v>0.93700000000000006</v>
      </c>
    </row>
    <row r="112" spans="1:6" x14ac:dyDescent="0.45">
      <c r="A112" t="s">
        <v>395</v>
      </c>
      <c r="B112" s="327">
        <v>75</v>
      </c>
      <c r="C112" s="181">
        <v>0.95599999999999996</v>
      </c>
      <c r="D112" s="181">
        <v>0.96</v>
      </c>
      <c r="E112" s="181">
        <v>0.95400000000000007</v>
      </c>
      <c r="F112" s="181">
        <v>0.94200000000000006</v>
      </c>
    </row>
    <row r="113" spans="1:6" x14ac:dyDescent="0.45">
      <c r="A113" t="s">
        <v>395</v>
      </c>
      <c r="B113" s="327">
        <v>90</v>
      </c>
      <c r="C113" s="181">
        <v>0.95799999999999996</v>
      </c>
      <c r="D113" s="181">
        <v>0.96099999999999997</v>
      </c>
      <c r="E113" s="181">
        <v>0.95599999999999996</v>
      </c>
      <c r="F113" s="181">
        <v>0.94400000000000006</v>
      </c>
    </row>
    <row r="114" spans="1:6" x14ac:dyDescent="0.45">
      <c r="A114" t="s">
        <v>395</v>
      </c>
      <c r="B114" s="327">
        <v>110</v>
      </c>
      <c r="C114" s="181">
        <v>0.96</v>
      </c>
      <c r="D114" s="181">
        <v>0.96299999999999997</v>
      </c>
      <c r="E114" s="181">
        <v>0.95799999999999996</v>
      </c>
      <c r="F114" s="181">
        <v>0.94700000000000006</v>
      </c>
    </row>
    <row r="115" spans="1:6" x14ac:dyDescent="0.45">
      <c r="A115" t="s">
        <v>395</v>
      </c>
      <c r="B115" s="327">
        <v>132</v>
      </c>
      <c r="C115" s="181">
        <v>0.96200000000000008</v>
      </c>
      <c r="D115" s="181">
        <v>0.96400000000000008</v>
      </c>
      <c r="E115" s="181">
        <v>0.96</v>
      </c>
      <c r="F115" s="181">
        <v>0.94900000000000007</v>
      </c>
    </row>
    <row r="116" spans="1:6" x14ac:dyDescent="0.45">
      <c r="A116" t="s">
        <v>395</v>
      </c>
      <c r="B116" s="327">
        <v>160</v>
      </c>
      <c r="C116" s="181">
        <v>0.96299999999999997</v>
      </c>
      <c r="D116" s="181">
        <v>0.96599999999999997</v>
      </c>
      <c r="E116" s="181">
        <v>0.96200000000000008</v>
      </c>
      <c r="F116" s="181">
        <v>0.95099999999999996</v>
      </c>
    </row>
    <row r="117" spans="1:6" x14ac:dyDescent="0.45">
      <c r="A117" t="s">
        <v>395</v>
      </c>
      <c r="B117" s="327">
        <v>200</v>
      </c>
      <c r="C117" s="181">
        <v>0.96499999999999997</v>
      </c>
      <c r="D117" s="181">
        <v>0.96700000000000008</v>
      </c>
      <c r="E117" s="181">
        <v>0.96299999999999997</v>
      </c>
      <c r="F117" s="181">
        <v>0.95400000000000007</v>
      </c>
    </row>
    <row r="118" spans="1:6" x14ac:dyDescent="0.45">
      <c r="A118" t="s">
        <v>395</v>
      </c>
      <c r="B118" s="327">
        <v>250</v>
      </c>
      <c r="C118" s="181">
        <v>0.96499999999999997</v>
      </c>
      <c r="D118" s="181">
        <v>0.96700000000000008</v>
      </c>
      <c r="E118" s="181">
        <v>0.96499999999999997</v>
      </c>
      <c r="F118" s="181">
        <v>0.95400000000000007</v>
      </c>
    </row>
    <row r="119" spans="1:6" x14ac:dyDescent="0.45">
      <c r="A119" t="s">
        <v>395</v>
      </c>
      <c r="B119" s="327">
        <v>315</v>
      </c>
      <c r="C119" s="328">
        <v>0.96499999999999997</v>
      </c>
      <c r="D119" s="328">
        <v>0.96700000000000008</v>
      </c>
      <c r="E119" s="328">
        <v>0.96599999999999997</v>
      </c>
      <c r="F119" s="328">
        <v>0.95400000000000007</v>
      </c>
    </row>
    <row r="120" spans="1:6" x14ac:dyDescent="0.45">
      <c r="A120" t="s">
        <v>395</v>
      </c>
      <c r="B120" s="329">
        <v>355</v>
      </c>
      <c r="C120" s="328">
        <v>0.96499999999999997</v>
      </c>
      <c r="D120" s="328">
        <v>0.96700000000000008</v>
      </c>
      <c r="E120" s="328">
        <v>0.96599999999999997</v>
      </c>
      <c r="F120" s="328">
        <v>0.95400000000000007</v>
      </c>
    </row>
    <row r="121" spans="1:6" x14ac:dyDescent="0.45">
      <c r="A121" t="s">
        <v>395</v>
      </c>
      <c r="B121" s="329">
        <v>375</v>
      </c>
      <c r="C121" s="181">
        <v>0.96499999999999997</v>
      </c>
      <c r="D121" s="181">
        <v>0.96700000000000008</v>
      </c>
      <c r="E121" s="181">
        <v>0.96599999999999997</v>
      </c>
      <c r="F121" s="181">
        <v>0.95400000000000007</v>
      </c>
    </row>
    <row r="122" spans="1:6" x14ac:dyDescent="0.45">
      <c r="A122" t="s">
        <v>395</v>
      </c>
      <c r="B122" s="327">
        <v>1000</v>
      </c>
      <c r="C122" s="328">
        <v>0.96499999999999997</v>
      </c>
      <c r="D122" s="328">
        <v>0.96700000000000008</v>
      </c>
      <c r="E122" s="328">
        <v>0.96599999999999997</v>
      </c>
      <c r="F122" s="328">
        <v>0.95400000000000007</v>
      </c>
    </row>
  </sheetData>
  <sheetProtection algorithmName="SHA-512" hashValue="56+nVF+sb+OB8En5dH54wf/ld8+4Uq0XCEPGruoDKoeX+taszK+mfeKljwqKDuzkouEv3Ett+QHlA3CGZC9CTQ==" saltValue="RNqhgTo8Bca8NuM62Zq5UA==" spinCount="100000" sheet="1" objects="1" scenarios="1" formatCells="0" formatColumns="0" formatRows="0"/>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79"/>
  <sheetViews>
    <sheetView view="pageBreakPreview" zoomScale="85" zoomScaleNormal="70" zoomScaleSheetLayoutView="85" workbookViewId="0"/>
  </sheetViews>
  <sheetFormatPr defaultColWidth="8.69921875" defaultRowHeight="18" x14ac:dyDescent="0.45"/>
  <cols>
    <col min="2" max="2" width="9.09765625" customWidth="1"/>
    <col min="3" max="22" width="9.296875" customWidth="1"/>
  </cols>
  <sheetData>
    <row r="1" spans="1:24" s="348" customFormat="1" ht="28.8" x14ac:dyDescent="0.7">
      <c r="A1" s="347" t="s">
        <v>600</v>
      </c>
    </row>
    <row r="2" spans="1:24" s="348" customFormat="1" ht="28.8" x14ac:dyDescent="0.7">
      <c r="A2" s="347"/>
    </row>
    <row r="3" spans="1:24" s="348" customFormat="1" ht="28.8" x14ac:dyDescent="0.7">
      <c r="A3" s="347"/>
    </row>
    <row r="4" spans="1:24" s="348" customFormat="1" ht="28.8" x14ac:dyDescent="0.7">
      <c r="A4" s="347"/>
    </row>
    <row r="5" spans="1:24" s="348" customFormat="1" ht="18" customHeight="1" x14ac:dyDescent="0.7">
      <c r="A5" s="347"/>
    </row>
    <row r="6" spans="1:24" s="348" customFormat="1" ht="18" customHeight="1" x14ac:dyDescent="0.7">
      <c r="A6" s="347"/>
    </row>
    <row r="7" spans="1:24" s="348" customFormat="1" ht="18" customHeight="1" x14ac:dyDescent="0.7">
      <c r="A7" s="347"/>
    </row>
    <row r="8" spans="1:24" s="348" customFormat="1" ht="18" customHeight="1" x14ac:dyDescent="0.7">
      <c r="A8" s="347"/>
    </row>
    <row r="9" spans="1:24" s="348" customFormat="1" ht="18" customHeight="1" x14ac:dyDescent="0.7">
      <c r="A9" s="347"/>
    </row>
    <row r="10" spans="1:24" s="348" customFormat="1" ht="18" customHeight="1" x14ac:dyDescent="0.7">
      <c r="A10" s="347"/>
    </row>
    <row r="11" spans="1:24" s="348" customFormat="1" x14ac:dyDescent="0.45">
      <c r="B11" s="588" t="s">
        <v>141</v>
      </c>
      <c r="C11" s="204" t="s">
        <v>76</v>
      </c>
      <c r="D11" s="204"/>
      <c r="E11" s="204"/>
      <c r="F11" s="204"/>
      <c r="G11" s="204"/>
      <c r="H11" s="204"/>
      <c r="I11" s="204"/>
      <c r="J11" s="204"/>
      <c r="K11" s="204"/>
      <c r="L11" s="204"/>
      <c r="M11" s="204" t="s">
        <v>87</v>
      </c>
      <c r="N11" s="204"/>
      <c r="O11" s="204"/>
      <c r="P11" s="204"/>
      <c r="Q11" s="204"/>
      <c r="R11" s="204"/>
      <c r="S11" s="204"/>
      <c r="T11" s="204"/>
      <c r="U11" s="204"/>
      <c r="V11" s="204"/>
      <c r="W11" s="204" t="s">
        <v>94</v>
      </c>
      <c r="X11" s="204"/>
    </row>
    <row r="12" spans="1:24" s="348" customFormat="1" ht="48.6" x14ac:dyDescent="0.45">
      <c r="B12" s="589"/>
      <c r="C12" s="205" t="s">
        <v>170</v>
      </c>
      <c r="D12" s="205" t="s">
        <v>405</v>
      </c>
      <c r="E12" s="205" t="s">
        <v>86</v>
      </c>
      <c r="F12" s="205" t="s">
        <v>483</v>
      </c>
      <c r="G12" s="205" t="s">
        <v>531</v>
      </c>
      <c r="H12" s="205" t="s">
        <v>532</v>
      </c>
      <c r="I12" s="205" t="s">
        <v>533</v>
      </c>
      <c r="J12" s="205" t="s">
        <v>534</v>
      </c>
      <c r="K12" s="205" t="s">
        <v>535</v>
      </c>
      <c r="L12" s="205" t="s">
        <v>467</v>
      </c>
      <c r="M12" s="205" t="s">
        <v>170</v>
      </c>
      <c r="N12" s="205" t="s">
        <v>407</v>
      </c>
      <c r="O12" s="205" t="s">
        <v>97</v>
      </c>
      <c r="P12" s="205" t="s">
        <v>83</v>
      </c>
      <c r="Q12" s="206" t="s">
        <v>536</v>
      </c>
      <c r="R12" s="205" t="s">
        <v>532</v>
      </c>
      <c r="S12" s="205" t="s">
        <v>537</v>
      </c>
      <c r="T12" s="205" t="s">
        <v>538</v>
      </c>
      <c r="U12" s="205" t="s">
        <v>539</v>
      </c>
      <c r="V12" s="205" t="s">
        <v>468</v>
      </c>
      <c r="W12" s="207" t="s">
        <v>476</v>
      </c>
      <c r="X12" s="207" t="s">
        <v>477</v>
      </c>
    </row>
    <row r="13" spans="1:24" s="348" customFormat="1" x14ac:dyDescent="0.45">
      <c r="B13" s="208" t="s">
        <v>140</v>
      </c>
      <c r="C13" s="208"/>
      <c r="D13" s="200" t="s">
        <v>78</v>
      </c>
      <c r="E13" s="200" t="s">
        <v>77</v>
      </c>
      <c r="F13" s="200" t="s">
        <v>79</v>
      </c>
      <c r="G13" s="200" t="s">
        <v>81</v>
      </c>
      <c r="H13" s="209"/>
      <c r="I13" s="200" t="s">
        <v>601</v>
      </c>
      <c r="J13" s="210" t="s">
        <v>82</v>
      </c>
      <c r="K13" s="200" t="s">
        <v>85</v>
      </c>
      <c r="L13" s="211" t="s">
        <v>62</v>
      </c>
      <c r="M13" s="211"/>
      <c r="N13" s="200" t="s">
        <v>78</v>
      </c>
      <c r="O13" s="200" t="s">
        <v>77</v>
      </c>
      <c r="P13" s="200" t="s">
        <v>79</v>
      </c>
      <c r="Q13" s="200" t="s">
        <v>81</v>
      </c>
      <c r="R13" s="209"/>
      <c r="S13" s="200" t="s">
        <v>601</v>
      </c>
      <c r="T13" s="200" t="s">
        <v>82</v>
      </c>
      <c r="U13" s="200" t="s">
        <v>85</v>
      </c>
      <c r="V13" s="211" t="s">
        <v>62</v>
      </c>
      <c r="W13" s="200" t="s">
        <v>85</v>
      </c>
      <c r="X13" s="211" t="s">
        <v>62</v>
      </c>
    </row>
    <row r="14" spans="1:24" s="348" customFormat="1" x14ac:dyDescent="0.45">
      <c r="B14" s="294" t="s">
        <v>540</v>
      </c>
      <c r="C14" s="314" t="s">
        <v>556</v>
      </c>
      <c r="D14" s="213">
        <v>64</v>
      </c>
      <c r="E14" s="214">
        <v>60</v>
      </c>
      <c r="F14" s="214">
        <v>8</v>
      </c>
      <c r="G14" s="214">
        <v>250</v>
      </c>
      <c r="H14" s="215"/>
      <c r="I14" s="214"/>
      <c r="J14" s="257">
        <v>2000</v>
      </c>
      <c r="K14" s="257">
        <v>7680</v>
      </c>
      <c r="L14" s="217">
        <v>3.50976</v>
      </c>
      <c r="M14" s="218" t="s">
        <v>557</v>
      </c>
      <c r="N14" s="213">
        <v>26.3</v>
      </c>
      <c r="O14" s="214">
        <v>60</v>
      </c>
      <c r="P14" s="219">
        <v>8</v>
      </c>
      <c r="Q14" s="219">
        <v>250</v>
      </c>
      <c r="R14" s="215" t="s">
        <v>328</v>
      </c>
      <c r="S14" s="214">
        <v>20</v>
      </c>
      <c r="T14" s="257">
        <v>400</v>
      </c>
      <c r="U14" s="257">
        <v>631.20000000000005</v>
      </c>
      <c r="V14" s="217">
        <v>0.2884584</v>
      </c>
      <c r="W14" s="257">
        <v>7048.8</v>
      </c>
      <c r="X14" s="220">
        <v>3.2213015999999999</v>
      </c>
    </row>
    <row r="15" spans="1:24" s="348" customFormat="1" ht="18.600000000000001" thickBot="1" x14ac:dyDescent="0.5"/>
    <row r="16" spans="1:24" s="348" customFormat="1" x14ac:dyDescent="0.45">
      <c r="L16" s="349" t="s">
        <v>602</v>
      </c>
      <c r="M16" s="350"/>
      <c r="N16" s="350"/>
      <c r="O16" s="350"/>
      <c r="P16" s="351"/>
    </row>
    <row r="17" spans="1:16" s="348" customFormat="1" x14ac:dyDescent="0.45">
      <c r="L17" s="98" t="s">
        <v>603</v>
      </c>
      <c r="M17" s="52" t="s">
        <v>604</v>
      </c>
      <c r="N17" s="52"/>
      <c r="O17" s="52"/>
      <c r="P17" s="352"/>
    </row>
    <row r="18" spans="1:16" s="348" customFormat="1" x14ac:dyDescent="0.45">
      <c r="L18" s="353" t="s">
        <v>605</v>
      </c>
      <c r="M18" s="354"/>
      <c r="N18" s="52"/>
      <c r="O18" s="52"/>
      <c r="P18" s="352"/>
    </row>
    <row r="19" spans="1:16" s="348" customFormat="1" x14ac:dyDescent="0.45">
      <c r="L19" s="599" t="s">
        <v>606</v>
      </c>
      <c r="M19" s="604"/>
      <c r="N19" s="2" t="s">
        <v>607</v>
      </c>
      <c r="O19" s="2" t="s">
        <v>608</v>
      </c>
      <c r="P19" s="355" t="s">
        <v>609</v>
      </c>
    </row>
    <row r="20" spans="1:16" s="348" customFormat="1" x14ac:dyDescent="0.45">
      <c r="L20" s="599" t="s">
        <v>610</v>
      </c>
      <c r="M20" s="604"/>
      <c r="N20" s="2" t="s">
        <v>611</v>
      </c>
      <c r="O20" s="2" t="s">
        <v>612</v>
      </c>
      <c r="P20" s="355" t="s">
        <v>613</v>
      </c>
    </row>
    <row r="21" spans="1:16" s="348" customFormat="1" ht="18.600000000000001" thickBot="1" x14ac:dyDescent="0.5">
      <c r="L21" s="605" t="s">
        <v>614</v>
      </c>
      <c r="M21" s="606"/>
      <c r="N21" s="356" t="s">
        <v>615</v>
      </c>
      <c r="O21" s="356" t="s">
        <v>616</v>
      </c>
      <c r="P21" s="357" t="s">
        <v>616</v>
      </c>
    </row>
    <row r="22" spans="1:16" s="348" customFormat="1" x14ac:dyDescent="0.45"/>
    <row r="23" spans="1:16" s="348" customFormat="1" x14ac:dyDescent="0.45"/>
    <row r="24" spans="1:16" s="348" customFormat="1" x14ac:dyDescent="0.45"/>
    <row r="25" spans="1:16" s="348" customFormat="1" x14ac:dyDescent="0.45"/>
    <row r="26" spans="1:16" s="348" customFormat="1" x14ac:dyDescent="0.45"/>
    <row r="27" spans="1:16" s="348" customFormat="1" x14ac:dyDescent="0.45"/>
    <row r="28" spans="1:16" s="348" customFormat="1" x14ac:dyDescent="0.45"/>
    <row r="29" spans="1:16" s="348" customFormat="1" x14ac:dyDescent="0.45"/>
    <row r="30" spans="1:16" s="348" customFormat="1" x14ac:dyDescent="0.45"/>
    <row r="31" spans="1:16" s="359" customFormat="1" ht="28.8" x14ac:dyDescent="0.7">
      <c r="A31" s="358" t="s">
        <v>617</v>
      </c>
    </row>
    <row r="32" spans="1:16" s="359" customFormat="1" ht="18" customHeight="1" x14ac:dyDescent="0.7">
      <c r="A32" s="358"/>
    </row>
    <row r="33" spans="1:26" s="359" customFormat="1" ht="18" customHeight="1" x14ac:dyDescent="0.7">
      <c r="A33" s="358"/>
    </row>
    <row r="34" spans="1:26" s="361" customFormat="1" x14ac:dyDescent="0.45">
      <c r="A34" s="360"/>
    </row>
    <row r="35" spans="1:26" s="361" customFormat="1" x14ac:dyDescent="0.45">
      <c r="A35" s="360"/>
      <c r="B35" s="197" t="s">
        <v>141</v>
      </c>
      <c r="C35" s="197" t="s">
        <v>111</v>
      </c>
      <c r="O35" s="607"/>
      <c r="P35" s="607"/>
      <c r="Q35" s="607"/>
      <c r="R35" s="607"/>
    </row>
    <row r="36" spans="1:26" s="361" customFormat="1" ht="19.2" x14ac:dyDescent="0.5">
      <c r="A36" s="360"/>
      <c r="B36" s="208" t="s">
        <v>547</v>
      </c>
      <c r="C36" s="362">
        <v>0.4</v>
      </c>
      <c r="O36" s="359"/>
      <c r="P36" s="363"/>
      <c r="Q36" s="363"/>
      <c r="R36" s="364"/>
    </row>
    <row r="37" spans="1:26" s="361" customFormat="1" ht="19.2" x14ac:dyDescent="0.5">
      <c r="A37" s="360"/>
      <c r="B37" s="208" t="s">
        <v>548</v>
      </c>
      <c r="C37" s="362">
        <v>0.4</v>
      </c>
      <c r="O37" s="365"/>
      <c r="P37" s="359"/>
      <c r="Q37" s="359"/>
      <c r="R37" s="363"/>
    </row>
    <row r="38" spans="1:26" s="361" customFormat="1" x14ac:dyDescent="0.45">
      <c r="A38" s="360"/>
      <c r="B38" s="366"/>
      <c r="C38" s="367"/>
    </row>
    <row r="39" spans="1:26" s="359" customFormat="1" x14ac:dyDescent="0.45">
      <c r="B39" s="590" t="s">
        <v>141</v>
      </c>
      <c r="C39" s="237" t="s">
        <v>76</v>
      </c>
      <c r="D39" s="238"/>
      <c r="E39" s="238"/>
      <c r="F39" s="238"/>
      <c r="G39" s="238"/>
      <c r="H39" s="239"/>
      <c r="I39" s="239"/>
      <c r="J39" s="239"/>
      <c r="K39" s="239"/>
      <c r="L39" s="239"/>
      <c r="M39" s="239"/>
      <c r="N39" s="240"/>
      <c r="O39" s="241" t="s">
        <v>373</v>
      </c>
      <c r="P39" s="242"/>
      <c r="Q39" s="242"/>
      <c r="R39" s="242"/>
      <c r="S39" s="242"/>
      <c r="T39" s="242"/>
      <c r="U39" s="242"/>
      <c r="V39" s="242"/>
      <c r="W39" s="242"/>
      <c r="X39" s="246" t="s">
        <v>94</v>
      </c>
      <c r="Y39" s="242"/>
      <c r="Z39" s="240"/>
    </row>
    <row r="40" spans="1:26" s="359" customFormat="1" x14ac:dyDescent="0.45">
      <c r="B40" s="603"/>
      <c r="C40" s="243"/>
      <c r="D40" s="244"/>
      <c r="E40" s="244"/>
      <c r="F40" s="245"/>
      <c r="G40" s="246" t="s">
        <v>369</v>
      </c>
      <c r="H40" s="247"/>
      <c r="I40" s="242"/>
      <c r="J40" s="246" t="s">
        <v>371</v>
      </c>
      <c r="K40" s="247"/>
      <c r="L40" s="242"/>
      <c r="M40" s="246" t="s">
        <v>372</v>
      </c>
      <c r="N40" s="242"/>
      <c r="O40" s="246"/>
      <c r="P40" s="244"/>
      <c r="Q40" s="246" t="s">
        <v>369</v>
      </c>
      <c r="R40" s="247"/>
      <c r="S40" s="242"/>
      <c r="T40" s="246" t="s">
        <v>371</v>
      </c>
      <c r="U40" s="247"/>
      <c r="V40" s="242"/>
      <c r="W40" s="246" t="s">
        <v>372</v>
      </c>
      <c r="X40" s="242"/>
      <c r="Y40" s="208"/>
      <c r="Z40" s="208"/>
    </row>
    <row r="41" spans="1:26" s="359" customFormat="1" ht="72" x14ac:dyDescent="0.45">
      <c r="B41" s="591"/>
      <c r="C41" s="207" t="s">
        <v>170</v>
      </c>
      <c r="D41" s="248" t="s">
        <v>381</v>
      </c>
      <c r="E41" s="248" t="s">
        <v>370</v>
      </c>
      <c r="F41" s="248" t="s">
        <v>549</v>
      </c>
      <c r="G41" s="248" t="s">
        <v>550</v>
      </c>
      <c r="H41" s="248" t="s">
        <v>452</v>
      </c>
      <c r="I41" s="248" t="s">
        <v>375</v>
      </c>
      <c r="J41" s="248" t="s">
        <v>551</v>
      </c>
      <c r="K41" s="248" t="s">
        <v>453</v>
      </c>
      <c r="L41" s="248" t="s">
        <v>376</v>
      </c>
      <c r="M41" s="248" t="s">
        <v>418</v>
      </c>
      <c r="N41" s="248" t="s">
        <v>420</v>
      </c>
      <c r="O41" s="205" t="s">
        <v>170</v>
      </c>
      <c r="P41" s="248" t="s">
        <v>374</v>
      </c>
      <c r="Q41" s="248" t="s">
        <v>550</v>
      </c>
      <c r="R41" s="248" t="s">
        <v>454</v>
      </c>
      <c r="S41" s="248" t="s">
        <v>377</v>
      </c>
      <c r="T41" s="248" t="s">
        <v>551</v>
      </c>
      <c r="U41" s="248" t="s">
        <v>455</v>
      </c>
      <c r="V41" s="248" t="s">
        <v>378</v>
      </c>
      <c r="W41" s="248" t="s">
        <v>419</v>
      </c>
      <c r="X41" s="248" t="s">
        <v>421</v>
      </c>
      <c r="Y41" s="207" t="s">
        <v>476</v>
      </c>
      <c r="Z41" s="207" t="s">
        <v>477</v>
      </c>
    </row>
    <row r="42" spans="1:26" s="359" customFormat="1" x14ac:dyDescent="0.45">
      <c r="B42" s="249" t="s">
        <v>140</v>
      </c>
      <c r="C42" s="208"/>
      <c r="D42" s="208"/>
      <c r="E42" s="200" t="s">
        <v>77</v>
      </c>
      <c r="F42" s="200"/>
      <c r="G42" s="200" t="s">
        <v>201</v>
      </c>
      <c r="H42" s="200" t="s">
        <v>96</v>
      </c>
      <c r="I42" s="200" t="s">
        <v>82</v>
      </c>
      <c r="J42" s="200" t="s">
        <v>201</v>
      </c>
      <c r="K42" s="200" t="s">
        <v>96</v>
      </c>
      <c r="L42" s="200" t="s">
        <v>82</v>
      </c>
      <c r="M42" s="200" t="s">
        <v>85</v>
      </c>
      <c r="N42" s="211" t="s">
        <v>62</v>
      </c>
      <c r="O42" s="208"/>
      <c r="P42" s="200" t="s">
        <v>77</v>
      </c>
      <c r="Q42" s="200"/>
      <c r="R42" s="200" t="s">
        <v>96</v>
      </c>
      <c r="S42" s="200" t="s">
        <v>82</v>
      </c>
      <c r="T42" s="200"/>
      <c r="U42" s="200" t="s">
        <v>96</v>
      </c>
      <c r="V42" s="200" t="s">
        <v>82</v>
      </c>
      <c r="W42" s="200" t="s">
        <v>85</v>
      </c>
      <c r="X42" s="211" t="s">
        <v>62</v>
      </c>
      <c r="Y42" s="200" t="s">
        <v>85</v>
      </c>
      <c r="Z42" s="250" t="s">
        <v>62</v>
      </c>
    </row>
    <row r="43" spans="1:26" s="359" customFormat="1" x14ac:dyDescent="0.45">
      <c r="B43" s="251" t="s">
        <v>540</v>
      </c>
      <c r="C43" s="368" t="s">
        <v>554</v>
      </c>
      <c r="D43" s="368">
        <v>2008</v>
      </c>
      <c r="E43" s="368">
        <v>2</v>
      </c>
      <c r="F43" s="369">
        <v>1.5</v>
      </c>
      <c r="G43" s="370">
        <v>28</v>
      </c>
      <c r="H43" s="371">
        <v>7.64</v>
      </c>
      <c r="I43" s="372">
        <v>976</v>
      </c>
      <c r="J43" s="373">
        <v>31.5</v>
      </c>
      <c r="K43" s="371">
        <v>8.59</v>
      </c>
      <c r="L43" s="372">
        <v>1448</v>
      </c>
      <c r="M43" s="374">
        <v>23873.951999999997</v>
      </c>
      <c r="N43" s="375">
        <v>10.910396063999999</v>
      </c>
      <c r="O43" s="368" t="s">
        <v>555</v>
      </c>
      <c r="P43" s="368">
        <v>2</v>
      </c>
      <c r="Q43" s="370">
        <v>28</v>
      </c>
      <c r="R43" s="371">
        <v>8.48</v>
      </c>
      <c r="S43" s="374">
        <v>976</v>
      </c>
      <c r="T43" s="373">
        <v>31.5</v>
      </c>
      <c r="U43" s="371">
        <v>7.7</v>
      </c>
      <c r="V43" s="374">
        <v>1448</v>
      </c>
      <c r="W43" s="374">
        <v>15540.864000000001</v>
      </c>
      <c r="X43" s="375">
        <v>7.1021748480000007</v>
      </c>
      <c r="Y43" s="374">
        <v>8333.0879999999961</v>
      </c>
      <c r="Z43" s="375">
        <v>3.808221215999998</v>
      </c>
    </row>
    <row r="44" spans="1:26" s="359" customFormat="1" ht="18.600000000000001" thickBot="1" x14ac:dyDescent="0.5"/>
    <row r="45" spans="1:26" s="359" customFormat="1" x14ac:dyDescent="0.45">
      <c r="O45" s="349" t="s">
        <v>602</v>
      </c>
      <c r="P45" s="350"/>
      <c r="Q45" s="350"/>
      <c r="R45" s="350"/>
      <c r="S45" s="350"/>
      <c r="T45" s="351"/>
    </row>
    <row r="46" spans="1:26" s="359" customFormat="1" x14ac:dyDescent="0.45">
      <c r="O46" s="376" t="s">
        <v>618</v>
      </c>
      <c r="P46" s="52"/>
      <c r="Q46" s="53"/>
      <c r="R46" s="52" t="s">
        <v>553</v>
      </c>
      <c r="S46" s="52"/>
      <c r="T46" s="352"/>
    </row>
    <row r="47" spans="1:26" s="359" customFormat="1" x14ac:dyDescent="0.45">
      <c r="O47" s="599" t="s">
        <v>619</v>
      </c>
      <c r="P47" s="600"/>
      <c r="Q47" s="53"/>
      <c r="R47" s="51" t="s">
        <v>620</v>
      </c>
      <c r="S47" s="52"/>
      <c r="T47" s="352"/>
    </row>
    <row r="48" spans="1:26" s="359" customFormat="1" x14ac:dyDescent="0.45">
      <c r="O48" s="599" t="s">
        <v>621</v>
      </c>
      <c r="P48" s="601"/>
      <c r="Q48" s="53"/>
      <c r="R48" s="377">
        <v>28</v>
      </c>
      <c r="S48" s="378"/>
      <c r="T48" s="379"/>
    </row>
    <row r="49" spans="1:20" s="359" customFormat="1" x14ac:dyDescent="0.45">
      <c r="O49" s="599" t="s">
        <v>622</v>
      </c>
      <c r="P49" s="601"/>
      <c r="Q49" s="53"/>
      <c r="R49" s="380">
        <v>8.48</v>
      </c>
      <c r="S49" s="378"/>
      <c r="T49" s="379"/>
    </row>
    <row r="50" spans="1:20" s="359" customFormat="1" x14ac:dyDescent="0.45">
      <c r="O50" s="599" t="s">
        <v>623</v>
      </c>
      <c r="P50" s="601"/>
      <c r="Q50" s="53"/>
      <c r="R50" s="377">
        <v>31.5</v>
      </c>
      <c r="S50" s="378"/>
      <c r="T50" s="379"/>
    </row>
    <row r="51" spans="1:20" s="359" customFormat="1" x14ac:dyDescent="0.45">
      <c r="O51" s="98" t="s">
        <v>624</v>
      </c>
      <c r="P51" s="1"/>
      <c r="Q51" s="1"/>
      <c r="R51" s="380">
        <v>7.7</v>
      </c>
      <c r="S51" s="52"/>
      <c r="T51" s="352"/>
    </row>
    <row r="52" spans="1:20" s="359" customFormat="1" x14ac:dyDescent="0.45">
      <c r="O52" s="98" t="s">
        <v>625</v>
      </c>
      <c r="P52" s="1"/>
      <c r="Q52" s="1"/>
      <c r="R52" s="377">
        <v>23.8</v>
      </c>
      <c r="S52" s="52"/>
      <c r="T52" s="352"/>
    </row>
    <row r="53" spans="1:20" s="359" customFormat="1" ht="18.600000000000001" thickBot="1" x14ac:dyDescent="0.5">
      <c r="O53" s="71" t="s">
        <v>626</v>
      </c>
      <c r="P53" s="72"/>
      <c r="Q53" s="72"/>
      <c r="R53" s="381">
        <v>13.7</v>
      </c>
      <c r="S53" s="382"/>
      <c r="T53" s="383"/>
    </row>
    <row r="54" spans="1:20" s="359" customFormat="1" x14ac:dyDescent="0.45"/>
    <row r="55" spans="1:20" s="359" customFormat="1" x14ac:dyDescent="0.45"/>
    <row r="56" spans="1:20" s="359" customFormat="1" x14ac:dyDescent="0.45"/>
    <row r="57" spans="1:20" s="359" customFormat="1" x14ac:dyDescent="0.45"/>
    <row r="58" spans="1:20" s="359" customFormat="1" x14ac:dyDescent="0.45"/>
    <row r="59" spans="1:20" s="359" customFormat="1" x14ac:dyDescent="0.45"/>
    <row r="60" spans="1:20" s="385" customFormat="1" ht="28.8" x14ac:dyDescent="0.7">
      <c r="A60" s="384" t="s">
        <v>627</v>
      </c>
    </row>
    <row r="61" spans="1:20" s="385" customFormat="1" ht="28.8" x14ac:dyDescent="0.7">
      <c r="A61" s="384"/>
    </row>
    <row r="62" spans="1:20" s="385" customFormat="1" ht="19.2" customHeight="1" x14ac:dyDescent="0.7">
      <c r="A62" s="384"/>
      <c r="D62" s="267" t="s">
        <v>146</v>
      </c>
      <c r="E62" s="267" t="s">
        <v>114</v>
      </c>
    </row>
    <row r="63" spans="1:20" s="385" customFormat="1" x14ac:dyDescent="0.45">
      <c r="D63" s="191" t="s">
        <v>628</v>
      </c>
      <c r="E63" s="101" t="s">
        <v>629</v>
      </c>
    </row>
    <row r="64" spans="1:20" s="385" customFormat="1" x14ac:dyDescent="0.45"/>
    <row r="65" spans="2:33" s="385" customFormat="1" x14ac:dyDescent="0.45"/>
    <row r="66" spans="2:33" s="385" customFormat="1" x14ac:dyDescent="0.45">
      <c r="B66" s="197"/>
      <c r="C66" s="197" t="s">
        <v>111</v>
      </c>
    </row>
    <row r="67" spans="2:33" s="385" customFormat="1" ht="19.2" x14ac:dyDescent="0.5">
      <c r="B67" s="208" t="s">
        <v>547</v>
      </c>
      <c r="C67" s="362">
        <v>0.4</v>
      </c>
    </row>
    <row r="68" spans="2:33" s="385" customFormat="1" ht="19.2" x14ac:dyDescent="0.5">
      <c r="B68" s="208" t="s">
        <v>548</v>
      </c>
      <c r="C68" s="362">
        <v>0.4</v>
      </c>
    </row>
    <row r="69" spans="2:33" s="385" customFormat="1" x14ac:dyDescent="0.45"/>
    <row r="70" spans="2:33" s="385" customFormat="1" x14ac:dyDescent="0.45">
      <c r="B70" s="590" t="s">
        <v>141</v>
      </c>
      <c r="C70" s="274" t="s">
        <v>76</v>
      </c>
      <c r="D70" s="239"/>
      <c r="E70" s="239"/>
      <c r="F70" s="239"/>
      <c r="G70" s="239"/>
      <c r="H70" s="239"/>
      <c r="I70" s="239"/>
      <c r="J70" s="239"/>
      <c r="K70" s="239"/>
      <c r="L70" s="239"/>
      <c r="M70" s="239"/>
      <c r="N70" s="239"/>
      <c r="O70" s="239"/>
      <c r="P70" s="239"/>
      <c r="Q70" s="240"/>
      <c r="R70" s="275" t="s">
        <v>373</v>
      </c>
      <c r="S70" s="242"/>
      <c r="T70" s="242"/>
      <c r="U70" s="239"/>
      <c r="V70" s="242"/>
      <c r="W70" s="242"/>
      <c r="X70" s="242"/>
      <c r="Y70" s="239"/>
      <c r="Z70" s="242"/>
      <c r="AA70" s="242"/>
      <c r="AB70" s="239"/>
      <c r="AC70" s="242"/>
      <c r="AD70" s="246" t="s">
        <v>94</v>
      </c>
      <c r="AE70" s="242"/>
      <c r="AF70" s="242"/>
      <c r="AG70" s="240"/>
    </row>
    <row r="71" spans="2:33" s="385" customFormat="1" x14ac:dyDescent="0.45">
      <c r="B71" s="603"/>
      <c r="C71" s="243"/>
      <c r="D71" s="244"/>
      <c r="E71" s="242"/>
      <c r="F71" s="240"/>
      <c r="G71" s="246" t="s">
        <v>369</v>
      </c>
      <c r="H71" s="247"/>
      <c r="I71" s="242"/>
      <c r="J71" s="242"/>
      <c r="K71" s="246" t="s">
        <v>371</v>
      </c>
      <c r="L71" s="247"/>
      <c r="M71" s="242"/>
      <c r="N71" s="242"/>
      <c r="O71" s="246" t="s">
        <v>372</v>
      </c>
      <c r="P71" s="242"/>
      <c r="Q71" s="240"/>
      <c r="R71" s="246"/>
      <c r="S71" s="244"/>
      <c r="T71" s="244"/>
      <c r="U71" s="246" t="s">
        <v>369</v>
      </c>
      <c r="V71" s="242"/>
      <c r="W71" s="242"/>
      <c r="X71" s="246" t="s">
        <v>371</v>
      </c>
      <c r="Y71" s="247"/>
      <c r="Z71" s="242"/>
      <c r="AA71" s="242"/>
      <c r="AB71" s="246" t="s">
        <v>372</v>
      </c>
      <c r="AC71" s="242"/>
      <c r="AD71" s="242"/>
      <c r="AE71" s="208"/>
      <c r="AF71" s="208"/>
      <c r="AG71" s="208"/>
    </row>
    <row r="72" spans="2:33" s="385" customFormat="1" ht="55.2" x14ac:dyDescent="0.45">
      <c r="B72" s="591"/>
      <c r="C72" s="248" t="s">
        <v>170</v>
      </c>
      <c r="D72" s="248" t="s">
        <v>381</v>
      </c>
      <c r="E72" s="248" t="s">
        <v>370</v>
      </c>
      <c r="F72" s="248" t="s">
        <v>563</v>
      </c>
      <c r="G72" s="248" t="s">
        <v>550</v>
      </c>
      <c r="H72" s="248" t="s">
        <v>452</v>
      </c>
      <c r="I72" s="248" t="s">
        <v>456</v>
      </c>
      <c r="J72" s="248" t="s">
        <v>375</v>
      </c>
      <c r="K72" s="248" t="s">
        <v>551</v>
      </c>
      <c r="L72" s="248" t="s">
        <v>453</v>
      </c>
      <c r="M72" s="248" t="s">
        <v>459</v>
      </c>
      <c r="N72" s="248" t="s">
        <v>376</v>
      </c>
      <c r="O72" s="248" t="s">
        <v>418</v>
      </c>
      <c r="P72" s="248" t="s">
        <v>457</v>
      </c>
      <c r="Q72" s="248" t="s">
        <v>420</v>
      </c>
      <c r="R72" s="248" t="s">
        <v>170</v>
      </c>
      <c r="S72" s="248" t="s">
        <v>374</v>
      </c>
      <c r="T72" s="248" t="s">
        <v>550</v>
      </c>
      <c r="U72" s="248" t="s">
        <v>454</v>
      </c>
      <c r="V72" s="248" t="s">
        <v>462</v>
      </c>
      <c r="W72" s="248" t="s">
        <v>377</v>
      </c>
      <c r="X72" s="248" t="s">
        <v>551</v>
      </c>
      <c r="Y72" s="248" t="s">
        <v>455</v>
      </c>
      <c r="Z72" s="248" t="s">
        <v>463</v>
      </c>
      <c r="AA72" s="248" t="s">
        <v>378</v>
      </c>
      <c r="AB72" s="248" t="s">
        <v>419</v>
      </c>
      <c r="AC72" s="248" t="s">
        <v>460</v>
      </c>
      <c r="AD72" s="248" t="s">
        <v>461</v>
      </c>
      <c r="AE72" s="207" t="s">
        <v>476</v>
      </c>
      <c r="AF72" s="248" t="s">
        <v>478</v>
      </c>
      <c r="AG72" s="207" t="s">
        <v>477</v>
      </c>
    </row>
    <row r="73" spans="2:33" s="385" customFormat="1" x14ac:dyDescent="0.45">
      <c r="B73" s="249" t="s">
        <v>140</v>
      </c>
      <c r="C73" s="208"/>
      <c r="D73" s="208"/>
      <c r="E73" s="200" t="s">
        <v>77</v>
      </c>
      <c r="F73" s="200"/>
      <c r="G73" s="200" t="s">
        <v>96</v>
      </c>
      <c r="H73" s="200" t="s">
        <v>96</v>
      </c>
      <c r="I73" s="200" t="s">
        <v>96</v>
      </c>
      <c r="J73" s="200" t="s">
        <v>82</v>
      </c>
      <c r="K73" s="200" t="s">
        <v>96</v>
      </c>
      <c r="L73" s="200" t="s">
        <v>96</v>
      </c>
      <c r="M73" s="200" t="s">
        <v>96</v>
      </c>
      <c r="N73" s="200" t="s">
        <v>82</v>
      </c>
      <c r="O73" s="200" t="s">
        <v>85</v>
      </c>
      <c r="P73" s="270" t="s">
        <v>112</v>
      </c>
      <c r="Q73" s="211" t="s">
        <v>62</v>
      </c>
      <c r="R73" s="208"/>
      <c r="S73" s="200" t="s">
        <v>77</v>
      </c>
      <c r="T73" s="200" t="s">
        <v>96</v>
      </c>
      <c r="U73" s="200" t="s">
        <v>96</v>
      </c>
      <c r="V73" s="200" t="s">
        <v>96</v>
      </c>
      <c r="W73" s="200" t="s">
        <v>82</v>
      </c>
      <c r="X73" s="200" t="s">
        <v>96</v>
      </c>
      <c r="Y73" s="200" t="s">
        <v>96</v>
      </c>
      <c r="Z73" s="200" t="s">
        <v>96</v>
      </c>
      <c r="AA73" s="200" t="s">
        <v>82</v>
      </c>
      <c r="AB73" s="200" t="s">
        <v>85</v>
      </c>
      <c r="AC73" s="270" t="s">
        <v>112</v>
      </c>
      <c r="AD73" s="211" t="s">
        <v>62</v>
      </c>
      <c r="AE73" s="200" t="s">
        <v>85</v>
      </c>
      <c r="AF73" s="270" t="s">
        <v>479</v>
      </c>
      <c r="AG73" s="211" t="s">
        <v>62</v>
      </c>
    </row>
    <row r="74" spans="2:33" s="385" customFormat="1" x14ac:dyDescent="0.45">
      <c r="B74" s="251" t="s">
        <v>540</v>
      </c>
      <c r="C74" s="212" t="s">
        <v>566</v>
      </c>
      <c r="D74" s="212">
        <v>2006</v>
      </c>
      <c r="E74" s="214">
        <v>2</v>
      </c>
      <c r="F74" s="252">
        <v>1.5</v>
      </c>
      <c r="G74" s="276">
        <v>22.4</v>
      </c>
      <c r="H74" s="277">
        <v>0.82</v>
      </c>
      <c r="I74" s="277">
        <v>16</v>
      </c>
      <c r="J74" s="255">
        <v>1220</v>
      </c>
      <c r="K74" s="278">
        <v>25</v>
      </c>
      <c r="L74" s="277">
        <v>0.86</v>
      </c>
      <c r="M74" s="277">
        <v>16.3</v>
      </c>
      <c r="N74" s="255">
        <v>1810</v>
      </c>
      <c r="O74" s="257">
        <v>3068.3999999999996</v>
      </c>
      <c r="P74" s="279">
        <v>4599.2487272727276</v>
      </c>
      <c r="Q74" s="217">
        <v>11.722972944000002</v>
      </c>
      <c r="R74" s="314" t="s">
        <v>567</v>
      </c>
      <c r="S74" s="214">
        <v>2</v>
      </c>
      <c r="T74" s="276">
        <v>22.4</v>
      </c>
      <c r="U74" s="280">
        <v>0.378</v>
      </c>
      <c r="V74" s="277">
        <v>19.100000000000001</v>
      </c>
      <c r="W74" s="257">
        <v>1220</v>
      </c>
      <c r="X74" s="278">
        <v>25</v>
      </c>
      <c r="Y74" s="280">
        <v>0.46600000000000003</v>
      </c>
      <c r="Z74" s="277">
        <v>18.600000000000001</v>
      </c>
      <c r="AA74" s="257">
        <v>1810</v>
      </c>
      <c r="AB74" s="257">
        <v>1043.6960000000001</v>
      </c>
      <c r="AC74" s="281">
        <v>3563.0894545454553</v>
      </c>
      <c r="AD74" s="217">
        <v>8.4725418080000026</v>
      </c>
      <c r="AE74" s="282">
        <v>2024.7039999999995</v>
      </c>
      <c r="AF74" s="283">
        <v>1036.1592727272723</v>
      </c>
      <c r="AG74" s="284">
        <v>3.2504311359999996</v>
      </c>
    </row>
    <row r="75" spans="2:33" s="385" customFormat="1" ht="18.600000000000001" thickBot="1" x14ac:dyDescent="0.5"/>
    <row r="76" spans="2:33" s="385" customFormat="1" x14ac:dyDescent="0.45">
      <c r="R76" s="349" t="s">
        <v>602</v>
      </c>
      <c r="S76" s="350"/>
      <c r="T76" s="350"/>
      <c r="U76" s="350"/>
      <c r="V76" s="350"/>
      <c r="W76" s="351"/>
    </row>
    <row r="77" spans="2:33" s="385" customFormat="1" x14ac:dyDescent="0.45">
      <c r="R77" s="376" t="s">
        <v>618</v>
      </c>
      <c r="S77" s="52"/>
      <c r="T77" s="53"/>
      <c r="U77" s="52" t="s">
        <v>630</v>
      </c>
      <c r="V77" s="52"/>
      <c r="W77" s="352"/>
    </row>
    <row r="78" spans="2:33" s="385" customFormat="1" x14ac:dyDescent="0.45">
      <c r="R78" s="599" t="s">
        <v>619</v>
      </c>
      <c r="S78" s="600"/>
      <c r="T78" s="53"/>
      <c r="U78" s="51" t="s">
        <v>631</v>
      </c>
      <c r="V78" s="52"/>
      <c r="W78" s="352"/>
    </row>
    <row r="79" spans="2:33" s="385" customFormat="1" x14ac:dyDescent="0.45">
      <c r="R79" s="602" t="s">
        <v>632</v>
      </c>
      <c r="S79" s="52" t="s">
        <v>527</v>
      </c>
      <c r="T79" s="53"/>
      <c r="U79" s="377">
        <v>22.4</v>
      </c>
      <c r="V79" s="378"/>
      <c r="W79" s="379"/>
    </row>
    <row r="80" spans="2:33" s="385" customFormat="1" x14ac:dyDescent="0.45">
      <c r="R80" s="602"/>
      <c r="S80" s="52" t="s">
        <v>633</v>
      </c>
      <c r="T80" s="53"/>
      <c r="U80" s="386">
        <v>0.378</v>
      </c>
      <c r="V80" s="378"/>
      <c r="W80" s="379"/>
    </row>
    <row r="81" spans="1:23" s="385" customFormat="1" x14ac:dyDescent="0.45">
      <c r="R81" s="602"/>
      <c r="S81" s="52" t="s">
        <v>465</v>
      </c>
      <c r="T81" s="53"/>
      <c r="U81" s="377">
        <v>19.100000000000001</v>
      </c>
      <c r="V81" s="378"/>
      <c r="W81" s="379"/>
    </row>
    <row r="82" spans="1:23" s="385" customFormat="1" x14ac:dyDescent="0.45">
      <c r="R82" s="602" t="s">
        <v>634</v>
      </c>
      <c r="S82" s="52" t="s">
        <v>527</v>
      </c>
      <c r="T82" s="53"/>
      <c r="U82" s="377">
        <v>12.3</v>
      </c>
      <c r="V82" s="378"/>
      <c r="W82" s="379"/>
    </row>
    <row r="83" spans="1:23" s="385" customFormat="1" x14ac:dyDescent="0.45">
      <c r="R83" s="602"/>
      <c r="S83" s="52" t="s">
        <v>633</v>
      </c>
      <c r="T83" s="53"/>
      <c r="U83" s="386">
        <v>0.32800000000000001</v>
      </c>
      <c r="V83" s="378"/>
      <c r="W83" s="379"/>
    </row>
    <row r="84" spans="1:23" s="385" customFormat="1" x14ac:dyDescent="0.45">
      <c r="R84" s="602"/>
      <c r="S84" s="52" t="s">
        <v>465</v>
      </c>
      <c r="T84" s="53"/>
      <c r="U84" s="377">
        <v>9.5</v>
      </c>
      <c r="V84" s="378"/>
      <c r="W84" s="379"/>
    </row>
    <row r="85" spans="1:23" s="385" customFormat="1" x14ac:dyDescent="0.45">
      <c r="R85" s="602" t="s">
        <v>635</v>
      </c>
      <c r="S85" s="52" t="s">
        <v>527</v>
      </c>
      <c r="T85" s="53"/>
      <c r="U85" s="377">
        <v>25</v>
      </c>
      <c r="V85" s="378"/>
      <c r="W85" s="379"/>
    </row>
    <row r="86" spans="1:23" s="385" customFormat="1" x14ac:dyDescent="0.45">
      <c r="R86" s="602"/>
      <c r="S86" s="52" t="s">
        <v>633</v>
      </c>
      <c r="T86" s="53"/>
      <c r="U86" s="386">
        <v>0.46600000000000003</v>
      </c>
      <c r="V86" s="378"/>
      <c r="W86" s="379"/>
    </row>
    <row r="87" spans="1:23" s="385" customFormat="1" x14ac:dyDescent="0.45">
      <c r="R87" s="602"/>
      <c r="S87" s="52" t="s">
        <v>465</v>
      </c>
      <c r="T87" s="53"/>
      <c r="U87" s="377">
        <v>18.600000000000001</v>
      </c>
      <c r="V87" s="378"/>
      <c r="W87" s="379"/>
    </row>
    <row r="88" spans="1:23" s="385" customFormat="1" x14ac:dyDescent="0.45">
      <c r="R88" s="602" t="s">
        <v>636</v>
      </c>
      <c r="S88" s="52" t="s">
        <v>527</v>
      </c>
      <c r="T88" s="53"/>
      <c r="U88" s="377">
        <v>13.7</v>
      </c>
      <c r="V88" s="378"/>
      <c r="W88" s="379"/>
    </row>
    <row r="89" spans="1:23" s="385" customFormat="1" x14ac:dyDescent="0.45">
      <c r="R89" s="602"/>
      <c r="S89" s="52" t="s">
        <v>633</v>
      </c>
      <c r="T89" s="53"/>
      <c r="U89" s="386">
        <v>0.221</v>
      </c>
      <c r="V89" s="378"/>
      <c r="W89" s="379"/>
    </row>
    <row r="90" spans="1:23" s="385" customFormat="1" x14ac:dyDescent="0.45">
      <c r="R90" s="602"/>
      <c r="S90" s="52" t="s">
        <v>465</v>
      </c>
      <c r="T90" s="53"/>
      <c r="U90" s="377">
        <v>7.2</v>
      </c>
      <c r="V90" s="378"/>
      <c r="W90" s="379"/>
    </row>
    <row r="91" spans="1:23" s="385" customFormat="1" x14ac:dyDescent="0.45">
      <c r="R91" s="602" t="s">
        <v>637</v>
      </c>
      <c r="S91" s="52" t="s">
        <v>527</v>
      </c>
      <c r="T91" s="53"/>
      <c r="U91" s="377">
        <v>25</v>
      </c>
      <c r="V91" s="378"/>
      <c r="W91" s="379"/>
    </row>
    <row r="92" spans="1:23" s="385" customFormat="1" x14ac:dyDescent="0.45">
      <c r="R92" s="602"/>
      <c r="S92" s="52" t="s">
        <v>633</v>
      </c>
      <c r="T92" s="53"/>
      <c r="U92" s="386">
        <v>0.496</v>
      </c>
      <c r="V92" s="378"/>
      <c r="W92" s="379"/>
    </row>
    <row r="93" spans="1:23" s="385" customFormat="1" x14ac:dyDescent="0.45">
      <c r="R93" s="602"/>
      <c r="S93" s="52" t="s">
        <v>465</v>
      </c>
      <c r="T93" s="53"/>
      <c r="U93" s="377">
        <v>27</v>
      </c>
      <c r="V93" s="378"/>
      <c r="W93" s="379"/>
    </row>
    <row r="94" spans="1:23" s="385" customFormat="1" x14ac:dyDescent="0.45"/>
    <row r="95" spans="1:23" s="388" customFormat="1" ht="28.8" x14ac:dyDescent="0.7">
      <c r="A95" s="387" t="s">
        <v>638</v>
      </c>
    </row>
    <row r="96" spans="1:23" s="388" customFormat="1" ht="18.600000000000001" customHeight="1" x14ac:dyDescent="0.7">
      <c r="A96" s="387"/>
    </row>
    <row r="97" spans="1:40" s="388" customFormat="1" ht="18.600000000000001" customHeight="1" x14ac:dyDescent="0.7">
      <c r="A97" s="387"/>
    </row>
    <row r="98" spans="1:40" s="388" customFormat="1" ht="18.600000000000001" customHeight="1" x14ac:dyDescent="0.7">
      <c r="A98" s="387"/>
    </row>
    <row r="99" spans="1:40" s="388" customFormat="1" ht="18.600000000000001" customHeight="1" x14ac:dyDescent="0.7">
      <c r="A99" s="387"/>
    </row>
    <row r="100" spans="1:40" s="388" customFormat="1" ht="18.600000000000001" customHeight="1" thickBot="1" x14ac:dyDescent="0.75">
      <c r="A100" s="387"/>
    </row>
    <row r="101" spans="1:40" s="388" customFormat="1" ht="18.600000000000001" customHeight="1" x14ac:dyDescent="0.7">
      <c r="A101" s="387"/>
      <c r="X101" s="349" t="s">
        <v>602</v>
      </c>
      <c r="Y101" s="350"/>
      <c r="Z101" s="350"/>
      <c r="AA101" s="350"/>
      <c r="AB101" s="350"/>
      <c r="AC101" s="351"/>
    </row>
    <row r="102" spans="1:40" s="388" customFormat="1" ht="18.600000000000001" customHeight="1" x14ac:dyDescent="0.7">
      <c r="A102" s="387"/>
      <c r="X102" s="376" t="s">
        <v>618</v>
      </c>
      <c r="Y102" s="52"/>
      <c r="Z102" s="53"/>
      <c r="AA102" s="52" t="s">
        <v>639</v>
      </c>
      <c r="AB102" s="52"/>
      <c r="AC102" s="352"/>
    </row>
    <row r="103" spans="1:40" s="388" customFormat="1" ht="18.600000000000001" customHeight="1" x14ac:dyDescent="0.7">
      <c r="A103" s="387"/>
      <c r="X103" s="596" t="s">
        <v>640</v>
      </c>
      <c r="Y103" s="389" t="s">
        <v>641</v>
      </c>
      <c r="Z103" s="390"/>
      <c r="AA103" s="53"/>
      <c r="AB103" s="391" t="s">
        <v>642</v>
      </c>
      <c r="AC103" s="392"/>
      <c r="AE103" s="393" t="s">
        <v>643</v>
      </c>
      <c r="AF103" s="61"/>
    </row>
    <row r="104" spans="1:40" s="388" customFormat="1" ht="18.600000000000001" customHeight="1" x14ac:dyDescent="0.7">
      <c r="A104" s="387"/>
      <c r="X104" s="597"/>
      <c r="Y104" s="52" t="s">
        <v>644</v>
      </c>
      <c r="Z104" s="52"/>
      <c r="AA104" s="394"/>
      <c r="AB104" s="395" t="s">
        <v>645</v>
      </c>
      <c r="AC104" s="396"/>
      <c r="AE104" s="397" t="s">
        <v>646</v>
      </c>
      <c r="AF104" s="398"/>
    </row>
    <row r="105" spans="1:40" s="388" customFormat="1" ht="18.600000000000001" customHeight="1" x14ac:dyDescent="0.7">
      <c r="A105" s="387"/>
      <c r="X105" s="597"/>
      <c r="Y105" s="52" t="s">
        <v>647</v>
      </c>
      <c r="Z105" s="52"/>
      <c r="AA105" s="399"/>
      <c r="AB105" s="395" t="s">
        <v>648</v>
      </c>
      <c r="AC105" s="396"/>
    </row>
    <row r="106" spans="1:40" s="388" customFormat="1" ht="18.600000000000001" customHeight="1" x14ac:dyDescent="0.7">
      <c r="A106" s="387"/>
      <c r="X106" s="598"/>
      <c r="Y106" s="52" t="s">
        <v>649</v>
      </c>
      <c r="Z106" s="52"/>
      <c r="AA106" s="394"/>
      <c r="AB106" s="391" t="s">
        <v>650</v>
      </c>
      <c r="AC106" s="396"/>
    </row>
    <row r="107" spans="1:40" s="388" customFormat="1" ht="18.600000000000001" customHeight="1" x14ac:dyDescent="0.7">
      <c r="A107" s="387"/>
    </row>
    <row r="108" spans="1:40" s="388" customFormat="1" x14ac:dyDescent="0.45">
      <c r="B108" s="588" t="s">
        <v>141</v>
      </c>
      <c r="C108" s="246" t="s">
        <v>76</v>
      </c>
      <c r="D108" s="242"/>
      <c r="E108" s="242"/>
      <c r="F108" s="242"/>
      <c r="G108" s="242"/>
      <c r="H108" s="242"/>
      <c r="I108" s="242"/>
      <c r="J108" s="242"/>
      <c r="K108" s="242"/>
      <c r="L108" s="242"/>
      <c r="M108" s="242"/>
      <c r="N108" s="242"/>
      <c r="O108" s="242"/>
      <c r="P108" s="242"/>
      <c r="Q108" s="242"/>
      <c r="R108" s="242"/>
      <c r="S108" s="242"/>
      <c r="T108" s="242"/>
      <c r="U108" s="242"/>
      <c r="V108" s="242"/>
      <c r="W108" s="240"/>
      <c r="X108" s="246" t="s">
        <v>87</v>
      </c>
      <c r="Y108" s="242"/>
      <c r="Z108" s="242"/>
      <c r="AA108" s="242"/>
      <c r="AB108" s="242"/>
      <c r="AC108" s="242"/>
      <c r="AD108" s="242"/>
      <c r="AE108" s="242"/>
      <c r="AF108" s="242"/>
      <c r="AG108" s="242"/>
      <c r="AH108" s="242"/>
      <c r="AI108" s="242"/>
      <c r="AJ108" s="242"/>
      <c r="AK108" s="242"/>
      <c r="AL108" s="240"/>
      <c r="AM108" s="246" t="s">
        <v>94</v>
      </c>
      <c r="AN108" s="240"/>
    </row>
    <row r="109" spans="1:40" s="388" customFormat="1" ht="64.8" x14ac:dyDescent="0.45">
      <c r="B109" s="589"/>
      <c r="C109" s="248" t="s">
        <v>572</v>
      </c>
      <c r="D109" s="248" t="s">
        <v>573</v>
      </c>
      <c r="E109" s="248" t="s">
        <v>574</v>
      </c>
      <c r="F109" s="248" t="s">
        <v>86</v>
      </c>
      <c r="G109" s="267" t="s">
        <v>146</v>
      </c>
      <c r="H109" s="267" t="s">
        <v>492</v>
      </c>
      <c r="I109" s="290" t="s">
        <v>651</v>
      </c>
      <c r="J109" s="291" t="s">
        <v>576</v>
      </c>
      <c r="K109" s="291" t="s">
        <v>577</v>
      </c>
      <c r="L109" s="291" t="s">
        <v>578</v>
      </c>
      <c r="M109" s="248" t="s">
        <v>488</v>
      </c>
      <c r="N109" s="248" t="s">
        <v>579</v>
      </c>
      <c r="O109" s="248" t="s">
        <v>492</v>
      </c>
      <c r="P109" s="248" t="s">
        <v>95</v>
      </c>
      <c r="Q109" s="248" t="s">
        <v>80</v>
      </c>
      <c r="R109" s="248" t="s">
        <v>142</v>
      </c>
      <c r="S109" s="248" t="s">
        <v>493</v>
      </c>
      <c r="T109" s="248" t="s">
        <v>470</v>
      </c>
      <c r="U109" s="248" t="s">
        <v>481</v>
      </c>
      <c r="V109" s="248" t="s">
        <v>4</v>
      </c>
      <c r="W109" s="248" t="s">
        <v>518</v>
      </c>
      <c r="X109" s="248" t="s">
        <v>572</v>
      </c>
      <c r="Y109" s="248" t="s">
        <v>97</v>
      </c>
      <c r="Z109" s="267" t="s">
        <v>146</v>
      </c>
      <c r="AA109" s="291" t="s">
        <v>577</v>
      </c>
      <c r="AB109" s="291" t="s">
        <v>578</v>
      </c>
      <c r="AC109" s="248" t="s">
        <v>488</v>
      </c>
      <c r="AD109" s="248" t="s">
        <v>408</v>
      </c>
      <c r="AE109" s="248" t="s">
        <v>492</v>
      </c>
      <c r="AF109" s="248" t="s">
        <v>95</v>
      </c>
      <c r="AG109" s="248" t="s">
        <v>80</v>
      </c>
      <c r="AH109" s="248" t="s">
        <v>143</v>
      </c>
      <c r="AI109" s="248" t="s">
        <v>480</v>
      </c>
      <c r="AJ109" s="248" t="s">
        <v>468</v>
      </c>
      <c r="AK109" s="248" t="s">
        <v>4</v>
      </c>
      <c r="AL109" s="248" t="s">
        <v>518</v>
      </c>
      <c r="AM109" s="248" t="s">
        <v>482</v>
      </c>
      <c r="AN109" s="248" t="s">
        <v>4</v>
      </c>
    </row>
    <row r="110" spans="1:40" s="388" customFormat="1" x14ac:dyDescent="0.45">
      <c r="B110" s="208" t="s">
        <v>140</v>
      </c>
      <c r="C110" s="208"/>
      <c r="D110" s="208"/>
      <c r="E110" s="208"/>
      <c r="F110" s="200" t="s">
        <v>77</v>
      </c>
      <c r="G110" s="208"/>
      <c r="H110" s="208"/>
      <c r="I110" s="247"/>
      <c r="J110" s="247"/>
      <c r="K110" s="247"/>
      <c r="L110" s="247"/>
      <c r="M110" s="200" t="s">
        <v>489</v>
      </c>
      <c r="N110" s="249" t="str">
        <f>"/(台・h)"</f>
        <v>/(台・h)</v>
      </c>
      <c r="O110" s="249"/>
      <c r="P110" s="200" t="s">
        <v>79</v>
      </c>
      <c r="Q110" s="200" t="s">
        <v>81</v>
      </c>
      <c r="R110" s="200" t="s">
        <v>82</v>
      </c>
      <c r="S110" s="249" t="s">
        <v>494</v>
      </c>
      <c r="T110" s="270" t="str">
        <f>"/年"</f>
        <v>/年</v>
      </c>
      <c r="U110" s="211" t="s">
        <v>62</v>
      </c>
      <c r="V110" s="211" t="s">
        <v>490</v>
      </c>
      <c r="W110" s="200" t="s">
        <v>485</v>
      </c>
      <c r="X110" s="211"/>
      <c r="Y110" s="200" t="s">
        <v>77</v>
      </c>
      <c r="Z110" s="211"/>
      <c r="AA110" s="247"/>
      <c r="AB110" s="247"/>
      <c r="AC110" s="208" t="s">
        <v>489</v>
      </c>
      <c r="AD110" s="249" t="str">
        <f>"/(台・h)"</f>
        <v>/(台・h)</v>
      </c>
      <c r="AE110" s="249"/>
      <c r="AF110" s="200" t="s">
        <v>79</v>
      </c>
      <c r="AG110" s="200" t="s">
        <v>81</v>
      </c>
      <c r="AH110" s="200" t="s">
        <v>82</v>
      </c>
      <c r="AI110" s="270" t="str">
        <f>"/年"</f>
        <v>/年</v>
      </c>
      <c r="AJ110" s="211" t="s">
        <v>62</v>
      </c>
      <c r="AK110" s="211" t="s">
        <v>490</v>
      </c>
      <c r="AL110" s="200" t="s">
        <v>485</v>
      </c>
      <c r="AM110" s="211" t="s">
        <v>62</v>
      </c>
      <c r="AN110" s="211" t="s">
        <v>490</v>
      </c>
    </row>
    <row r="111" spans="1:40" s="388" customFormat="1" x14ac:dyDescent="0.45">
      <c r="B111" s="292" t="s">
        <v>540</v>
      </c>
      <c r="C111" s="293" t="s">
        <v>584</v>
      </c>
      <c r="D111" s="293" t="s">
        <v>581</v>
      </c>
      <c r="E111" s="293">
        <v>2008</v>
      </c>
      <c r="F111" s="214">
        <v>2</v>
      </c>
      <c r="G111" s="400" t="s">
        <v>0</v>
      </c>
      <c r="H111" s="294" t="s">
        <v>652</v>
      </c>
      <c r="I111" s="295">
        <v>1.5</v>
      </c>
      <c r="J111" s="295" t="s">
        <v>653</v>
      </c>
      <c r="K111" s="292">
        <v>7.2</v>
      </c>
      <c r="L111" s="292" t="s">
        <v>582</v>
      </c>
      <c r="M111" s="296">
        <f>7.2/1.64</f>
        <v>4.3902439024390247</v>
      </c>
      <c r="N111" s="214">
        <v>1.64</v>
      </c>
      <c r="O111" s="297">
        <f>AR111</f>
        <v>0</v>
      </c>
      <c r="P111" s="214">
        <v>14</v>
      </c>
      <c r="Q111" s="214">
        <v>365</v>
      </c>
      <c r="R111" s="257">
        <v>5110</v>
      </c>
      <c r="S111" s="219">
        <v>71.784000000000006</v>
      </c>
      <c r="T111" s="219">
        <v>25601.1</v>
      </c>
      <c r="U111" s="217">
        <v>11.6997027</v>
      </c>
      <c r="V111" s="298" t="s">
        <v>653</v>
      </c>
      <c r="W111" s="279">
        <v>6.5852685486000002</v>
      </c>
      <c r="X111" s="299" t="s">
        <v>583</v>
      </c>
      <c r="Y111" s="214">
        <v>2</v>
      </c>
      <c r="Z111" s="400" t="s">
        <v>0</v>
      </c>
      <c r="AA111" s="292">
        <v>7.2</v>
      </c>
      <c r="AB111" s="292" t="s">
        <v>582</v>
      </c>
      <c r="AC111" s="296">
        <f>7.2/1.64</f>
        <v>4.3902439024390247</v>
      </c>
      <c r="AD111" s="281">
        <v>1.64</v>
      </c>
      <c r="AE111" s="297" t="s">
        <v>652</v>
      </c>
      <c r="AF111" s="300">
        <v>14</v>
      </c>
      <c r="AG111" s="301">
        <v>365</v>
      </c>
      <c r="AH111" s="257">
        <v>5110</v>
      </c>
      <c r="AI111" s="257">
        <v>16760.8</v>
      </c>
      <c r="AJ111" s="217">
        <v>7.6596855999999995</v>
      </c>
      <c r="AK111" s="298" t="s">
        <v>653</v>
      </c>
      <c r="AL111" s="279">
        <v>4.3113135408000005</v>
      </c>
      <c r="AM111" s="284">
        <v>3.8298427999999998</v>
      </c>
      <c r="AN111" s="298" t="s">
        <v>653</v>
      </c>
    </row>
    <row r="112" spans="1:40" s="388" customFormat="1" x14ac:dyDescent="0.45"/>
    <row r="113" spans="1:1" s="388" customFormat="1" x14ac:dyDescent="0.45"/>
    <row r="114" spans="1:1" s="388" customFormat="1" x14ac:dyDescent="0.45"/>
    <row r="115" spans="1:1" s="388" customFormat="1" x14ac:dyDescent="0.45"/>
    <row r="116" spans="1:1" s="388" customFormat="1" x14ac:dyDescent="0.45"/>
    <row r="117" spans="1:1" s="388" customFormat="1" x14ac:dyDescent="0.45"/>
    <row r="118" spans="1:1" s="388" customFormat="1" x14ac:dyDescent="0.45"/>
    <row r="119" spans="1:1" s="388" customFormat="1" x14ac:dyDescent="0.45"/>
    <row r="120" spans="1:1" s="388" customFormat="1" x14ac:dyDescent="0.45"/>
    <row r="121" spans="1:1" s="388" customFormat="1" x14ac:dyDescent="0.45"/>
    <row r="122" spans="1:1" s="388" customFormat="1" x14ac:dyDescent="0.45"/>
    <row r="123" spans="1:1" s="388" customFormat="1" x14ac:dyDescent="0.45"/>
    <row r="124" spans="1:1" s="388" customFormat="1" x14ac:dyDescent="0.45"/>
    <row r="125" spans="1:1" s="388" customFormat="1" x14ac:dyDescent="0.45"/>
    <row r="126" spans="1:1" s="388" customFormat="1" x14ac:dyDescent="0.45"/>
    <row r="127" spans="1:1" s="402" customFormat="1" ht="28.8" x14ac:dyDescent="0.7">
      <c r="A127" s="401" t="s">
        <v>585</v>
      </c>
    </row>
    <row r="128" spans="1:1" s="402" customFormat="1" x14ac:dyDescent="0.45"/>
    <row r="129" spans="2:32" s="402" customFormat="1" x14ac:dyDescent="0.45"/>
    <row r="130" spans="2:32" s="402" customFormat="1" x14ac:dyDescent="0.45"/>
    <row r="131" spans="2:32" s="402" customFormat="1" x14ac:dyDescent="0.45"/>
    <row r="132" spans="2:32" s="402" customFormat="1" x14ac:dyDescent="0.45"/>
    <row r="133" spans="2:32" s="402" customFormat="1" x14ac:dyDescent="0.45"/>
    <row r="134" spans="2:32" s="402" customFormat="1" x14ac:dyDescent="0.45"/>
    <row r="135" spans="2:32" s="402" customFormat="1" x14ac:dyDescent="0.45"/>
    <row r="136" spans="2:32" s="402" customFormat="1" x14ac:dyDescent="0.45"/>
    <row r="137" spans="2:32" s="402" customFormat="1" x14ac:dyDescent="0.45"/>
    <row r="138" spans="2:32" s="402" customFormat="1" x14ac:dyDescent="0.45"/>
    <row r="139" spans="2:32" s="402" customFormat="1" x14ac:dyDescent="0.45"/>
    <row r="140" spans="2:32" s="402" customFormat="1" x14ac:dyDescent="0.45"/>
    <row r="141" spans="2:32" s="402" customFormat="1" x14ac:dyDescent="0.45">
      <c r="B141" s="590" t="s">
        <v>141</v>
      </c>
      <c r="C141" s="246" t="s">
        <v>76</v>
      </c>
      <c r="D141" s="242"/>
      <c r="E141" s="242"/>
      <c r="F141" s="242"/>
      <c r="G141" s="242"/>
      <c r="H141" s="312"/>
      <c r="I141" s="242"/>
      <c r="J141" s="242"/>
      <c r="K141" s="242"/>
      <c r="L141" s="242"/>
      <c r="M141" s="242"/>
      <c r="N141" s="242"/>
      <c r="O141" s="242"/>
      <c r="P141" s="240"/>
      <c r="Q141" s="246" t="s">
        <v>87</v>
      </c>
      <c r="R141" s="242"/>
      <c r="S141" s="242"/>
      <c r="T141" s="242"/>
      <c r="U141" s="242"/>
      <c r="V141" s="242"/>
      <c r="W141" s="242"/>
      <c r="X141" s="242"/>
      <c r="Y141" s="242"/>
      <c r="Z141" s="242"/>
      <c r="AA141" s="242"/>
      <c r="AB141" s="242"/>
      <c r="AC141" s="242"/>
      <c r="AD141" s="240"/>
      <c r="AE141" s="246" t="s">
        <v>94</v>
      </c>
      <c r="AF141" s="240"/>
    </row>
    <row r="142" spans="2:32" s="402" customFormat="1" ht="54" x14ac:dyDescent="0.45">
      <c r="B142" s="591"/>
      <c r="C142" s="248" t="s">
        <v>170</v>
      </c>
      <c r="D142" s="248" t="s">
        <v>402</v>
      </c>
      <c r="E142" s="248" t="s">
        <v>398</v>
      </c>
      <c r="F142" s="592" t="s">
        <v>403</v>
      </c>
      <c r="G142" s="593"/>
      <c r="H142" s="313" t="s">
        <v>400</v>
      </c>
      <c r="I142" s="248" t="s">
        <v>397</v>
      </c>
      <c r="J142" s="248" t="s">
        <v>401</v>
      </c>
      <c r="K142" s="248" t="s">
        <v>404</v>
      </c>
      <c r="L142" s="248" t="s">
        <v>415</v>
      </c>
      <c r="M142" s="248" t="s">
        <v>587</v>
      </c>
      <c r="N142" s="248" t="s">
        <v>416</v>
      </c>
      <c r="O142" s="248" t="s">
        <v>466</v>
      </c>
      <c r="P142" s="248" t="s">
        <v>474</v>
      </c>
      <c r="Q142" s="248" t="s">
        <v>170</v>
      </c>
      <c r="R142" s="248" t="s">
        <v>410</v>
      </c>
      <c r="S142" s="248" t="s">
        <v>398</v>
      </c>
      <c r="T142" s="592" t="s">
        <v>403</v>
      </c>
      <c r="U142" s="593"/>
      <c r="V142" s="248" t="s">
        <v>414</v>
      </c>
      <c r="W142" s="248" t="s">
        <v>397</v>
      </c>
      <c r="X142" s="248" t="s">
        <v>413</v>
      </c>
      <c r="Y142" s="248" t="s">
        <v>412</v>
      </c>
      <c r="Z142" s="248" t="s">
        <v>411</v>
      </c>
      <c r="AA142" s="248" t="s">
        <v>587</v>
      </c>
      <c r="AB142" s="248" t="s">
        <v>417</v>
      </c>
      <c r="AC142" s="248" t="s">
        <v>469</v>
      </c>
      <c r="AD142" s="248" t="s">
        <v>475</v>
      </c>
      <c r="AE142" s="248" t="s">
        <v>379</v>
      </c>
      <c r="AF142" s="248" t="s">
        <v>380</v>
      </c>
    </row>
    <row r="143" spans="2:32" s="402" customFormat="1" x14ac:dyDescent="0.45">
      <c r="B143" s="249" t="s">
        <v>140</v>
      </c>
      <c r="C143" s="208"/>
      <c r="D143" s="208"/>
      <c r="E143" s="208"/>
      <c r="F143" s="594"/>
      <c r="G143" s="595"/>
      <c r="H143" s="200" t="s">
        <v>201</v>
      </c>
      <c r="I143" s="208"/>
      <c r="J143" s="208" t="s">
        <v>204</v>
      </c>
      <c r="K143" s="208" t="s">
        <v>96</v>
      </c>
      <c r="L143" s="208"/>
      <c r="M143" s="208"/>
      <c r="N143" s="208" t="s">
        <v>399</v>
      </c>
      <c r="O143" s="200" t="s">
        <v>85</v>
      </c>
      <c r="P143" s="211" t="s">
        <v>62</v>
      </c>
      <c r="Q143" s="211"/>
      <c r="R143" s="208"/>
      <c r="S143" s="208"/>
      <c r="T143" s="594"/>
      <c r="U143" s="595"/>
      <c r="V143" s="208"/>
      <c r="W143" s="208"/>
      <c r="X143" s="208"/>
      <c r="Y143" s="208" t="s">
        <v>96</v>
      </c>
      <c r="Z143" s="208"/>
      <c r="AA143" s="208"/>
      <c r="AB143" s="208" t="s">
        <v>399</v>
      </c>
      <c r="AC143" s="200" t="s">
        <v>85</v>
      </c>
      <c r="AD143" s="211" t="s">
        <v>62</v>
      </c>
      <c r="AE143" s="200" t="s">
        <v>85</v>
      </c>
      <c r="AF143" s="211" t="s">
        <v>62</v>
      </c>
    </row>
    <row r="144" spans="2:32" s="402" customFormat="1" x14ac:dyDescent="0.45">
      <c r="B144" s="251" t="s">
        <v>540</v>
      </c>
      <c r="C144" s="314" t="s">
        <v>654</v>
      </c>
      <c r="D144" s="315">
        <v>2</v>
      </c>
      <c r="E144" s="215" t="s">
        <v>589</v>
      </c>
      <c r="F144" s="584" t="s">
        <v>655</v>
      </c>
      <c r="G144" s="585"/>
      <c r="H144" s="215">
        <v>7.5</v>
      </c>
      <c r="I144" s="215" t="s">
        <v>390</v>
      </c>
      <c r="J144" s="316">
        <v>0.88700000000000001</v>
      </c>
      <c r="K144" s="317">
        <v>8.4554678692220975</v>
      </c>
      <c r="L144" s="296">
        <v>0.8</v>
      </c>
      <c r="M144" s="218" t="s">
        <v>264</v>
      </c>
      <c r="N144" s="315">
        <v>2560</v>
      </c>
      <c r="O144" s="257">
        <v>34633.596392333711</v>
      </c>
      <c r="P144" s="217">
        <v>15.827553551296505</v>
      </c>
      <c r="Q144" s="299" t="s">
        <v>656</v>
      </c>
      <c r="R144" s="315">
        <v>2</v>
      </c>
      <c r="S144" s="215" t="s">
        <v>487</v>
      </c>
      <c r="T144" s="586" t="s">
        <v>657</v>
      </c>
      <c r="U144" s="587"/>
      <c r="V144" s="212">
        <v>7.5</v>
      </c>
      <c r="W144" s="215" t="s">
        <v>390</v>
      </c>
      <c r="X144" s="316">
        <v>0.90400000000000003</v>
      </c>
      <c r="Y144" s="317">
        <v>8.2964601769911503</v>
      </c>
      <c r="Z144" s="318">
        <v>0.8</v>
      </c>
      <c r="AA144" s="218" t="s">
        <v>328</v>
      </c>
      <c r="AB144" s="319">
        <v>2560</v>
      </c>
      <c r="AC144" s="257">
        <v>27185.840707964606</v>
      </c>
      <c r="AD144" s="217">
        <v>12.423929203539824</v>
      </c>
      <c r="AE144" s="320">
        <v>7447.7556843691054</v>
      </c>
      <c r="AF144" s="284">
        <v>3.403624347756681</v>
      </c>
    </row>
    <row r="145" spans="1:1" s="402" customFormat="1" x14ac:dyDescent="0.45"/>
    <row r="146" spans="1:1" s="402" customFormat="1" x14ac:dyDescent="0.45"/>
    <row r="147" spans="1:1" s="402" customFormat="1" x14ac:dyDescent="0.45"/>
    <row r="148" spans="1:1" s="402" customFormat="1" x14ac:dyDescent="0.45"/>
    <row r="149" spans="1:1" s="402" customFormat="1" x14ac:dyDescent="0.45"/>
    <row r="150" spans="1:1" s="402" customFormat="1" x14ac:dyDescent="0.45"/>
    <row r="151" spans="1:1" s="402" customFormat="1" x14ac:dyDescent="0.45"/>
    <row r="152" spans="1:1" s="180" customFormat="1" ht="28.8" x14ac:dyDescent="0.7">
      <c r="A152" s="403" t="s">
        <v>495</v>
      </c>
    </row>
    <row r="153" spans="1:1" s="180" customFormat="1" x14ac:dyDescent="0.45"/>
    <row r="154" spans="1:1" s="180" customFormat="1" x14ac:dyDescent="0.45"/>
    <row r="155" spans="1:1" s="180" customFormat="1" x14ac:dyDescent="0.45"/>
    <row r="156" spans="1:1" s="180" customFormat="1" x14ac:dyDescent="0.45"/>
    <row r="157" spans="1:1" s="180" customFormat="1" x14ac:dyDescent="0.45"/>
    <row r="158" spans="1:1" s="180" customFormat="1" x14ac:dyDescent="0.45"/>
    <row r="159" spans="1:1" s="180" customFormat="1" x14ac:dyDescent="0.45"/>
    <row r="160" spans="1:1" s="180" customFormat="1" x14ac:dyDescent="0.45"/>
    <row r="161" spans="2:23" s="180" customFormat="1" x14ac:dyDescent="0.45"/>
    <row r="162" spans="2:23" s="180" customFormat="1" x14ac:dyDescent="0.45"/>
    <row r="163" spans="2:23" s="180" customFormat="1" x14ac:dyDescent="0.45"/>
    <row r="164" spans="2:23" s="180" customFormat="1" x14ac:dyDescent="0.45"/>
    <row r="165" spans="2:23" s="180" customFormat="1" x14ac:dyDescent="0.45"/>
    <row r="166" spans="2:23" s="180" customFormat="1" x14ac:dyDescent="0.45"/>
    <row r="167" spans="2:23" s="180" customFormat="1" x14ac:dyDescent="0.45">
      <c r="B167" s="208"/>
      <c r="C167" s="246" t="s">
        <v>76</v>
      </c>
      <c r="D167" s="242"/>
      <c r="E167" s="242"/>
      <c r="F167" s="242"/>
      <c r="G167" s="242"/>
      <c r="H167" s="242"/>
      <c r="I167" s="242"/>
      <c r="J167" s="242"/>
      <c r="K167" s="240"/>
      <c r="L167" s="246" t="s">
        <v>87</v>
      </c>
      <c r="M167" s="242"/>
      <c r="N167" s="242"/>
      <c r="O167" s="242"/>
      <c r="P167" s="242"/>
      <c r="Q167" s="242"/>
      <c r="R167" s="242"/>
      <c r="S167" s="242"/>
      <c r="T167" s="240"/>
      <c r="U167" s="204" t="s">
        <v>94</v>
      </c>
      <c r="V167" s="204"/>
      <c r="W167" s="236"/>
    </row>
    <row r="168" spans="2:23" s="180" customFormat="1" ht="32.4" x14ac:dyDescent="0.45">
      <c r="B168" s="208" t="s">
        <v>141</v>
      </c>
      <c r="C168" s="205" t="s">
        <v>170</v>
      </c>
      <c r="D168" s="205" t="s">
        <v>501</v>
      </c>
      <c r="E168" s="205" t="s">
        <v>503</v>
      </c>
      <c r="F168" s="205" t="s">
        <v>497</v>
      </c>
      <c r="G168" s="205" t="s">
        <v>498</v>
      </c>
      <c r="H168" s="205" t="s">
        <v>500</v>
      </c>
      <c r="I168" s="205" t="s">
        <v>510</v>
      </c>
      <c r="J168" s="205" t="s">
        <v>466</v>
      </c>
      <c r="K168" s="205" t="s">
        <v>467</v>
      </c>
      <c r="L168" s="205" t="s">
        <v>170</v>
      </c>
      <c r="M168" s="205" t="s">
        <v>501</v>
      </c>
      <c r="N168" s="205" t="s">
        <v>503</v>
      </c>
      <c r="O168" s="205" t="s">
        <v>497</v>
      </c>
      <c r="P168" s="205" t="s">
        <v>498</v>
      </c>
      <c r="Q168" s="205" t="s">
        <v>500</v>
      </c>
      <c r="R168" s="205" t="s">
        <v>510</v>
      </c>
      <c r="S168" s="205" t="s">
        <v>466</v>
      </c>
      <c r="T168" s="205" t="s">
        <v>468</v>
      </c>
      <c r="U168" s="207" t="s">
        <v>476</v>
      </c>
      <c r="V168" s="207" t="s">
        <v>477</v>
      </c>
      <c r="W168" s="404" t="s">
        <v>526</v>
      </c>
    </row>
    <row r="169" spans="2:23" s="180" customFormat="1" x14ac:dyDescent="0.45">
      <c r="B169" s="208" t="s">
        <v>140</v>
      </c>
      <c r="C169" s="208"/>
      <c r="D169" s="208" t="s">
        <v>658</v>
      </c>
      <c r="E169" s="208"/>
      <c r="F169" s="200" t="s">
        <v>659</v>
      </c>
      <c r="G169" s="200" t="s">
        <v>659</v>
      </c>
      <c r="H169" s="200" t="s">
        <v>660</v>
      </c>
      <c r="I169" s="200" t="s">
        <v>82</v>
      </c>
      <c r="J169" s="200" t="s">
        <v>85</v>
      </c>
      <c r="K169" s="211" t="s">
        <v>62</v>
      </c>
      <c r="L169" s="211"/>
      <c r="M169" s="208" t="s">
        <v>658</v>
      </c>
      <c r="N169" s="208"/>
      <c r="O169" s="200" t="s">
        <v>659</v>
      </c>
      <c r="P169" s="200" t="s">
        <v>659</v>
      </c>
      <c r="Q169" s="200" t="s">
        <v>660</v>
      </c>
      <c r="R169" s="200" t="s">
        <v>82</v>
      </c>
      <c r="S169" s="200" t="s">
        <v>85</v>
      </c>
      <c r="T169" s="211" t="s">
        <v>62</v>
      </c>
      <c r="U169" s="200" t="s">
        <v>85</v>
      </c>
      <c r="V169" s="211" t="s">
        <v>62</v>
      </c>
      <c r="W169" s="236"/>
    </row>
    <row r="170" spans="2:23" s="180" customFormat="1" ht="54" x14ac:dyDescent="0.45">
      <c r="B170" s="405" t="s">
        <v>540</v>
      </c>
      <c r="C170" s="406" t="s">
        <v>661</v>
      </c>
      <c r="D170" s="406">
        <v>100</v>
      </c>
      <c r="E170" s="406" t="s">
        <v>662</v>
      </c>
      <c r="F170" s="406">
        <v>300</v>
      </c>
      <c r="G170" s="406">
        <v>1500</v>
      </c>
      <c r="H170" s="407">
        <v>0.4</v>
      </c>
      <c r="I170" s="406">
        <v>8760</v>
      </c>
      <c r="J170" s="408">
        <v>4730.3999999999996</v>
      </c>
      <c r="K170" s="409">
        <v>2.1617927999999997</v>
      </c>
      <c r="L170" s="406" t="s">
        <v>663</v>
      </c>
      <c r="M170" s="406">
        <v>100</v>
      </c>
      <c r="N170" s="406" t="s">
        <v>662</v>
      </c>
      <c r="O170" s="406">
        <v>100</v>
      </c>
      <c r="P170" s="406">
        <v>1000</v>
      </c>
      <c r="Q170" s="407">
        <v>0.4</v>
      </c>
      <c r="R170" s="410">
        <v>8760</v>
      </c>
      <c r="S170" s="408">
        <v>2277.6</v>
      </c>
      <c r="T170" s="409">
        <v>1.0408632</v>
      </c>
      <c r="U170" s="411">
        <v>2452.7999999999997</v>
      </c>
      <c r="V170" s="409">
        <v>1.1209295999999997</v>
      </c>
      <c r="W170" s="412" t="b">
        <v>0</v>
      </c>
    </row>
    <row r="171" spans="2:23" s="180" customFormat="1" x14ac:dyDescent="0.45"/>
    <row r="172" spans="2:23" s="180" customFormat="1" x14ac:dyDescent="0.45"/>
    <row r="173" spans="2:23" s="180" customFormat="1" x14ac:dyDescent="0.45"/>
    <row r="174" spans="2:23" s="180" customFormat="1" x14ac:dyDescent="0.45"/>
    <row r="175" spans="2:23" s="180" customFormat="1" x14ac:dyDescent="0.45"/>
    <row r="176" spans="2:23" s="180" customFormat="1" x14ac:dyDescent="0.45"/>
    <row r="177" s="180" customFormat="1" x14ac:dyDescent="0.45"/>
    <row r="178" s="180" customFormat="1" x14ac:dyDescent="0.45"/>
    <row r="179" s="180" customFormat="1" x14ac:dyDescent="0.45"/>
  </sheetData>
  <sheetProtection algorithmName="SHA-512" hashValue="cxypfOWewPm6o8uP/+idIU04yJCNNK0iDUJYrnSfEi6zd3Dn6wfWfFWAixCLsRvgl6H5C9XX2wmnHo4Di8wsHA==" saltValue="UjXPgDFDaEV5ztiUDe2hWQ==" spinCount="100000" sheet="1" objects="1" scenarios="1" formatCells="0" formatColumns="0" formatRows="0"/>
  <mergeCells count="26">
    <mergeCell ref="B70:B72"/>
    <mergeCell ref="R78:S78"/>
    <mergeCell ref="B11:B12"/>
    <mergeCell ref="L19:M19"/>
    <mergeCell ref="L20:M20"/>
    <mergeCell ref="L21:M21"/>
    <mergeCell ref="O35:R35"/>
    <mergeCell ref="B39:B41"/>
    <mergeCell ref="X103:X106"/>
    <mergeCell ref="O47:P47"/>
    <mergeCell ref="O48:P48"/>
    <mergeCell ref="O49:P49"/>
    <mergeCell ref="O50:P50"/>
    <mergeCell ref="R79:R81"/>
    <mergeCell ref="R82:R84"/>
    <mergeCell ref="R85:R87"/>
    <mergeCell ref="R88:R90"/>
    <mergeCell ref="R91:R93"/>
    <mergeCell ref="F144:G144"/>
    <mergeCell ref="T144:U144"/>
    <mergeCell ref="B108:B109"/>
    <mergeCell ref="B141:B142"/>
    <mergeCell ref="F142:G142"/>
    <mergeCell ref="T142:U142"/>
    <mergeCell ref="F143:G143"/>
    <mergeCell ref="T143:U143"/>
  </mergeCells>
  <phoneticPr fontId="5"/>
  <conditionalFormatting sqref="C38">
    <cfRule type="expression" dxfId="108" priority="8">
      <formula>#REF!="なし"</formula>
    </cfRule>
  </conditionalFormatting>
  <conditionalFormatting sqref="C36:C37">
    <cfRule type="expression" dxfId="107" priority="7">
      <formula>#REF!="なし"</formula>
    </cfRule>
  </conditionalFormatting>
  <conditionalFormatting sqref="C67:C68">
    <cfRule type="expression" dxfId="106" priority="6">
      <formula>#REF!="なし"</formula>
    </cfRule>
  </conditionalFormatting>
  <conditionalFormatting sqref="I14">
    <cfRule type="expression" dxfId="105" priority="5">
      <formula>$H14&lt;&gt;"○"</formula>
    </cfRule>
  </conditionalFormatting>
  <conditionalFormatting sqref="G111">
    <cfRule type="expression" dxfId="104" priority="4">
      <formula>$D$1="なし"</formula>
    </cfRule>
  </conditionalFormatting>
  <conditionalFormatting sqref="Z111">
    <cfRule type="expression" dxfId="103" priority="3">
      <formula>$D$1="なし"</formula>
    </cfRule>
  </conditionalFormatting>
  <conditionalFormatting sqref="D63">
    <cfRule type="expression" dxfId="102" priority="1">
      <formula>$D$1="なし"</formula>
    </cfRule>
  </conditionalFormatting>
  <conditionalFormatting sqref="E63">
    <cfRule type="expression" dxfId="101" priority="2">
      <formula>$F$1="なし"</formula>
    </cfRule>
  </conditionalFormatting>
  <dataValidations count="10">
    <dataValidation type="list" allowBlank="1" showInputMessage="1" showErrorMessage="1" sqref="D63" xr:uid="{00000000-0002-0000-0100-000000000000}">
      <formula1>"都市ガス,液化石油ガス（LPG）"</formula1>
    </dataValidation>
    <dataValidation type="list" allowBlank="1" showInputMessage="1" showErrorMessage="1" sqref="E63" xr:uid="{00000000-0002-0000-0100-000001000000}">
      <formula1>"13A,12A,LP"</formula1>
    </dataValidation>
    <dataValidation type="list" allowBlank="1" showInputMessage="1" showErrorMessage="1" sqref="D111" xr:uid="{00000000-0002-0000-0100-000002000000}">
      <formula1>"ボイラー,給湯器（加熱式）,給湯器（HP）"</formula1>
    </dataValidation>
    <dataValidation type="list" allowBlank="1" showInputMessage="1" showErrorMessage="1" sqref="E144 S144" xr:uid="{00000000-0002-0000-0100-000003000000}">
      <formula1>"IE1,IE2,IE3,IE4"</formula1>
    </dataValidation>
    <dataValidation type="list" allowBlank="1" showInputMessage="1" showErrorMessage="1" sqref="V144 H144" xr:uid="{00000000-0002-0000-0100-000004000000}">
      <formula1>INDIRECT("range"&amp;E144)</formula1>
    </dataValidation>
    <dataValidation type="list" allowBlank="1" showInputMessage="1" showErrorMessage="1" sqref="AB111 L111" xr:uid="{00000000-0002-0000-0100-000005000000}">
      <formula1>"　,t/h,kW"</formula1>
    </dataValidation>
    <dataValidation type="whole" errorStyle="warning" allowBlank="1" showInputMessage="1" showErrorMessage="1" errorTitle="台数の増減" sqref="S74" xr:uid="{00000000-0002-0000-0100-000006000000}">
      <formula1>0</formula1>
      <formula2>E74</formula2>
    </dataValidation>
    <dataValidation type="decimal" errorStyle="warning" operator="equal" allowBlank="1" showInputMessage="1" showErrorMessage="1" errorTitle="負荷率の変更について" error="負荷率を変更する場合は、値の根拠となる資料（省エネ診断報告書等）を別途提出してください。" sqref="C67:C68" xr:uid="{00000000-0002-0000-0100-000007000000}">
      <formula1>0.4</formula1>
    </dataValidation>
    <dataValidation type="list" allowBlank="1" showInputMessage="1" showErrorMessage="1" sqref="R14 H14 M144 AA144" xr:uid="{00000000-0002-0000-0100-000008000000}">
      <formula1>"○"</formula1>
    </dataValidation>
    <dataValidation type="whole" allowBlank="1" showInputMessage="1" showErrorMessage="1" sqref="P43" xr:uid="{00000000-0002-0000-0100-000009000000}">
      <formula1>0</formula1>
      <formula2>E43</formula2>
    </dataValidation>
  </dataValidations>
  <pageMargins left="0.7" right="0.7" top="0.75" bottom="0.75" header="0.3" footer="0.3"/>
  <pageSetup paperSize="8" scale="48" orientation="landscape" r:id="rId1"/>
  <rowBreaks count="2" manualBreakCount="2">
    <brk id="59" max="16383" man="1"/>
    <brk id="12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A000000}">
          <x14:formula1>
            <xm:f>IF($E$21="IE4",'C:\Users\egashira\Dropbox (エヌエス環境)\01000_03_本社_技術部\技術部\3.受注業務対応\環境計画23-11 千葉県_R5脱炭素化促進事業\03.作業用\簡易ツール\[神奈川県【0529修正】co2santeisheet3.xlsx]モーター効率'!#REF!,'C:\Users\egashira\Dropbox (エヌエス環境)\01000_03_本社_技術部\技術部\3.受注業務対応\環境計画23-11 千葉県_R5脱炭素化促進事業\03.作業用\簡易ツール\[神奈川県【0529修正】co2santeisheet3.xlsx]モーター効率'!#REF!)</xm:f>
          </x14:formula1>
          <xm:sqref>I144</xm:sqref>
        </x14:dataValidation>
        <x14:dataValidation type="list" allowBlank="1" showInputMessage="1" showErrorMessage="1" xr:uid="{00000000-0002-0000-0100-00000B000000}">
          <x14:formula1>
            <xm:f>IF($S$19="IE4",'C:\Users\egashira\Dropbox (エヌエス環境)\01000_03_本社_技術部\技術部\3.受注業務対応\環境計画23-11 千葉県_R5脱炭素化促進事業\03.作業用\簡易ツール\[神奈川県【0529修正】co2santeisheet3.xlsx]モーター効率'!#REF!,'C:\Users\egashira\Dropbox (エヌエス環境)\01000_03_本社_技術部\技術部\3.受注業務対応\環境計画23-11 千葉県_R5脱炭素化促進事業\03.作業用\簡易ツール\[神奈川県【0529修正】co2santeisheet3.xlsx]モーター効率'!#REF!)</xm:f>
          </x14:formula1>
          <xm:sqref>W144</xm:sqref>
        </x14:dataValidation>
        <x14:dataValidation type="list" allowBlank="1" showInputMessage="1" showErrorMessage="1" xr:uid="{00000000-0002-0000-0100-00000C000000}">
          <x14:formula1>
            <xm:f>'C:\Users\egashira\Dropbox (エヌエス環境)\01000_03_本社_技術部\技術部\3.受注業務対応\環境計画23-11 千葉県_R5脱炭素化促進事業\03.作業用\簡易ツール\[神奈川県【0529修正】co2santeisheet3.xlsx]係数'!#REF!</xm:f>
          </x14:formula1>
          <xm:sqref>G111 Z111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9"/>
  <sheetViews>
    <sheetView view="pageBreakPreview" zoomScaleNormal="100" zoomScaleSheetLayoutView="100" workbookViewId="0">
      <pane ySplit="2" topLeftCell="A26" activePane="bottomLeft" state="frozen"/>
      <selection activeCell="F43" sqref="F43"/>
      <selection pane="bottomLeft" activeCell="G4" sqref="G4:I4"/>
    </sheetView>
  </sheetViews>
  <sheetFormatPr defaultRowHeight="18" x14ac:dyDescent="0.45"/>
  <cols>
    <col min="1" max="1" width="4.69921875" customWidth="1"/>
    <col min="2" max="2" width="5.69921875" customWidth="1"/>
    <col min="3" max="3" width="17" customWidth="1"/>
    <col min="4" max="18" width="10.69921875" customWidth="1"/>
  </cols>
  <sheetData>
    <row r="1" spans="1:17" ht="28.8" x14ac:dyDescent="0.7">
      <c r="A1" s="100" t="s">
        <v>144</v>
      </c>
    </row>
    <row r="2" spans="1:17" x14ac:dyDescent="0.45">
      <c r="F2" s="29"/>
      <c r="G2" t="s">
        <v>229</v>
      </c>
      <c r="I2" s="83"/>
      <c r="J2" t="s">
        <v>230</v>
      </c>
    </row>
    <row r="3" spans="1:17" x14ac:dyDescent="0.45">
      <c r="F3" s="195"/>
      <c r="I3" s="196"/>
    </row>
    <row r="4" spans="1:17" x14ac:dyDescent="0.45">
      <c r="A4">
        <v>1</v>
      </c>
      <c r="B4" t="s">
        <v>88</v>
      </c>
      <c r="F4" s="569" t="s">
        <v>931</v>
      </c>
      <c r="G4" s="610"/>
      <c r="H4" s="610"/>
      <c r="I4" s="610"/>
      <c r="J4" s="569" t="s">
        <v>932</v>
      </c>
      <c r="K4" s="610"/>
      <c r="L4" s="610"/>
      <c r="M4" s="610"/>
      <c r="N4" s="194"/>
      <c r="O4" s="194"/>
      <c r="P4" s="194"/>
    </row>
    <row r="5" spans="1:17" x14ac:dyDescent="0.45">
      <c r="H5" s="91"/>
    </row>
    <row r="6" spans="1:17" x14ac:dyDescent="0.45">
      <c r="C6" s="200" t="s">
        <v>924</v>
      </c>
      <c r="D6" s="553" t="s">
        <v>168</v>
      </c>
      <c r="E6" s="554"/>
      <c r="F6" s="553" t="s">
        <v>4</v>
      </c>
      <c r="G6" s="554"/>
      <c r="H6" s="204" t="s">
        <v>93</v>
      </c>
      <c r="I6" s="204"/>
      <c r="J6" s="204" t="s">
        <v>58</v>
      </c>
      <c r="K6" s="204"/>
      <c r="L6" s="204" t="s">
        <v>59</v>
      </c>
      <c r="M6" s="204"/>
    </row>
    <row r="7" spans="1:17" x14ac:dyDescent="0.45">
      <c r="C7" s="236" t="s">
        <v>0</v>
      </c>
      <c r="D7" s="29"/>
      <c r="E7" s="2" t="s">
        <v>5</v>
      </c>
      <c r="F7" s="30"/>
      <c r="G7" s="2" t="s">
        <v>61</v>
      </c>
      <c r="H7" s="565">
        <f>IF(OR(D7=0,F7=0),0,F7/D7)</f>
        <v>0</v>
      </c>
      <c r="I7" s="2" t="str">
        <f>"円／"&amp;E7</f>
        <v>円／kWh</v>
      </c>
      <c r="J7" s="54">
        <f>D7*L7</f>
        <v>0</v>
      </c>
      <c r="K7" s="2" t="s">
        <v>62</v>
      </c>
      <c r="L7" s="1">
        <f>VLOOKUP(C7,係数!$B$2:$I$30,7,FALSE)</f>
        <v>4.5600000000000003E-4</v>
      </c>
      <c r="M7" s="2" t="str">
        <f>VLOOKUP(C7,係数!$B$2:$I$30,8,FALSE)</f>
        <v>tCO2/kWh</v>
      </c>
      <c r="O7" s="208" t="s">
        <v>169</v>
      </c>
      <c r="P7" s="208"/>
    </row>
    <row r="8" spans="1:17" x14ac:dyDescent="0.45">
      <c r="C8" s="236" t="s">
        <v>1</v>
      </c>
      <c r="D8" s="29"/>
      <c r="E8" s="2" t="s">
        <v>91</v>
      </c>
      <c r="F8" s="30"/>
      <c r="G8" s="2" t="s">
        <v>61</v>
      </c>
      <c r="H8" s="565">
        <f t="shared" ref="H8:H11" si="0">IF(OR(D8=0,F8=0),0,F8/D8)</f>
        <v>0</v>
      </c>
      <c r="I8" s="2" t="str">
        <f t="shared" ref="I8:I11" si="1">"円／"&amp;E8</f>
        <v>円／㎥</v>
      </c>
      <c r="J8" s="54">
        <f t="shared" ref="J8:J11" si="2">D8*L8</f>
        <v>0</v>
      </c>
      <c r="K8" s="2" t="s">
        <v>62</v>
      </c>
      <c r="L8" s="1">
        <f>VLOOKUP(C8,係数!$B$2:$I$30,7,FALSE)</f>
        <v>2.2440000000000003E-3</v>
      </c>
      <c r="M8" s="2" t="str">
        <f>VLOOKUP(C8,係数!$B$2:$I$30,8,FALSE)</f>
        <v>tCO2/㎥</v>
      </c>
      <c r="O8" s="28"/>
      <c r="P8" s="1" t="s">
        <v>6</v>
      </c>
    </row>
    <row r="9" spans="1:17" x14ac:dyDescent="0.45">
      <c r="C9" s="236" t="s">
        <v>34</v>
      </c>
      <c r="D9" s="29"/>
      <c r="E9" s="2" t="str">
        <f>IF(C9="","",VLOOKUP(C9,係数!$B$2:$I$30,4,FALSE))</f>
        <v>kg</v>
      </c>
      <c r="F9" s="30"/>
      <c r="G9" s="2" t="s">
        <v>61</v>
      </c>
      <c r="H9" s="565">
        <f t="shared" si="0"/>
        <v>0</v>
      </c>
      <c r="I9" s="2" t="str">
        <f t="shared" si="1"/>
        <v>円／kg</v>
      </c>
      <c r="J9" s="54">
        <f t="shared" si="2"/>
        <v>0</v>
      </c>
      <c r="K9" s="2" t="s">
        <v>62</v>
      </c>
      <c r="L9" s="1">
        <f>VLOOKUP(C9,係数!$B$2:$I$30,7,FALSE)</f>
        <v>2.998893333333333E-3</v>
      </c>
      <c r="M9" s="2" t="str">
        <f>VLOOKUP(C9,係数!$B$2:$I$30,8,FALSE)</f>
        <v>tCO2/kg</v>
      </c>
      <c r="O9" s="426">
        <f>O8/0.458/1000</f>
        <v>0</v>
      </c>
      <c r="P9" s="1" t="s">
        <v>92</v>
      </c>
    </row>
    <row r="10" spans="1:17" x14ac:dyDescent="0.45">
      <c r="B10" s="38" t="s">
        <v>172</v>
      </c>
      <c r="C10" s="62"/>
      <c r="D10" s="29"/>
      <c r="E10" s="563" t="str">
        <f>IF(C10="","",VLOOKUP(C10,係数!$B$2:$I$30,4,FALSE))</f>
        <v/>
      </c>
      <c r="F10" s="30"/>
      <c r="G10" s="2" t="s">
        <v>61</v>
      </c>
      <c r="H10" s="565">
        <f t="shared" si="0"/>
        <v>0</v>
      </c>
      <c r="I10" s="2" t="str">
        <f t="shared" si="1"/>
        <v>円／</v>
      </c>
      <c r="J10" s="54">
        <f t="shared" si="2"/>
        <v>0</v>
      </c>
      <c r="K10" s="2" t="s">
        <v>62</v>
      </c>
      <c r="L10" s="1">
        <f>IF(C10="",0,VLOOKUP(C10,係数!$B$2:$I$30,7,FALSE))</f>
        <v>0</v>
      </c>
      <c r="M10" s="2" t="str">
        <f>IFERROR(VLOOKUP(C10,係数!$B$2:$I$30,8,FALSE),"ー")</f>
        <v>ー</v>
      </c>
    </row>
    <row r="11" spans="1:17" x14ac:dyDescent="0.45">
      <c r="B11" s="38" t="s">
        <v>172</v>
      </c>
      <c r="C11" s="62"/>
      <c r="D11" s="29"/>
      <c r="E11" s="563" t="str">
        <f>IF(C11="","",VLOOKUP(C11,係数!$B$2:$I$30,4,FALSE))</f>
        <v/>
      </c>
      <c r="F11" s="30"/>
      <c r="G11" s="2" t="s">
        <v>61</v>
      </c>
      <c r="H11" s="565">
        <f t="shared" si="0"/>
        <v>0</v>
      </c>
      <c r="I11" s="2" t="str">
        <f t="shared" si="1"/>
        <v>円／</v>
      </c>
      <c r="J11" s="54">
        <f t="shared" si="2"/>
        <v>0</v>
      </c>
      <c r="K11" s="2" t="s">
        <v>62</v>
      </c>
      <c r="L11" s="1">
        <f>IF(C11="",0,VLOOKUP(C11,係数!$B$2:$I$30,7,FALSE))</f>
        <v>0</v>
      </c>
      <c r="M11" s="2" t="str">
        <f>IFERROR(VLOOKUP(C11,係数!$B$2:$I$30,8,FALSE),"ー")</f>
        <v>ー</v>
      </c>
    </row>
    <row r="12" spans="1:17" x14ac:dyDescent="0.45">
      <c r="C12" s="594" t="s">
        <v>60</v>
      </c>
      <c r="D12" s="608"/>
      <c r="E12" s="595"/>
      <c r="F12" s="12">
        <f>SUM(F7:F11)</f>
        <v>0</v>
      </c>
      <c r="G12" s="2" t="s">
        <v>61</v>
      </c>
      <c r="H12" s="609" t="s">
        <v>923</v>
      </c>
      <c r="I12" s="604"/>
      <c r="J12" s="54">
        <f>SUM(J7:J11)</f>
        <v>0</v>
      </c>
      <c r="K12" s="2" t="s">
        <v>62</v>
      </c>
      <c r="L12" s="609" t="s">
        <v>923</v>
      </c>
      <c r="M12" s="604"/>
    </row>
    <row r="14" spans="1:17" x14ac:dyDescent="0.45">
      <c r="A14">
        <v>2</v>
      </c>
      <c r="B14" t="s">
        <v>65</v>
      </c>
      <c r="F14" s="62"/>
      <c r="G14" t="s">
        <v>228</v>
      </c>
    </row>
    <row r="16" spans="1:17" x14ac:dyDescent="0.45">
      <c r="C16" s="200" t="s">
        <v>924</v>
      </c>
      <c r="D16" s="200" t="s">
        <v>925</v>
      </c>
      <c r="E16" s="200" t="s">
        <v>8</v>
      </c>
      <c r="F16" s="200" t="s">
        <v>9</v>
      </c>
      <c r="G16" s="200" t="s">
        <v>10</v>
      </c>
      <c r="H16" s="200" t="s">
        <v>11</v>
      </c>
      <c r="I16" s="200" t="s">
        <v>12</v>
      </c>
      <c r="J16" s="200" t="s">
        <v>13</v>
      </c>
      <c r="K16" s="200" t="s">
        <v>14</v>
      </c>
      <c r="L16" s="200" t="s">
        <v>15</v>
      </c>
      <c r="M16" s="200" t="s">
        <v>16</v>
      </c>
      <c r="N16" s="200" t="s">
        <v>17</v>
      </c>
      <c r="O16" s="200" t="s">
        <v>18</v>
      </c>
      <c r="P16" s="200" t="s">
        <v>19</v>
      </c>
      <c r="Q16" s="200" t="s">
        <v>60</v>
      </c>
    </row>
    <row r="17" spans="1:17" x14ac:dyDescent="0.45">
      <c r="C17" s="236" t="s">
        <v>0</v>
      </c>
      <c r="D17" s="200" t="str">
        <f>E7&amp;"/月"</f>
        <v>kWh/月</v>
      </c>
      <c r="E17" s="29"/>
      <c r="F17" s="29"/>
      <c r="G17" s="29"/>
      <c r="H17" s="29"/>
      <c r="I17" s="29"/>
      <c r="J17" s="29"/>
      <c r="K17" s="29"/>
      <c r="L17" s="29"/>
      <c r="M17" s="29"/>
      <c r="N17" s="29"/>
      <c r="O17" s="29"/>
      <c r="P17" s="29"/>
      <c r="Q17" s="1">
        <f>SUM(E17:P17)</f>
        <v>0</v>
      </c>
    </row>
    <row r="18" spans="1:17" x14ac:dyDescent="0.45">
      <c r="C18" s="236" t="s">
        <v>1</v>
      </c>
      <c r="D18" s="200" t="str">
        <f t="shared" ref="D18:D21" si="3">E8&amp;"/月"</f>
        <v>㎥/月</v>
      </c>
      <c r="E18" s="29"/>
      <c r="F18" s="29"/>
      <c r="G18" s="29"/>
      <c r="H18" s="29"/>
      <c r="I18" s="29"/>
      <c r="J18" s="29"/>
      <c r="K18" s="29"/>
      <c r="L18" s="29"/>
      <c r="M18" s="29"/>
      <c r="N18" s="29"/>
      <c r="O18" s="29"/>
      <c r="P18" s="29"/>
      <c r="Q18" s="1">
        <f t="shared" ref="Q18:Q27" si="4">SUM(E18:P18)</f>
        <v>0</v>
      </c>
    </row>
    <row r="19" spans="1:17" x14ac:dyDescent="0.45">
      <c r="C19" s="236" t="str">
        <f>C9</f>
        <v>液化石油ガス（LPG）</v>
      </c>
      <c r="D19" s="200" t="str">
        <f t="shared" si="3"/>
        <v>kg/月</v>
      </c>
      <c r="E19" s="29"/>
      <c r="F19" s="29"/>
      <c r="G19" s="29"/>
      <c r="H19" s="29"/>
      <c r="I19" s="29"/>
      <c r="J19" s="29"/>
      <c r="K19" s="29"/>
      <c r="L19" s="29"/>
      <c r="M19" s="29"/>
      <c r="N19" s="29"/>
      <c r="O19" s="29"/>
      <c r="P19" s="29"/>
      <c r="Q19" s="1">
        <f t="shared" si="4"/>
        <v>0</v>
      </c>
    </row>
    <row r="20" spans="1:17" x14ac:dyDescent="0.45">
      <c r="C20" s="236" t="str">
        <f>C10&amp;""</f>
        <v/>
      </c>
      <c r="D20" s="200" t="str">
        <f t="shared" si="3"/>
        <v>/月</v>
      </c>
      <c r="E20" s="29"/>
      <c r="F20" s="29"/>
      <c r="G20" s="29"/>
      <c r="H20" s="29"/>
      <c r="I20" s="29"/>
      <c r="J20" s="29"/>
      <c r="K20" s="29"/>
      <c r="L20" s="29"/>
      <c r="M20" s="29"/>
      <c r="N20" s="29"/>
      <c r="O20" s="29"/>
      <c r="P20" s="29"/>
      <c r="Q20" s="1">
        <f t="shared" ref="Q20" si="5">SUM(E20:P20)</f>
        <v>0</v>
      </c>
    </row>
    <row r="21" spans="1:17" ht="18.600000000000001" thickBot="1" x14ac:dyDescent="0.5">
      <c r="C21" s="555" t="str">
        <f>C11&amp;""</f>
        <v/>
      </c>
      <c r="D21" s="561" t="str">
        <f t="shared" si="3"/>
        <v>/月</v>
      </c>
      <c r="E21" s="69"/>
      <c r="F21" s="69"/>
      <c r="G21" s="69"/>
      <c r="H21" s="69"/>
      <c r="I21" s="69"/>
      <c r="J21" s="69"/>
      <c r="K21" s="69"/>
      <c r="L21" s="69"/>
      <c r="M21" s="69"/>
      <c r="N21" s="69"/>
      <c r="O21" s="69"/>
      <c r="P21" s="69"/>
      <c r="Q21" s="17">
        <f t="shared" si="4"/>
        <v>0</v>
      </c>
    </row>
    <row r="22" spans="1:17" x14ac:dyDescent="0.45">
      <c r="C22" s="556" t="str">
        <f>C17</f>
        <v>電気</v>
      </c>
      <c r="D22" s="549" t="s">
        <v>63</v>
      </c>
      <c r="E22" s="70">
        <f>E17*$L7</f>
        <v>0</v>
      </c>
      <c r="F22" s="70">
        <f t="shared" ref="F22:O22" si="6">F17*$L7</f>
        <v>0</v>
      </c>
      <c r="G22" s="70">
        <f t="shared" si="6"/>
        <v>0</v>
      </c>
      <c r="H22" s="70">
        <f t="shared" si="6"/>
        <v>0</v>
      </c>
      <c r="I22" s="70">
        <f t="shared" si="6"/>
        <v>0</v>
      </c>
      <c r="J22" s="70">
        <f t="shared" si="6"/>
        <v>0</v>
      </c>
      <c r="K22" s="70">
        <f t="shared" si="6"/>
        <v>0</v>
      </c>
      <c r="L22" s="70">
        <f t="shared" si="6"/>
        <v>0</v>
      </c>
      <c r="M22" s="70">
        <f t="shared" si="6"/>
        <v>0</v>
      </c>
      <c r="N22" s="70">
        <f t="shared" si="6"/>
        <v>0</v>
      </c>
      <c r="O22" s="70">
        <f t="shared" si="6"/>
        <v>0</v>
      </c>
      <c r="P22" s="70">
        <f>P17*$L7</f>
        <v>0</v>
      </c>
      <c r="Q22" s="81">
        <f>SUM(E22:P22)</f>
        <v>0</v>
      </c>
    </row>
    <row r="23" spans="1:17" x14ac:dyDescent="0.45">
      <c r="C23" s="557" t="str">
        <f t="shared" ref="C23:C26" si="7">C18</f>
        <v>都市ガス</v>
      </c>
      <c r="D23" s="200" t="s">
        <v>63</v>
      </c>
      <c r="E23" s="59">
        <f>E18*$L8</f>
        <v>0</v>
      </c>
      <c r="F23" s="59">
        <f t="shared" ref="F23:O23" si="8">F18*$L8</f>
        <v>0</v>
      </c>
      <c r="G23" s="59">
        <f t="shared" si="8"/>
        <v>0</v>
      </c>
      <c r="H23" s="59">
        <f t="shared" si="8"/>
        <v>0</v>
      </c>
      <c r="I23" s="59">
        <f t="shared" si="8"/>
        <v>0</v>
      </c>
      <c r="J23" s="59">
        <f t="shared" si="8"/>
        <v>0</v>
      </c>
      <c r="K23" s="59">
        <f t="shared" si="8"/>
        <v>0</v>
      </c>
      <c r="L23" s="59">
        <f t="shared" si="8"/>
        <v>0</v>
      </c>
      <c r="M23" s="59">
        <f t="shared" si="8"/>
        <v>0</v>
      </c>
      <c r="N23" s="59">
        <f t="shared" si="8"/>
        <v>0</v>
      </c>
      <c r="O23" s="59">
        <f t="shared" si="8"/>
        <v>0</v>
      </c>
      <c r="P23" s="59">
        <f>P18*$L8</f>
        <v>0</v>
      </c>
      <c r="Q23" s="82">
        <f t="shared" ref="Q23:Q26" si="9">SUM(E23:P23)</f>
        <v>0</v>
      </c>
    </row>
    <row r="24" spans="1:17" x14ac:dyDescent="0.45">
      <c r="C24" s="557" t="str">
        <f t="shared" si="7"/>
        <v>液化石油ガス（LPG）</v>
      </c>
      <c r="D24" s="200" t="s">
        <v>63</v>
      </c>
      <c r="E24" s="59">
        <f>E19*$L9</f>
        <v>0</v>
      </c>
      <c r="F24" s="59">
        <f t="shared" ref="F24:O24" si="10">F19*$L9</f>
        <v>0</v>
      </c>
      <c r="G24" s="59">
        <f t="shared" si="10"/>
        <v>0</v>
      </c>
      <c r="H24" s="59">
        <f t="shared" si="10"/>
        <v>0</v>
      </c>
      <c r="I24" s="59">
        <f t="shared" si="10"/>
        <v>0</v>
      </c>
      <c r="J24" s="59">
        <f t="shared" si="10"/>
        <v>0</v>
      </c>
      <c r="K24" s="59">
        <f t="shared" si="10"/>
        <v>0</v>
      </c>
      <c r="L24" s="59">
        <f t="shared" si="10"/>
        <v>0</v>
      </c>
      <c r="M24" s="59">
        <f t="shared" si="10"/>
        <v>0</v>
      </c>
      <c r="N24" s="59">
        <f t="shared" si="10"/>
        <v>0</v>
      </c>
      <c r="O24" s="59">
        <f t="shared" si="10"/>
        <v>0</v>
      </c>
      <c r="P24" s="59">
        <f>P19*$L9</f>
        <v>0</v>
      </c>
      <c r="Q24" s="82">
        <f t="shared" si="9"/>
        <v>0</v>
      </c>
    </row>
    <row r="25" spans="1:17" x14ac:dyDescent="0.45">
      <c r="C25" s="557" t="str">
        <f t="shared" si="7"/>
        <v/>
      </c>
      <c r="D25" s="200" t="s">
        <v>63</v>
      </c>
      <c r="E25" s="59">
        <f>E20*$L10</f>
        <v>0</v>
      </c>
      <c r="F25" s="59">
        <f t="shared" ref="F25:O25" si="11">F20*$L10</f>
        <v>0</v>
      </c>
      <c r="G25" s="59">
        <f t="shared" si="11"/>
        <v>0</v>
      </c>
      <c r="H25" s="59">
        <f t="shared" si="11"/>
        <v>0</v>
      </c>
      <c r="I25" s="59">
        <f t="shared" si="11"/>
        <v>0</v>
      </c>
      <c r="J25" s="59">
        <f t="shared" si="11"/>
        <v>0</v>
      </c>
      <c r="K25" s="59">
        <f t="shared" si="11"/>
        <v>0</v>
      </c>
      <c r="L25" s="59">
        <f t="shared" si="11"/>
        <v>0</v>
      </c>
      <c r="M25" s="59">
        <f t="shared" si="11"/>
        <v>0</v>
      </c>
      <c r="N25" s="59">
        <f t="shared" si="11"/>
        <v>0</v>
      </c>
      <c r="O25" s="59">
        <f t="shared" si="11"/>
        <v>0</v>
      </c>
      <c r="P25" s="59">
        <f>P20*$L10</f>
        <v>0</v>
      </c>
      <c r="Q25" s="82">
        <f t="shared" si="9"/>
        <v>0</v>
      </c>
    </row>
    <row r="26" spans="1:17" x14ac:dyDescent="0.45">
      <c r="C26" s="557" t="str">
        <f t="shared" si="7"/>
        <v/>
      </c>
      <c r="D26" s="200" t="s">
        <v>63</v>
      </c>
      <c r="E26" s="59">
        <f>E21*$L11</f>
        <v>0</v>
      </c>
      <c r="F26" s="59">
        <f t="shared" ref="F26:O26" si="12">F21*$L11</f>
        <v>0</v>
      </c>
      <c r="G26" s="59">
        <f t="shared" si="12"/>
        <v>0</v>
      </c>
      <c r="H26" s="59">
        <f t="shared" si="12"/>
        <v>0</v>
      </c>
      <c r="I26" s="59">
        <f t="shared" si="12"/>
        <v>0</v>
      </c>
      <c r="J26" s="59">
        <f t="shared" si="12"/>
        <v>0</v>
      </c>
      <c r="K26" s="59">
        <f t="shared" si="12"/>
        <v>0</v>
      </c>
      <c r="L26" s="59">
        <f t="shared" si="12"/>
        <v>0</v>
      </c>
      <c r="M26" s="59">
        <f t="shared" si="12"/>
        <v>0</v>
      </c>
      <c r="N26" s="59">
        <f t="shared" si="12"/>
        <v>0</v>
      </c>
      <c r="O26" s="59">
        <f t="shared" si="12"/>
        <v>0</v>
      </c>
      <c r="P26" s="59">
        <f>P21*$L11</f>
        <v>0</v>
      </c>
      <c r="Q26" s="82">
        <f t="shared" si="9"/>
        <v>0</v>
      </c>
    </row>
    <row r="27" spans="1:17" ht="18.600000000000001" thickBot="1" x14ac:dyDescent="0.5">
      <c r="C27" s="545" t="s">
        <v>60</v>
      </c>
      <c r="D27" s="562" t="s">
        <v>63</v>
      </c>
      <c r="E27" s="73">
        <f>SUM(E22:E26)</f>
        <v>0</v>
      </c>
      <c r="F27" s="73">
        <f t="shared" ref="F27:O27" si="13">SUM(F22:F26)</f>
        <v>0</v>
      </c>
      <c r="G27" s="73">
        <f t="shared" si="13"/>
        <v>0</v>
      </c>
      <c r="H27" s="73">
        <f t="shared" si="13"/>
        <v>0</v>
      </c>
      <c r="I27" s="73">
        <f t="shared" si="13"/>
        <v>0</v>
      </c>
      <c r="J27" s="73">
        <f t="shared" si="13"/>
        <v>0</v>
      </c>
      <c r="K27" s="73">
        <f t="shared" si="13"/>
        <v>0</v>
      </c>
      <c r="L27" s="73">
        <f t="shared" si="13"/>
        <v>0</v>
      </c>
      <c r="M27" s="73">
        <f t="shared" si="13"/>
        <v>0</v>
      </c>
      <c r="N27" s="73">
        <f t="shared" si="13"/>
        <v>0</v>
      </c>
      <c r="O27" s="73">
        <f t="shared" si="13"/>
        <v>0</v>
      </c>
      <c r="P27" s="73">
        <f>SUM(P22:P26)</f>
        <v>0</v>
      </c>
      <c r="Q27" s="75">
        <f t="shared" si="4"/>
        <v>0</v>
      </c>
    </row>
    <row r="29" spans="1:17" x14ac:dyDescent="0.45">
      <c r="A29">
        <v>3</v>
      </c>
      <c r="B29" t="s">
        <v>171</v>
      </c>
      <c r="F29" s="62"/>
      <c r="G29" t="s">
        <v>228</v>
      </c>
    </row>
    <row r="31" spans="1:17" x14ac:dyDescent="0.45">
      <c r="C31" s="200" t="s">
        <v>924</v>
      </c>
      <c r="D31" s="200" t="s">
        <v>2</v>
      </c>
      <c r="E31" s="564"/>
      <c r="F31" s="564"/>
      <c r="G31" s="564"/>
      <c r="H31" s="564"/>
      <c r="I31" s="564"/>
      <c r="J31" s="564"/>
      <c r="K31" s="564"/>
      <c r="L31" s="564"/>
      <c r="M31" s="564"/>
      <c r="N31" s="552"/>
      <c r="O31" s="200" t="s">
        <v>227</v>
      </c>
    </row>
    <row r="32" spans="1:17" x14ac:dyDescent="0.45">
      <c r="C32" s="236" t="s">
        <v>0</v>
      </c>
      <c r="D32" s="200" t="str">
        <f>E7&amp;"/年"</f>
        <v>kWh/年</v>
      </c>
      <c r="E32" s="29"/>
      <c r="F32" s="29"/>
      <c r="G32" s="29"/>
      <c r="H32" s="29"/>
      <c r="I32" s="29"/>
      <c r="J32" s="29"/>
      <c r="K32" s="29"/>
      <c r="L32" s="29"/>
      <c r="M32" s="29"/>
      <c r="N32" s="76"/>
      <c r="O32" s="1">
        <f>SUM(E32:N32)</f>
        <v>0</v>
      </c>
    </row>
    <row r="33" spans="1:15" x14ac:dyDescent="0.45">
      <c r="C33" s="236" t="s">
        <v>1</v>
      </c>
      <c r="D33" s="200" t="str">
        <f t="shared" ref="D33:D36" si="14">E8&amp;"/年"</f>
        <v>㎥/年</v>
      </c>
      <c r="E33" s="29"/>
      <c r="F33" s="29"/>
      <c r="G33" s="29"/>
      <c r="H33" s="29"/>
      <c r="I33" s="29"/>
      <c r="J33" s="29"/>
      <c r="K33" s="29"/>
      <c r="L33" s="29"/>
      <c r="M33" s="29"/>
      <c r="N33" s="76"/>
      <c r="O33" s="1">
        <f t="shared" ref="O33:O42" si="15">SUM(E33:N33)</f>
        <v>0</v>
      </c>
    </row>
    <row r="34" spans="1:15" x14ac:dyDescent="0.45">
      <c r="C34" s="236" t="str">
        <f>C9</f>
        <v>液化石油ガス（LPG）</v>
      </c>
      <c r="D34" s="200" t="str">
        <f t="shared" si="14"/>
        <v>kg/年</v>
      </c>
      <c r="E34" s="29"/>
      <c r="F34" s="29"/>
      <c r="G34" s="29"/>
      <c r="H34" s="29"/>
      <c r="I34" s="29"/>
      <c r="J34" s="29"/>
      <c r="K34" s="29"/>
      <c r="L34" s="29"/>
      <c r="M34" s="29"/>
      <c r="N34" s="76"/>
      <c r="O34" s="1">
        <f t="shared" si="15"/>
        <v>0</v>
      </c>
    </row>
    <row r="35" spans="1:15" x14ac:dyDescent="0.45">
      <c r="C35" s="236" t="str">
        <f t="shared" ref="C35:C36" si="16">C20&amp;""</f>
        <v/>
      </c>
      <c r="D35" s="200" t="str">
        <f t="shared" si="14"/>
        <v>/年</v>
      </c>
      <c r="E35" s="29"/>
      <c r="F35" s="29"/>
      <c r="G35" s="29"/>
      <c r="H35" s="29"/>
      <c r="I35" s="29"/>
      <c r="J35" s="29"/>
      <c r="K35" s="29"/>
      <c r="L35" s="29"/>
      <c r="M35" s="29"/>
      <c r="N35" s="76"/>
      <c r="O35" s="1">
        <f t="shared" si="15"/>
        <v>0</v>
      </c>
    </row>
    <row r="36" spans="1:15" ht="18.600000000000001" thickBot="1" x14ac:dyDescent="0.5">
      <c r="C36" s="555" t="str">
        <f t="shared" si="16"/>
        <v/>
      </c>
      <c r="D36" s="561" t="str">
        <f t="shared" si="14"/>
        <v>/年</v>
      </c>
      <c r="E36" s="69"/>
      <c r="F36" s="69"/>
      <c r="G36" s="69"/>
      <c r="H36" s="69"/>
      <c r="I36" s="69"/>
      <c r="J36" s="69"/>
      <c r="K36" s="69"/>
      <c r="L36" s="69"/>
      <c r="M36" s="69"/>
      <c r="N36" s="80"/>
      <c r="O36" s="17">
        <f t="shared" si="15"/>
        <v>0</v>
      </c>
    </row>
    <row r="37" spans="1:15" x14ac:dyDescent="0.45">
      <c r="C37" s="556" t="str">
        <f>C32</f>
        <v>電気</v>
      </c>
      <c r="D37" s="549" t="s">
        <v>62</v>
      </c>
      <c r="E37" s="70">
        <f>E32*$L7</f>
        <v>0</v>
      </c>
      <c r="F37" s="70">
        <f t="shared" ref="F37:N37" si="17">F32*$L7</f>
        <v>0</v>
      </c>
      <c r="G37" s="70">
        <f t="shared" si="17"/>
        <v>0</v>
      </c>
      <c r="H37" s="70">
        <f t="shared" si="17"/>
        <v>0</v>
      </c>
      <c r="I37" s="70">
        <f t="shared" si="17"/>
        <v>0</v>
      </c>
      <c r="J37" s="70">
        <f t="shared" si="17"/>
        <v>0</v>
      </c>
      <c r="K37" s="70">
        <f t="shared" si="17"/>
        <v>0</v>
      </c>
      <c r="L37" s="70">
        <f t="shared" si="17"/>
        <v>0</v>
      </c>
      <c r="M37" s="70">
        <f t="shared" si="17"/>
        <v>0</v>
      </c>
      <c r="N37" s="77">
        <f t="shared" si="17"/>
        <v>0</v>
      </c>
      <c r="O37" s="81">
        <f t="shared" si="15"/>
        <v>0</v>
      </c>
    </row>
    <row r="38" spans="1:15" x14ac:dyDescent="0.45">
      <c r="C38" s="557" t="str">
        <f t="shared" ref="C38:C41" si="18">C33</f>
        <v>都市ガス</v>
      </c>
      <c r="D38" s="200" t="s">
        <v>62</v>
      </c>
      <c r="E38" s="59">
        <f t="shared" ref="E38:N38" si="19">E33*$L8</f>
        <v>0</v>
      </c>
      <c r="F38" s="59">
        <f t="shared" si="19"/>
        <v>0</v>
      </c>
      <c r="G38" s="59">
        <f t="shared" si="19"/>
        <v>0</v>
      </c>
      <c r="H38" s="59">
        <f t="shared" si="19"/>
        <v>0</v>
      </c>
      <c r="I38" s="59">
        <f t="shared" si="19"/>
        <v>0</v>
      </c>
      <c r="J38" s="59">
        <f t="shared" si="19"/>
        <v>0</v>
      </c>
      <c r="K38" s="59">
        <f t="shared" si="19"/>
        <v>0</v>
      </c>
      <c r="L38" s="59">
        <f t="shared" si="19"/>
        <v>0</v>
      </c>
      <c r="M38" s="59">
        <f t="shared" si="19"/>
        <v>0</v>
      </c>
      <c r="N38" s="78">
        <f t="shared" si="19"/>
        <v>0</v>
      </c>
      <c r="O38" s="82">
        <f t="shared" si="15"/>
        <v>0</v>
      </c>
    </row>
    <row r="39" spans="1:15" x14ac:dyDescent="0.45">
      <c r="C39" s="557" t="str">
        <f t="shared" si="18"/>
        <v>液化石油ガス（LPG）</v>
      </c>
      <c r="D39" s="200" t="s">
        <v>62</v>
      </c>
      <c r="E39" s="59">
        <f t="shared" ref="E39:N39" si="20">E34*$L9</f>
        <v>0</v>
      </c>
      <c r="F39" s="59">
        <f t="shared" si="20"/>
        <v>0</v>
      </c>
      <c r="G39" s="59">
        <f t="shared" si="20"/>
        <v>0</v>
      </c>
      <c r="H39" s="59">
        <f t="shared" si="20"/>
        <v>0</v>
      </c>
      <c r="I39" s="59">
        <f t="shared" si="20"/>
        <v>0</v>
      </c>
      <c r="J39" s="59">
        <f t="shared" si="20"/>
        <v>0</v>
      </c>
      <c r="K39" s="59">
        <f t="shared" si="20"/>
        <v>0</v>
      </c>
      <c r="L39" s="59">
        <f t="shared" si="20"/>
        <v>0</v>
      </c>
      <c r="M39" s="59">
        <f t="shared" si="20"/>
        <v>0</v>
      </c>
      <c r="N39" s="78">
        <f t="shared" si="20"/>
        <v>0</v>
      </c>
      <c r="O39" s="82">
        <f t="shared" si="15"/>
        <v>0</v>
      </c>
    </row>
    <row r="40" spans="1:15" x14ac:dyDescent="0.45">
      <c r="C40" s="557" t="str">
        <f t="shared" si="18"/>
        <v/>
      </c>
      <c r="D40" s="200" t="s">
        <v>62</v>
      </c>
      <c r="E40" s="59">
        <f t="shared" ref="E40:N40" si="21">E35*$L10</f>
        <v>0</v>
      </c>
      <c r="F40" s="59">
        <f t="shared" si="21"/>
        <v>0</v>
      </c>
      <c r="G40" s="59">
        <f t="shared" si="21"/>
        <v>0</v>
      </c>
      <c r="H40" s="59">
        <f t="shared" si="21"/>
        <v>0</v>
      </c>
      <c r="I40" s="59">
        <f t="shared" si="21"/>
        <v>0</v>
      </c>
      <c r="J40" s="59">
        <f t="shared" si="21"/>
        <v>0</v>
      </c>
      <c r="K40" s="59">
        <f t="shared" si="21"/>
        <v>0</v>
      </c>
      <c r="L40" s="59">
        <f t="shared" si="21"/>
        <v>0</v>
      </c>
      <c r="M40" s="59">
        <f t="shared" si="21"/>
        <v>0</v>
      </c>
      <c r="N40" s="78">
        <f t="shared" si="21"/>
        <v>0</v>
      </c>
      <c r="O40" s="82">
        <f t="shared" si="15"/>
        <v>0</v>
      </c>
    </row>
    <row r="41" spans="1:15" x14ac:dyDescent="0.45">
      <c r="C41" s="557" t="str">
        <f t="shared" si="18"/>
        <v/>
      </c>
      <c r="D41" s="200" t="s">
        <v>62</v>
      </c>
      <c r="E41" s="59">
        <f t="shared" ref="E41:N41" si="22">E36*$L11</f>
        <v>0</v>
      </c>
      <c r="F41" s="59">
        <f t="shared" si="22"/>
        <v>0</v>
      </c>
      <c r="G41" s="59">
        <f t="shared" si="22"/>
        <v>0</v>
      </c>
      <c r="H41" s="59">
        <f t="shared" si="22"/>
        <v>0</v>
      </c>
      <c r="I41" s="59">
        <f t="shared" si="22"/>
        <v>0</v>
      </c>
      <c r="J41" s="59">
        <f t="shared" si="22"/>
        <v>0</v>
      </c>
      <c r="K41" s="59">
        <f t="shared" si="22"/>
        <v>0</v>
      </c>
      <c r="L41" s="59">
        <f t="shared" si="22"/>
        <v>0</v>
      </c>
      <c r="M41" s="59">
        <f t="shared" si="22"/>
        <v>0</v>
      </c>
      <c r="N41" s="78">
        <f t="shared" si="22"/>
        <v>0</v>
      </c>
      <c r="O41" s="82">
        <f t="shared" si="15"/>
        <v>0</v>
      </c>
    </row>
    <row r="42" spans="1:15" ht="18.600000000000001" thickBot="1" x14ac:dyDescent="0.5">
      <c r="C42" s="545" t="s">
        <v>60</v>
      </c>
      <c r="D42" s="562" t="s">
        <v>62</v>
      </c>
      <c r="E42" s="73">
        <f>SUM(E37:E41)</f>
        <v>0</v>
      </c>
      <c r="F42" s="73">
        <f t="shared" ref="F42" si="23">SUM(F37:F41)</f>
        <v>0</v>
      </c>
      <c r="G42" s="73">
        <f t="shared" ref="G42" si="24">SUM(G37:G41)</f>
        <v>0</v>
      </c>
      <c r="H42" s="73">
        <f t="shared" ref="H42" si="25">SUM(H37:H41)</f>
        <v>0</v>
      </c>
      <c r="I42" s="73">
        <f t="shared" ref="I42" si="26">SUM(I37:I41)</f>
        <v>0</v>
      </c>
      <c r="J42" s="73">
        <f t="shared" ref="J42" si="27">SUM(J37:J41)</f>
        <v>0</v>
      </c>
      <c r="K42" s="73">
        <f t="shared" ref="K42" si="28">SUM(K37:K41)</f>
        <v>0</v>
      </c>
      <c r="L42" s="73">
        <f t="shared" ref="L42" si="29">SUM(L37:L41)</f>
        <v>0</v>
      </c>
      <c r="M42" s="73">
        <f t="shared" ref="M42" si="30">SUM(M37:M41)</f>
        <v>0</v>
      </c>
      <c r="N42" s="79">
        <f t="shared" ref="N42" si="31">SUM(N37:N41)</f>
        <v>0</v>
      </c>
      <c r="O42" s="75">
        <f t="shared" si="15"/>
        <v>0</v>
      </c>
    </row>
    <row r="44" spans="1:15" x14ac:dyDescent="0.45">
      <c r="A44">
        <v>4</v>
      </c>
      <c r="B44" t="s">
        <v>203</v>
      </c>
      <c r="F44" s="62"/>
      <c r="G44" t="s">
        <v>228</v>
      </c>
    </row>
    <row r="46" spans="1:15" x14ac:dyDescent="0.45">
      <c r="C46" s="208" t="s">
        <v>241</v>
      </c>
      <c r="D46" s="29"/>
      <c r="E46" s="2" t="s">
        <v>201</v>
      </c>
      <c r="F46" s="51" t="s">
        <v>247</v>
      </c>
      <c r="G46" s="52"/>
      <c r="H46" s="53"/>
    </row>
    <row r="47" spans="1:15" x14ac:dyDescent="0.45">
      <c r="C47" s="208" t="s">
        <v>205</v>
      </c>
      <c r="D47" s="29"/>
      <c r="E47" s="2" t="s">
        <v>204</v>
      </c>
      <c r="F47" s="51" t="s">
        <v>246</v>
      </c>
      <c r="G47" s="52"/>
      <c r="H47" s="53"/>
    </row>
    <row r="48" spans="1:15" x14ac:dyDescent="0.45">
      <c r="C48" s="208" t="s">
        <v>243</v>
      </c>
      <c r="D48" s="29"/>
      <c r="E48" s="2" t="s">
        <v>239</v>
      </c>
      <c r="F48" s="51" t="s">
        <v>206</v>
      </c>
      <c r="G48" s="52"/>
      <c r="H48" s="53"/>
    </row>
    <row r="49" spans="1:8" x14ac:dyDescent="0.45">
      <c r="C49" s="208" t="s">
        <v>237</v>
      </c>
      <c r="D49" s="93">
        <f>D48*D46*(185-D47)/100*12</f>
        <v>0</v>
      </c>
      <c r="E49" s="2" t="s">
        <v>236</v>
      </c>
      <c r="F49" s="51"/>
      <c r="G49" s="52"/>
      <c r="H49" s="53"/>
    </row>
    <row r="50" spans="1:8" x14ac:dyDescent="0.45">
      <c r="C50" s="208" t="s">
        <v>3</v>
      </c>
      <c r="D50" s="92">
        <f>F7</f>
        <v>0</v>
      </c>
      <c r="E50" s="2" t="s">
        <v>202</v>
      </c>
      <c r="F50" s="51"/>
      <c r="G50" s="52"/>
      <c r="H50" s="53"/>
    </row>
    <row r="52" spans="1:8" x14ac:dyDescent="0.45">
      <c r="A52">
        <v>5</v>
      </c>
      <c r="B52" t="s">
        <v>200</v>
      </c>
      <c r="F52" s="62"/>
      <c r="G52" t="s">
        <v>228</v>
      </c>
    </row>
    <row r="54" spans="1:8" x14ac:dyDescent="0.45">
      <c r="C54" s="208" t="s">
        <v>207</v>
      </c>
      <c r="D54" s="28"/>
      <c r="E54" s="2" t="s">
        <v>201</v>
      </c>
      <c r="F54" s="51" t="s">
        <v>520</v>
      </c>
      <c r="G54" s="53"/>
    </row>
    <row r="55" spans="1:8" x14ac:dyDescent="0.45">
      <c r="C55" s="560" t="s">
        <v>211</v>
      </c>
      <c r="D55" s="28"/>
      <c r="E55" s="2" t="s">
        <v>208</v>
      </c>
      <c r="F55" s="51" t="s">
        <v>519</v>
      </c>
      <c r="G55" s="53"/>
    </row>
    <row r="57" spans="1:8" x14ac:dyDescent="0.45">
      <c r="A57">
        <v>5</v>
      </c>
      <c r="B57" t="s">
        <v>209</v>
      </c>
      <c r="F57" s="47"/>
      <c r="G57" t="s">
        <v>228</v>
      </c>
    </row>
    <row r="59" spans="1:8" x14ac:dyDescent="0.45">
      <c r="C59" s="560" t="s">
        <v>210</v>
      </c>
      <c r="D59" s="28"/>
      <c r="E59" s="2" t="s">
        <v>212</v>
      </c>
      <c r="F59" s="51"/>
      <c r="G59" s="53"/>
    </row>
  </sheetData>
  <sheetProtection algorithmName="SHA-512" hashValue="Zby4/7mQ6+U+XB7GMdfC/rAs2hVHZexbXkZtVuoqrRr1D4nBar9FnuW0KjMy4bGFf/1UszItBpwkHdQaguE9Gw==" saltValue="7a4oJD0ak7Or2a1T/1Sp9Q==" spinCount="100000" sheet="1" formatCells="0" formatColumns="0" formatRows="0"/>
  <mergeCells count="5">
    <mergeCell ref="C12:E12"/>
    <mergeCell ref="H12:I12"/>
    <mergeCell ref="L12:M12"/>
    <mergeCell ref="G4:I4"/>
    <mergeCell ref="K4:M4"/>
  </mergeCells>
  <phoneticPr fontId="5"/>
  <conditionalFormatting sqref="E31:N36">
    <cfRule type="expression" dxfId="100" priority="9">
      <formula>$F$29="把握していない"</formula>
    </cfRule>
  </conditionalFormatting>
  <conditionalFormatting sqref="D46:D49">
    <cfRule type="expression" dxfId="99" priority="10">
      <formula>$F$44="把握していない"</formula>
    </cfRule>
  </conditionalFormatting>
  <conditionalFormatting sqref="E22:P26">
    <cfRule type="expression" dxfId="98" priority="4">
      <formula>$F$14="把握していない"</formula>
    </cfRule>
  </conditionalFormatting>
  <conditionalFormatting sqref="E37:N41">
    <cfRule type="expression" dxfId="97" priority="3">
      <formula>$F$14="把握していない"</formula>
    </cfRule>
  </conditionalFormatting>
  <conditionalFormatting sqref="F2:F3">
    <cfRule type="expression" dxfId="96" priority="2">
      <formula>$F$44="把握していない"</formula>
    </cfRule>
  </conditionalFormatting>
  <conditionalFormatting sqref="E17:P21">
    <cfRule type="expression" dxfId="95" priority="1">
      <formula>$F$14="把握していない"</formula>
    </cfRule>
  </conditionalFormatting>
  <dataValidations count="2">
    <dataValidation type="list" allowBlank="1" showInputMessage="1" showErrorMessage="1" sqref="F14 F29 F44" xr:uid="{00000000-0002-0000-0200-000000000000}">
      <formula1>"把握している,把握していない"</formula1>
    </dataValidation>
    <dataValidation type="list" allowBlank="1" showInputMessage="1" showErrorMessage="1" sqref="F57 F52" xr:uid="{00000000-0002-0000-0200-000001000000}">
      <formula1>"実施中,未実施"</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1" manualBreakCount="1">
    <brk id="4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係数!$B$3:$B$30</xm:f>
          </x14:formula1>
          <xm:sqref>C9:C11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17"/>
  <sheetViews>
    <sheetView view="pageBreakPreview" zoomScale="85" zoomScaleNormal="85" zoomScaleSheetLayoutView="85" workbookViewId="0">
      <pane ySplit="1" topLeftCell="A19" activePane="bottomLeft" state="frozen"/>
      <selection activeCell="B30" sqref="B30"/>
      <selection pane="bottomLeft" activeCell="C18" sqref="C18"/>
    </sheetView>
  </sheetViews>
  <sheetFormatPr defaultRowHeight="18" x14ac:dyDescent="0.45"/>
  <cols>
    <col min="1" max="1" width="3.69921875" customWidth="1"/>
    <col min="2" max="2" width="10.19921875" customWidth="1"/>
    <col min="3" max="7" width="10.09765625" customWidth="1"/>
    <col min="8" max="9" width="5.59765625" customWidth="1"/>
    <col min="10" max="13" width="10.09765625" customWidth="1"/>
    <col min="14" max="14" width="16.296875" customWidth="1"/>
    <col min="15" max="16" width="10.09765625" customWidth="1"/>
    <col min="17" max="17" width="10" customWidth="1"/>
    <col min="18" max="19" width="6" customWidth="1"/>
    <col min="20" max="25" width="10.09765625" customWidth="1"/>
    <col min="26" max="26" width="7.19921875" customWidth="1"/>
  </cols>
  <sheetData>
    <row r="1" spans="1:24" ht="28.8" x14ac:dyDescent="0.7">
      <c r="A1" s="100" t="s">
        <v>528</v>
      </c>
      <c r="G1" s="194"/>
      <c r="H1" s="194"/>
      <c r="I1" s="194"/>
      <c r="J1" s="195"/>
      <c r="M1" s="196"/>
    </row>
    <row r="3" spans="1:24" ht="22.95" customHeight="1" x14ac:dyDescent="0.45">
      <c r="D3" s="617" t="s">
        <v>141</v>
      </c>
      <c r="E3" s="618"/>
      <c r="F3" s="197" t="s">
        <v>140</v>
      </c>
      <c r="G3" s="197" t="s">
        <v>76</v>
      </c>
      <c r="H3" s="617" t="s">
        <v>87</v>
      </c>
      <c r="I3" s="618"/>
      <c r="J3" s="197" t="s">
        <v>193</v>
      </c>
      <c r="K3" s="198" t="s">
        <v>197</v>
      </c>
      <c r="M3" s="619" t="s">
        <v>529</v>
      </c>
      <c r="N3" s="620"/>
      <c r="O3" s="620"/>
      <c r="P3" s="620"/>
      <c r="Q3" s="620"/>
      <c r="R3" s="620"/>
      <c r="S3" s="620"/>
      <c r="T3" s="620"/>
      <c r="U3" s="620"/>
      <c r="V3" s="620"/>
      <c r="W3" s="620"/>
      <c r="X3" s="621"/>
    </row>
    <row r="4" spans="1:24" ht="22.95" customHeight="1" x14ac:dyDescent="0.45">
      <c r="D4" s="629" t="s">
        <v>84</v>
      </c>
      <c r="E4" s="630"/>
      <c r="F4" s="197" t="s">
        <v>85</v>
      </c>
      <c r="G4" s="505">
        <f>$K$17</f>
        <v>0</v>
      </c>
      <c r="H4" s="622">
        <f t="shared" ref="H4:I4" si="0">$U$17</f>
        <v>0</v>
      </c>
      <c r="I4" s="623">
        <f t="shared" si="0"/>
        <v>0</v>
      </c>
      <c r="J4" s="505">
        <f>G4-H4</f>
        <v>0</v>
      </c>
      <c r="K4" s="182">
        <f>IF(OR(G4=0,J4=0),0,J4/G4)</f>
        <v>0</v>
      </c>
      <c r="M4" s="624"/>
      <c r="N4" s="625"/>
      <c r="O4" s="625"/>
      <c r="P4" s="625"/>
      <c r="Q4" s="625"/>
      <c r="R4" s="625"/>
      <c r="S4" s="625"/>
      <c r="T4" s="625"/>
      <c r="U4" s="625"/>
      <c r="V4" s="625"/>
      <c r="W4" s="625"/>
      <c r="X4" s="626"/>
    </row>
    <row r="5" spans="1:24" ht="22.95" customHeight="1" x14ac:dyDescent="0.45">
      <c r="D5" s="629" t="s">
        <v>58</v>
      </c>
      <c r="E5" s="630"/>
      <c r="F5" s="199" t="s">
        <v>62</v>
      </c>
      <c r="G5" s="506">
        <f>$L$17</f>
        <v>0</v>
      </c>
      <c r="H5" s="627">
        <f t="shared" ref="H5:I5" si="1">$V$17</f>
        <v>0</v>
      </c>
      <c r="I5" s="628">
        <f t="shared" si="1"/>
        <v>0</v>
      </c>
      <c r="J5" s="507">
        <f>G5-H5</f>
        <v>0</v>
      </c>
      <c r="K5" s="182">
        <f t="shared" ref="K5" si="2">IF(OR(G5=0,J5=0),0,J5/G5)</f>
        <v>0</v>
      </c>
      <c r="M5" s="193"/>
      <c r="N5" s="193"/>
      <c r="O5" s="193"/>
      <c r="P5" s="193"/>
      <c r="Q5" s="193"/>
      <c r="R5" s="193"/>
      <c r="S5" s="193"/>
      <c r="T5" s="193"/>
      <c r="U5" s="193"/>
    </row>
    <row r="6" spans="1:24" ht="22.95" customHeight="1" x14ac:dyDescent="0.45">
      <c r="D6" s="617" t="s">
        <v>196</v>
      </c>
      <c r="E6" s="618"/>
      <c r="F6" s="197" t="s">
        <v>90</v>
      </c>
      <c r="G6" s="508" t="str">
        <f>IF(使用量と光熱費!$H$7=0,"ー",G4*使用量と光熱費!$H$7)</f>
        <v>ー</v>
      </c>
      <c r="H6" s="611" t="str">
        <f>IF(使用量と光熱費!$H$7=0,"ー",H4*使用量と光熱費!$H$7)</f>
        <v>ー</v>
      </c>
      <c r="I6" s="612" t="s">
        <v>653</v>
      </c>
      <c r="J6" s="508" t="str">
        <f>IF(OR(G6="ー",H6="ー"),"ー",J4*使用量と光熱費!$H$7)</f>
        <v>ー</v>
      </c>
      <c r="K6" s="182">
        <f>IFERROR(J6/G6,0)</f>
        <v>0</v>
      </c>
      <c r="M6" s="613" t="s">
        <v>530</v>
      </c>
      <c r="N6" s="613"/>
      <c r="O6" s="613"/>
      <c r="P6" s="613"/>
      <c r="Q6" s="613"/>
      <c r="R6" s="613"/>
      <c r="S6" s="613"/>
      <c r="T6" s="613"/>
      <c r="U6" s="613"/>
      <c r="V6" s="613"/>
      <c r="W6" s="613"/>
      <c r="X6" s="613"/>
    </row>
    <row r="7" spans="1:24" x14ac:dyDescent="0.45">
      <c r="D7" s="631" t="s">
        <v>484</v>
      </c>
      <c r="E7" s="632"/>
      <c r="F7" s="200" t="s">
        <v>485</v>
      </c>
      <c r="G7" s="509">
        <f>G4*係数!$C$30*0.0000258</f>
        <v>0</v>
      </c>
      <c r="H7" s="614">
        <f>H4*係数!$C$30*0.0000258</f>
        <v>0</v>
      </c>
      <c r="I7" s="615">
        <v>0.16236105120000002</v>
      </c>
      <c r="J7" s="510">
        <f>G7-H7</f>
        <v>0</v>
      </c>
      <c r="K7" s="40">
        <f>IF(OR(G7=0,J7=0),0,J7/G7)</f>
        <v>0</v>
      </c>
      <c r="M7" s="201" t="str">
        <f>IF(OR(E17=0,O17=0),"",IF(E17=O17,"なし",IF(E17&gt;O17,"減少","増加")))</f>
        <v/>
      </c>
      <c r="N7" s="616" t="str">
        <f>IF(OR(M7="",M7="なし"),"ー",IF(M7="減少","減少する理由を特記事項欄に記載してください。","やむを得ず増加する場合は特記事項欄に理由を記載してください。(要根拠資料提出)"))</f>
        <v>ー</v>
      </c>
      <c r="O7" s="616"/>
      <c r="P7" s="616"/>
      <c r="Q7" s="616"/>
      <c r="R7" s="616"/>
      <c r="S7" s="616"/>
      <c r="T7" s="616"/>
      <c r="U7" s="616"/>
      <c r="V7" s="616"/>
      <c r="W7" s="616"/>
      <c r="X7" s="616"/>
    </row>
    <row r="8" spans="1:24" x14ac:dyDescent="0.45">
      <c r="M8" s="193"/>
      <c r="N8" s="193"/>
      <c r="O8" s="193"/>
      <c r="P8" s="193"/>
      <c r="Q8" s="193"/>
      <c r="R8" s="193"/>
      <c r="S8" s="193"/>
      <c r="T8" s="193"/>
      <c r="U8" s="193"/>
    </row>
    <row r="9" spans="1:24" x14ac:dyDescent="0.45">
      <c r="C9" s="202"/>
    </row>
    <row r="10" spans="1:24" x14ac:dyDescent="0.45">
      <c r="C10" s="203"/>
    </row>
    <row r="11" spans="1:24" x14ac:dyDescent="0.45">
      <c r="C11" s="203"/>
    </row>
    <row r="12" spans="1:24" x14ac:dyDescent="0.45">
      <c r="A12" t="s">
        <v>139</v>
      </c>
      <c r="M12" s="202"/>
    </row>
    <row r="13" spans="1:24" x14ac:dyDescent="0.45">
      <c r="B13" s="588" t="s">
        <v>141</v>
      </c>
      <c r="C13" s="204" t="s">
        <v>76</v>
      </c>
      <c r="D13" s="204"/>
      <c r="E13" s="204"/>
      <c r="F13" s="204"/>
      <c r="G13" s="204"/>
      <c r="H13" s="204"/>
      <c r="I13" s="204"/>
      <c r="J13" s="204"/>
      <c r="K13" s="204"/>
      <c r="L13" s="204"/>
      <c r="M13" s="204" t="s">
        <v>87</v>
      </c>
      <c r="N13" s="204"/>
      <c r="O13" s="204"/>
      <c r="P13" s="204"/>
      <c r="Q13" s="204"/>
      <c r="R13" s="204"/>
      <c r="S13" s="204"/>
      <c r="T13" s="204"/>
      <c r="U13" s="204"/>
      <c r="V13" s="204"/>
      <c r="W13" s="204" t="s">
        <v>94</v>
      </c>
      <c r="X13" s="204"/>
    </row>
    <row r="14" spans="1:24" ht="48.6" x14ac:dyDescent="0.45">
      <c r="B14" s="589"/>
      <c r="C14" s="205" t="s">
        <v>170</v>
      </c>
      <c r="D14" s="205" t="s">
        <v>405</v>
      </c>
      <c r="E14" s="205" t="s">
        <v>86</v>
      </c>
      <c r="F14" s="205" t="s">
        <v>483</v>
      </c>
      <c r="G14" s="205" t="s">
        <v>531</v>
      </c>
      <c r="H14" s="205" t="s">
        <v>532</v>
      </c>
      <c r="I14" s="205" t="s">
        <v>533</v>
      </c>
      <c r="J14" s="205" t="s">
        <v>534</v>
      </c>
      <c r="K14" s="205" t="s">
        <v>535</v>
      </c>
      <c r="L14" s="205" t="s">
        <v>467</v>
      </c>
      <c r="M14" s="205" t="s">
        <v>170</v>
      </c>
      <c r="N14" s="205" t="s">
        <v>407</v>
      </c>
      <c r="O14" s="205" t="s">
        <v>97</v>
      </c>
      <c r="P14" s="205" t="s">
        <v>83</v>
      </c>
      <c r="Q14" s="206" t="s">
        <v>536</v>
      </c>
      <c r="R14" s="205" t="s">
        <v>532</v>
      </c>
      <c r="S14" s="205" t="s">
        <v>537</v>
      </c>
      <c r="T14" s="205" t="s">
        <v>538</v>
      </c>
      <c r="U14" s="205" t="s">
        <v>539</v>
      </c>
      <c r="V14" s="205" t="s">
        <v>468</v>
      </c>
      <c r="W14" s="207" t="s">
        <v>476</v>
      </c>
      <c r="X14" s="207" t="s">
        <v>477</v>
      </c>
    </row>
    <row r="15" spans="1:24" ht="21.6" customHeight="1" x14ac:dyDescent="0.45">
      <c r="B15" s="208" t="s">
        <v>140</v>
      </c>
      <c r="C15" s="454"/>
      <c r="D15" s="200" t="s">
        <v>78</v>
      </c>
      <c r="E15" s="200" t="s">
        <v>77</v>
      </c>
      <c r="F15" s="200" t="s">
        <v>79</v>
      </c>
      <c r="G15" s="200" t="s">
        <v>81</v>
      </c>
      <c r="H15" s="209"/>
      <c r="I15" s="200" t="s">
        <v>489</v>
      </c>
      <c r="J15" s="210" t="s">
        <v>82</v>
      </c>
      <c r="K15" s="200" t="s">
        <v>85</v>
      </c>
      <c r="L15" s="211" t="s">
        <v>62</v>
      </c>
      <c r="M15" s="455"/>
      <c r="N15" s="200" t="s">
        <v>78</v>
      </c>
      <c r="O15" s="200" t="s">
        <v>77</v>
      </c>
      <c r="P15" s="200" t="s">
        <v>79</v>
      </c>
      <c r="Q15" s="200" t="s">
        <v>81</v>
      </c>
      <c r="R15" s="209"/>
      <c r="S15" s="200" t="s">
        <v>489</v>
      </c>
      <c r="T15" s="200" t="s">
        <v>82</v>
      </c>
      <c r="U15" s="200" t="s">
        <v>85</v>
      </c>
      <c r="V15" s="211" t="s">
        <v>62</v>
      </c>
      <c r="W15" s="200" t="s">
        <v>85</v>
      </c>
      <c r="X15" s="211" t="s">
        <v>62</v>
      </c>
    </row>
    <row r="16" spans="1:24" ht="21.6" customHeight="1" x14ac:dyDescent="0.45">
      <c r="B16" s="493" t="s">
        <v>540</v>
      </c>
      <c r="C16" s="212" t="s">
        <v>541</v>
      </c>
      <c r="D16" s="213">
        <v>64</v>
      </c>
      <c r="E16" s="214">
        <v>60</v>
      </c>
      <c r="F16" s="214">
        <v>8</v>
      </c>
      <c r="G16" s="214">
        <v>250</v>
      </c>
      <c r="H16" s="215"/>
      <c r="I16" s="214"/>
      <c r="J16" s="216">
        <f>IF(H16="",F16*G16,F16*G16*I16/100)</f>
        <v>2000</v>
      </c>
      <c r="K16" s="216">
        <f>D16*E16*J16/1000</f>
        <v>7680</v>
      </c>
      <c r="L16" s="428">
        <f>K16*係数!$H$30</f>
        <v>3.5020800000000003</v>
      </c>
      <c r="M16" s="218" t="s">
        <v>542</v>
      </c>
      <c r="N16" s="213">
        <v>26.3</v>
      </c>
      <c r="O16" s="214">
        <v>60</v>
      </c>
      <c r="P16" s="219">
        <f>IF(F16=0,0,F16)</f>
        <v>8</v>
      </c>
      <c r="Q16" s="219">
        <f>IF(G16=0,0,G16)</f>
        <v>250</v>
      </c>
      <c r="R16" s="215" t="s">
        <v>328</v>
      </c>
      <c r="S16" s="214">
        <v>20</v>
      </c>
      <c r="T16" s="216">
        <f>IF(R16="",P16*Q16,P16*Q16*S16/100)</f>
        <v>400</v>
      </c>
      <c r="U16" s="216">
        <f>N16*O16*T16/1000</f>
        <v>631.20000000000005</v>
      </c>
      <c r="V16" s="428">
        <f>U16*係数!$H$30</f>
        <v>0.28782720000000006</v>
      </c>
      <c r="W16" s="216">
        <f>K16-U16</f>
        <v>7048.8</v>
      </c>
      <c r="X16" s="430">
        <f>L16-V16</f>
        <v>3.2142528000000001</v>
      </c>
    </row>
    <row r="17" spans="2:24" x14ac:dyDescent="0.45">
      <c r="B17" s="200" t="s">
        <v>60</v>
      </c>
      <c r="C17" s="221"/>
      <c r="D17" s="222"/>
      <c r="E17" s="20">
        <f>SUM(E18:E317)</f>
        <v>0</v>
      </c>
      <c r="F17" s="223"/>
      <c r="G17" s="223"/>
      <c r="H17" s="221"/>
      <c r="I17" s="223"/>
      <c r="J17" s="224"/>
      <c r="K17" s="225">
        <f>SUM(K18:K317)</f>
        <v>0</v>
      </c>
      <c r="L17" s="429">
        <f>SUM(L18:L317)</f>
        <v>0</v>
      </c>
      <c r="M17" s="227"/>
      <c r="N17" s="221"/>
      <c r="O17" s="20">
        <f>SUM(O18:O317)</f>
        <v>0</v>
      </c>
      <c r="P17" s="223"/>
      <c r="Q17" s="223"/>
      <c r="R17" s="221"/>
      <c r="S17" s="223"/>
      <c r="T17" s="228"/>
      <c r="U17" s="225">
        <f>SUM(U18:U317)</f>
        <v>0</v>
      </c>
      <c r="V17" s="429">
        <f>SUM(V18:V317)</f>
        <v>0</v>
      </c>
      <c r="W17" s="225">
        <f>SUM(W18:W317)</f>
        <v>0</v>
      </c>
      <c r="X17" s="431">
        <f>SUM(X18:X317)</f>
        <v>0</v>
      </c>
    </row>
    <row r="18" spans="2:24" x14ac:dyDescent="0.45">
      <c r="B18" s="208" t="s">
        <v>119</v>
      </c>
      <c r="C18" s="36"/>
      <c r="D18" s="494"/>
      <c r="E18" s="28"/>
      <c r="F18" s="230"/>
      <c r="G18" s="230"/>
      <c r="H18" s="231"/>
      <c r="I18" s="28"/>
      <c r="J18" s="225">
        <f>IF(H18="",F18*G18,F18*G18*I18/100)</f>
        <v>0</v>
      </c>
      <c r="K18" s="225">
        <f>D18*E18*J18/1000</f>
        <v>0</v>
      </c>
      <c r="L18" s="429">
        <f>K18*係数!$H$30</f>
        <v>0</v>
      </c>
      <c r="M18" s="36"/>
      <c r="N18" s="495"/>
      <c r="O18" s="28"/>
      <c r="P18" s="1">
        <f t="shared" ref="P18:Q67" si="3">IF(F18=0,0,F18)</f>
        <v>0</v>
      </c>
      <c r="Q18" s="1">
        <f t="shared" si="3"/>
        <v>0</v>
      </c>
      <c r="R18" s="231"/>
      <c r="S18" s="28"/>
      <c r="T18" s="504">
        <f t="shared" ref="T18:T67" si="4">IF(R18="",P18*Q18,P18*Q18*S18/100)</f>
        <v>0</v>
      </c>
      <c r="U18" s="12">
        <f t="shared" ref="U18:U67" si="5">N18*O18*T18/1000</f>
        <v>0</v>
      </c>
      <c r="V18" s="429">
        <f>U18*係数!$H$30</f>
        <v>0</v>
      </c>
      <c r="W18" s="12">
        <f t="shared" ref="W18:X67" si="6">K18-U18</f>
        <v>0</v>
      </c>
      <c r="X18" s="431">
        <f t="shared" si="6"/>
        <v>0</v>
      </c>
    </row>
    <row r="19" spans="2:24" x14ac:dyDescent="0.45">
      <c r="B19" s="208" t="s">
        <v>120</v>
      </c>
      <c r="C19" s="36"/>
      <c r="D19" s="494"/>
      <c r="E19" s="28"/>
      <c r="F19" s="230"/>
      <c r="G19" s="230"/>
      <c r="H19" s="231"/>
      <c r="I19" s="28"/>
      <c r="J19" s="225">
        <f t="shared" ref="J19:J67" si="7">IF(H19="",F19*G19,F19*G19*I19/100)</f>
        <v>0</v>
      </c>
      <c r="K19" s="225">
        <f>D19*E19*J19/1000</f>
        <v>0</v>
      </c>
      <c r="L19" s="429">
        <f>K19*係数!$H$30</f>
        <v>0</v>
      </c>
      <c r="M19" s="36"/>
      <c r="N19" s="495"/>
      <c r="O19" s="28"/>
      <c r="P19" s="1">
        <f t="shared" si="3"/>
        <v>0</v>
      </c>
      <c r="Q19" s="1">
        <f t="shared" si="3"/>
        <v>0</v>
      </c>
      <c r="R19" s="231"/>
      <c r="S19" s="28"/>
      <c r="T19" s="504">
        <f t="shared" si="4"/>
        <v>0</v>
      </c>
      <c r="U19" s="12">
        <f t="shared" si="5"/>
        <v>0</v>
      </c>
      <c r="V19" s="429">
        <f>U19*係数!$H$30</f>
        <v>0</v>
      </c>
      <c r="W19" s="12">
        <f t="shared" si="6"/>
        <v>0</v>
      </c>
      <c r="X19" s="431">
        <f t="shared" si="6"/>
        <v>0</v>
      </c>
    </row>
    <row r="20" spans="2:24" x14ac:dyDescent="0.45">
      <c r="B20" s="208" t="s">
        <v>121</v>
      </c>
      <c r="C20" s="36"/>
      <c r="D20" s="494"/>
      <c r="E20" s="28"/>
      <c r="F20" s="230"/>
      <c r="G20" s="230"/>
      <c r="H20" s="231"/>
      <c r="I20" s="28"/>
      <c r="J20" s="225">
        <f t="shared" si="7"/>
        <v>0</v>
      </c>
      <c r="K20" s="225">
        <f t="shared" ref="K20:K67" si="8">D20*E20*J20/1000</f>
        <v>0</v>
      </c>
      <c r="L20" s="429">
        <f>K20*係数!$H$30</f>
        <v>0</v>
      </c>
      <c r="M20" s="36"/>
      <c r="N20" s="495"/>
      <c r="O20" s="28"/>
      <c r="P20" s="1">
        <f t="shared" si="3"/>
        <v>0</v>
      </c>
      <c r="Q20" s="1">
        <f t="shared" si="3"/>
        <v>0</v>
      </c>
      <c r="R20" s="231"/>
      <c r="S20" s="28"/>
      <c r="T20" s="504">
        <f t="shared" si="4"/>
        <v>0</v>
      </c>
      <c r="U20" s="12">
        <f t="shared" si="5"/>
        <v>0</v>
      </c>
      <c r="V20" s="429">
        <f>U20*係数!$H$30</f>
        <v>0</v>
      </c>
      <c r="W20" s="12">
        <f t="shared" si="6"/>
        <v>0</v>
      </c>
      <c r="X20" s="431">
        <f t="shared" si="6"/>
        <v>0</v>
      </c>
    </row>
    <row r="21" spans="2:24" x14ac:dyDescent="0.45">
      <c r="B21" s="208" t="s">
        <v>122</v>
      </c>
      <c r="C21" s="36"/>
      <c r="D21" s="494"/>
      <c r="E21" s="28"/>
      <c r="F21" s="230"/>
      <c r="G21" s="230"/>
      <c r="H21" s="231"/>
      <c r="I21" s="28"/>
      <c r="J21" s="225">
        <f t="shared" si="7"/>
        <v>0</v>
      </c>
      <c r="K21" s="225">
        <f t="shared" si="8"/>
        <v>0</v>
      </c>
      <c r="L21" s="429">
        <f>K21*係数!$H$30</f>
        <v>0</v>
      </c>
      <c r="M21" s="36"/>
      <c r="N21" s="495"/>
      <c r="O21" s="28"/>
      <c r="P21" s="1">
        <f t="shared" si="3"/>
        <v>0</v>
      </c>
      <c r="Q21" s="1">
        <f t="shared" si="3"/>
        <v>0</v>
      </c>
      <c r="R21" s="231"/>
      <c r="S21" s="28"/>
      <c r="T21" s="504">
        <f t="shared" si="4"/>
        <v>0</v>
      </c>
      <c r="U21" s="12">
        <f t="shared" si="5"/>
        <v>0</v>
      </c>
      <c r="V21" s="429">
        <f>U21*係数!$H$30</f>
        <v>0</v>
      </c>
      <c r="W21" s="12">
        <f t="shared" si="6"/>
        <v>0</v>
      </c>
      <c r="X21" s="431">
        <f t="shared" si="6"/>
        <v>0</v>
      </c>
    </row>
    <row r="22" spans="2:24" x14ac:dyDescent="0.45">
      <c r="B22" s="208" t="s">
        <v>123</v>
      </c>
      <c r="C22" s="36"/>
      <c r="D22" s="494"/>
      <c r="E22" s="28"/>
      <c r="F22" s="230"/>
      <c r="G22" s="230"/>
      <c r="H22" s="231"/>
      <c r="I22" s="28"/>
      <c r="J22" s="225">
        <f t="shared" si="7"/>
        <v>0</v>
      </c>
      <c r="K22" s="225">
        <f t="shared" si="8"/>
        <v>0</v>
      </c>
      <c r="L22" s="429">
        <f>K22*係数!$H$30</f>
        <v>0</v>
      </c>
      <c r="M22" s="36"/>
      <c r="N22" s="495"/>
      <c r="O22" s="28"/>
      <c r="P22" s="1">
        <f t="shared" si="3"/>
        <v>0</v>
      </c>
      <c r="Q22" s="1">
        <f t="shared" si="3"/>
        <v>0</v>
      </c>
      <c r="R22" s="231"/>
      <c r="S22" s="28"/>
      <c r="T22" s="504">
        <f t="shared" si="4"/>
        <v>0</v>
      </c>
      <c r="U22" s="12">
        <f t="shared" si="5"/>
        <v>0</v>
      </c>
      <c r="V22" s="429">
        <f>U22*係数!$H$30</f>
        <v>0</v>
      </c>
      <c r="W22" s="12">
        <f t="shared" si="6"/>
        <v>0</v>
      </c>
      <c r="X22" s="431">
        <f t="shared" si="6"/>
        <v>0</v>
      </c>
    </row>
    <row r="23" spans="2:24" x14ac:dyDescent="0.45">
      <c r="B23" s="208" t="s">
        <v>124</v>
      </c>
      <c r="C23" s="36"/>
      <c r="D23" s="494"/>
      <c r="E23" s="28"/>
      <c r="F23" s="230"/>
      <c r="G23" s="230"/>
      <c r="H23" s="231"/>
      <c r="I23" s="28"/>
      <c r="J23" s="225">
        <f t="shared" si="7"/>
        <v>0</v>
      </c>
      <c r="K23" s="225">
        <f t="shared" si="8"/>
        <v>0</v>
      </c>
      <c r="L23" s="429">
        <f>K23*係数!$H$30</f>
        <v>0</v>
      </c>
      <c r="M23" s="36"/>
      <c r="N23" s="495"/>
      <c r="O23" s="28"/>
      <c r="P23" s="1">
        <f t="shared" si="3"/>
        <v>0</v>
      </c>
      <c r="Q23" s="1">
        <f t="shared" si="3"/>
        <v>0</v>
      </c>
      <c r="R23" s="231"/>
      <c r="S23" s="28"/>
      <c r="T23" s="504">
        <f t="shared" si="4"/>
        <v>0</v>
      </c>
      <c r="U23" s="12">
        <f t="shared" si="5"/>
        <v>0</v>
      </c>
      <c r="V23" s="429">
        <f>U23*係数!$H$30</f>
        <v>0</v>
      </c>
      <c r="W23" s="12">
        <f t="shared" si="6"/>
        <v>0</v>
      </c>
      <c r="X23" s="431">
        <f t="shared" si="6"/>
        <v>0</v>
      </c>
    </row>
    <row r="24" spans="2:24" x14ac:dyDescent="0.45">
      <c r="B24" s="208" t="s">
        <v>125</v>
      </c>
      <c r="C24" s="36"/>
      <c r="D24" s="494"/>
      <c r="E24" s="28"/>
      <c r="F24" s="230"/>
      <c r="G24" s="230"/>
      <c r="H24" s="231"/>
      <c r="I24" s="28"/>
      <c r="J24" s="225">
        <f t="shared" si="7"/>
        <v>0</v>
      </c>
      <c r="K24" s="225">
        <f t="shared" si="8"/>
        <v>0</v>
      </c>
      <c r="L24" s="429">
        <f>K24*係数!$H$30</f>
        <v>0</v>
      </c>
      <c r="M24" s="36"/>
      <c r="N24" s="495"/>
      <c r="O24" s="28"/>
      <c r="P24" s="1">
        <f t="shared" si="3"/>
        <v>0</v>
      </c>
      <c r="Q24" s="1">
        <f t="shared" si="3"/>
        <v>0</v>
      </c>
      <c r="R24" s="231"/>
      <c r="S24" s="28"/>
      <c r="T24" s="504">
        <f t="shared" si="4"/>
        <v>0</v>
      </c>
      <c r="U24" s="12">
        <f t="shared" si="5"/>
        <v>0</v>
      </c>
      <c r="V24" s="429">
        <f>U24*係数!$H$30</f>
        <v>0</v>
      </c>
      <c r="W24" s="12">
        <f t="shared" si="6"/>
        <v>0</v>
      </c>
      <c r="X24" s="431">
        <f t="shared" si="6"/>
        <v>0</v>
      </c>
    </row>
    <row r="25" spans="2:24" x14ac:dyDescent="0.45">
      <c r="B25" s="208" t="s">
        <v>126</v>
      </c>
      <c r="C25" s="36"/>
      <c r="D25" s="494"/>
      <c r="E25" s="28"/>
      <c r="F25" s="230"/>
      <c r="G25" s="230"/>
      <c r="H25" s="231"/>
      <c r="I25" s="28"/>
      <c r="J25" s="225">
        <f t="shared" si="7"/>
        <v>0</v>
      </c>
      <c r="K25" s="225">
        <f t="shared" si="8"/>
        <v>0</v>
      </c>
      <c r="L25" s="429">
        <f>K25*係数!$H$30</f>
        <v>0</v>
      </c>
      <c r="M25" s="36"/>
      <c r="N25" s="495"/>
      <c r="O25" s="28"/>
      <c r="P25" s="1">
        <f t="shared" si="3"/>
        <v>0</v>
      </c>
      <c r="Q25" s="1">
        <f t="shared" si="3"/>
        <v>0</v>
      </c>
      <c r="R25" s="231"/>
      <c r="S25" s="28"/>
      <c r="T25" s="504">
        <f t="shared" si="4"/>
        <v>0</v>
      </c>
      <c r="U25" s="12">
        <f t="shared" si="5"/>
        <v>0</v>
      </c>
      <c r="V25" s="429">
        <f>U25*係数!$H$30</f>
        <v>0</v>
      </c>
      <c r="W25" s="12">
        <f t="shared" si="6"/>
        <v>0</v>
      </c>
      <c r="X25" s="431">
        <f t="shared" si="6"/>
        <v>0</v>
      </c>
    </row>
    <row r="26" spans="2:24" x14ac:dyDescent="0.45">
      <c r="B26" s="208" t="s">
        <v>127</v>
      </c>
      <c r="C26" s="36"/>
      <c r="D26" s="494"/>
      <c r="E26" s="28"/>
      <c r="F26" s="230"/>
      <c r="G26" s="230"/>
      <c r="H26" s="231"/>
      <c r="I26" s="28"/>
      <c r="J26" s="225">
        <f t="shared" si="7"/>
        <v>0</v>
      </c>
      <c r="K26" s="225">
        <f t="shared" si="8"/>
        <v>0</v>
      </c>
      <c r="L26" s="429">
        <f>K26*係数!$H$30</f>
        <v>0</v>
      </c>
      <c r="M26" s="36"/>
      <c r="N26" s="495"/>
      <c r="O26" s="28"/>
      <c r="P26" s="1">
        <f t="shared" si="3"/>
        <v>0</v>
      </c>
      <c r="Q26" s="1">
        <f t="shared" si="3"/>
        <v>0</v>
      </c>
      <c r="R26" s="231"/>
      <c r="S26" s="28"/>
      <c r="T26" s="504">
        <f t="shared" si="4"/>
        <v>0</v>
      </c>
      <c r="U26" s="12">
        <f t="shared" si="5"/>
        <v>0</v>
      </c>
      <c r="V26" s="429">
        <f>U26*係数!$H$30</f>
        <v>0</v>
      </c>
      <c r="W26" s="12">
        <f t="shared" si="6"/>
        <v>0</v>
      </c>
      <c r="X26" s="431">
        <f t="shared" si="6"/>
        <v>0</v>
      </c>
    </row>
    <row r="27" spans="2:24" x14ac:dyDescent="0.45">
      <c r="B27" s="208" t="s">
        <v>128</v>
      </c>
      <c r="C27" s="36"/>
      <c r="D27" s="494"/>
      <c r="E27" s="28"/>
      <c r="F27" s="230"/>
      <c r="G27" s="230"/>
      <c r="H27" s="231"/>
      <c r="I27" s="28"/>
      <c r="J27" s="225">
        <f t="shared" si="7"/>
        <v>0</v>
      </c>
      <c r="K27" s="225">
        <f t="shared" si="8"/>
        <v>0</v>
      </c>
      <c r="L27" s="429">
        <f>K27*係数!$H$30</f>
        <v>0</v>
      </c>
      <c r="M27" s="36"/>
      <c r="N27" s="495"/>
      <c r="O27" s="28"/>
      <c r="P27" s="1">
        <f t="shared" si="3"/>
        <v>0</v>
      </c>
      <c r="Q27" s="1">
        <f t="shared" si="3"/>
        <v>0</v>
      </c>
      <c r="R27" s="231"/>
      <c r="S27" s="28"/>
      <c r="T27" s="504">
        <f t="shared" si="4"/>
        <v>0</v>
      </c>
      <c r="U27" s="12">
        <f t="shared" si="5"/>
        <v>0</v>
      </c>
      <c r="V27" s="429">
        <f>U27*係数!$H$30</f>
        <v>0</v>
      </c>
      <c r="W27" s="12">
        <f t="shared" si="6"/>
        <v>0</v>
      </c>
      <c r="X27" s="431">
        <f t="shared" si="6"/>
        <v>0</v>
      </c>
    </row>
    <row r="28" spans="2:24" x14ac:dyDescent="0.45">
      <c r="B28" s="208" t="s">
        <v>129</v>
      </c>
      <c r="C28" s="36"/>
      <c r="D28" s="494"/>
      <c r="E28" s="28"/>
      <c r="F28" s="230"/>
      <c r="G28" s="230"/>
      <c r="H28" s="231"/>
      <c r="I28" s="28"/>
      <c r="J28" s="225">
        <f t="shared" si="7"/>
        <v>0</v>
      </c>
      <c r="K28" s="225">
        <f t="shared" si="8"/>
        <v>0</v>
      </c>
      <c r="L28" s="429">
        <f>K28*係数!$H$30</f>
        <v>0</v>
      </c>
      <c r="M28" s="36"/>
      <c r="N28" s="495"/>
      <c r="O28" s="28"/>
      <c r="P28" s="1">
        <f t="shared" si="3"/>
        <v>0</v>
      </c>
      <c r="Q28" s="1">
        <f t="shared" si="3"/>
        <v>0</v>
      </c>
      <c r="R28" s="231"/>
      <c r="S28" s="28"/>
      <c r="T28" s="504">
        <f t="shared" si="4"/>
        <v>0</v>
      </c>
      <c r="U28" s="12">
        <f t="shared" si="5"/>
        <v>0</v>
      </c>
      <c r="V28" s="429">
        <f>U28*係数!$H$30</f>
        <v>0</v>
      </c>
      <c r="W28" s="12">
        <f t="shared" si="6"/>
        <v>0</v>
      </c>
      <c r="X28" s="431">
        <f t="shared" si="6"/>
        <v>0</v>
      </c>
    </row>
    <row r="29" spans="2:24" x14ac:dyDescent="0.45">
      <c r="B29" s="208" t="s">
        <v>130</v>
      </c>
      <c r="C29" s="36"/>
      <c r="D29" s="494"/>
      <c r="E29" s="28"/>
      <c r="F29" s="230"/>
      <c r="G29" s="230"/>
      <c r="H29" s="231"/>
      <c r="I29" s="28"/>
      <c r="J29" s="225">
        <f t="shared" si="7"/>
        <v>0</v>
      </c>
      <c r="K29" s="225">
        <f t="shared" si="8"/>
        <v>0</v>
      </c>
      <c r="L29" s="429">
        <f>K29*係数!$H$30</f>
        <v>0</v>
      </c>
      <c r="M29" s="36"/>
      <c r="N29" s="495"/>
      <c r="O29" s="28"/>
      <c r="P29" s="1">
        <f t="shared" si="3"/>
        <v>0</v>
      </c>
      <c r="Q29" s="1">
        <f t="shared" si="3"/>
        <v>0</v>
      </c>
      <c r="R29" s="231"/>
      <c r="S29" s="28"/>
      <c r="T29" s="504">
        <f t="shared" si="4"/>
        <v>0</v>
      </c>
      <c r="U29" s="12">
        <f t="shared" si="5"/>
        <v>0</v>
      </c>
      <c r="V29" s="429">
        <f>U29*係数!$H$30</f>
        <v>0</v>
      </c>
      <c r="W29" s="12">
        <f t="shared" si="6"/>
        <v>0</v>
      </c>
      <c r="X29" s="431">
        <f t="shared" si="6"/>
        <v>0</v>
      </c>
    </row>
    <row r="30" spans="2:24" x14ac:dyDescent="0.45">
      <c r="B30" s="208" t="s">
        <v>131</v>
      </c>
      <c r="C30" s="36"/>
      <c r="D30" s="494"/>
      <c r="E30" s="28"/>
      <c r="F30" s="230"/>
      <c r="G30" s="230"/>
      <c r="H30" s="231"/>
      <c r="I30" s="28"/>
      <c r="J30" s="225">
        <f t="shared" si="7"/>
        <v>0</v>
      </c>
      <c r="K30" s="225">
        <f t="shared" si="8"/>
        <v>0</v>
      </c>
      <c r="L30" s="429">
        <f>K30*係数!$H$30</f>
        <v>0</v>
      </c>
      <c r="M30" s="36"/>
      <c r="N30" s="495"/>
      <c r="O30" s="28"/>
      <c r="P30" s="1">
        <f t="shared" si="3"/>
        <v>0</v>
      </c>
      <c r="Q30" s="1">
        <f t="shared" si="3"/>
        <v>0</v>
      </c>
      <c r="R30" s="231"/>
      <c r="S30" s="28"/>
      <c r="T30" s="504">
        <f t="shared" si="4"/>
        <v>0</v>
      </c>
      <c r="U30" s="12">
        <f t="shared" si="5"/>
        <v>0</v>
      </c>
      <c r="V30" s="429">
        <f>U30*係数!$H$30</f>
        <v>0</v>
      </c>
      <c r="W30" s="12">
        <f t="shared" si="6"/>
        <v>0</v>
      </c>
      <c r="X30" s="431">
        <f t="shared" si="6"/>
        <v>0</v>
      </c>
    </row>
    <row r="31" spans="2:24" x14ac:dyDescent="0.45">
      <c r="B31" s="208" t="s">
        <v>132</v>
      </c>
      <c r="C31" s="36"/>
      <c r="D31" s="494"/>
      <c r="E31" s="28"/>
      <c r="F31" s="230"/>
      <c r="G31" s="230"/>
      <c r="H31" s="231"/>
      <c r="I31" s="28"/>
      <c r="J31" s="225">
        <f t="shared" si="7"/>
        <v>0</v>
      </c>
      <c r="K31" s="225">
        <f t="shared" si="8"/>
        <v>0</v>
      </c>
      <c r="L31" s="429">
        <f>K31*係数!$H$30</f>
        <v>0</v>
      </c>
      <c r="M31" s="36"/>
      <c r="N31" s="495"/>
      <c r="O31" s="28"/>
      <c r="P31" s="1">
        <f t="shared" si="3"/>
        <v>0</v>
      </c>
      <c r="Q31" s="1">
        <f t="shared" si="3"/>
        <v>0</v>
      </c>
      <c r="R31" s="231"/>
      <c r="S31" s="28"/>
      <c r="T31" s="504">
        <f t="shared" si="4"/>
        <v>0</v>
      </c>
      <c r="U31" s="12">
        <f t="shared" si="5"/>
        <v>0</v>
      </c>
      <c r="V31" s="429">
        <f>U31*係数!$H$30</f>
        <v>0</v>
      </c>
      <c r="W31" s="12">
        <f t="shared" si="6"/>
        <v>0</v>
      </c>
      <c r="X31" s="431">
        <f t="shared" si="6"/>
        <v>0</v>
      </c>
    </row>
    <row r="32" spans="2:24" x14ac:dyDescent="0.45">
      <c r="B32" s="208" t="s">
        <v>133</v>
      </c>
      <c r="C32" s="36"/>
      <c r="D32" s="494"/>
      <c r="E32" s="28"/>
      <c r="F32" s="230"/>
      <c r="G32" s="230"/>
      <c r="H32" s="231"/>
      <c r="I32" s="28"/>
      <c r="J32" s="225">
        <f t="shared" si="7"/>
        <v>0</v>
      </c>
      <c r="K32" s="225">
        <f t="shared" si="8"/>
        <v>0</v>
      </c>
      <c r="L32" s="429">
        <f>K32*係数!$H$30</f>
        <v>0</v>
      </c>
      <c r="M32" s="36"/>
      <c r="N32" s="495"/>
      <c r="O32" s="28"/>
      <c r="P32" s="1">
        <f t="shared" si="3"/>
        <v>0</v>
      </c>
      <c r="Q32" s="1">
        <f t="shared" si="3"/>
        <v>0</v>
      </c>
      <c r="R32" s="231"/>
      <c r="S32" s="28"/>
      <c r="T32" s="504">
        <f t="shared" si="4"/>
        <v>0</v>
      </c>
      <c r="U32" s="12">
        <f t="shared" si="5"/>
        <v>0</v>
      </c>
      <c r="V32" s="429">
        <f>U32*係数!$H$30</f>
        <v>0</v>
      </c>
      <c r="W32" s="12">
        <f t="shared" si="6"/>
        <v>0</v>
      </c>
      <c r="X32" s="431">
        <f t="shared" si="6"/>
        <v>0</v>
      </c>
    </row>
    <row r="33" spans="2:24" x14ac:dyDescent="0.45">
      <c r="B33" s="208" t="s">
        <v>134</v>
      </c>
      <c r="C33" s="36"/>
      <c r="D33" s="494"/>
      <c r="E33" s="28"/>
      <c r="F33" s="230"/>
      <c r="G33" s="230"/>
      <c r="H33" s="231"/>
      <c r="I33" s="28"/>
      <c r="J33" s="225">
        <f t="shared" si="7"/>
        <v>0</v>
      </c>
      <c r="K33" s="225">
        <f t="shared" si="8"/>
        <v>0</v>
      </c>
      <c r="L33" s="429">
        <f>K33*係数!$H$30</f>
        <v>0</v>
      </c>
      <c r="M33" s="36"/>
      <c r="N33" s="495"/>
      <c r="O33" s="28"/>
      <c r="P33" s="1">
        <f t="shared" si="3"/>
        <v>0</v>
      </c>
      <c r="Q33" s="1">
        <f t="shared" si="3"/>
        <v>0</v>
      </c>
      <c r="R33" s="231"/>
      <c r="S33" s="28"/>
      <c r="T33" s="504">
        <f t="shared" si="4"/>
        <v>0</v>
      </c>
      <c r="U33" s="12">
        <f t="shared" si="5"/>
        <v>0</v>
      </c>
      <c r="V33" s="429">
        <f>U33*係数!$H$30</f>
        <v>0</v>
      </c>
      <c r="W33" s="12">
        <f t="shared" si="6"/>
        <v>0</v>
      </c>
      <c r="X33" s="431">
        <f t="shared" si="6"/>
        <v>0</v>
      </c>
    </row>
    <row r="34" spans="2:24" x14ac:dyDescent="0.45">
      <c r="B34" s="208" t="s">
        <v>135</v>
      </c>
      <c r="C34" s="36"/>
      <c r="D34" s="494"/>
      <c r="E34" s="28"/>
      <c r="F34" s="230"/>
      <c r="G34" s="230"/>
      <c r="H34" s="231"/>
      <c r="I34" s="28"/>
      <c r="J34" s="225">
        <f t="shared" si="7"/>
        <v>0</v>
      </c>
      <c r="K34" s="225">
        <f t="shared" si="8"/>
        <v>0</v>
      </c>
      <c r="L34" s="429">
        <f>K34*係数!$H$30</f>
        <v>0</v>
      </c>
      <c r="M34" s="36"/>
      <c r="N34" s="495"/>
      <c r="O34" s="28"/>
      <c r="P34" s="1">
        <f t="shared" si="3"/>
        <v>0</v>
      </c>
      <c r="Q34" s="1">
        <f t="shared" si="3"/>
        <v>0</v>
      </c>
      <c r="R34" s="231"/>
      <c r="S34" s="28"/>
      <c r="T34" s="504">
        <f t="shared" si="4"/>
        <v>0</v>
      </c>
      <c r="U34" s="12">
        <f t="shared" si="5"/>
        <v>0</v>
      </c>
      <c r="V34" s="429">
        <f>U34*係数!$H$30</f>
        <v>0</v>
      </c>
      <c r="W34" s="12">
        <f t="shared" si="6"/>
        <v>0</v>
      </c>
      <c r="X34" s="431">
        <f t="shared" si="6"/>
        <v>0</v>
      </c>
    </row>
    <row r="35" spans="2:24" x14ac:dyDescent="0.45">
      <c r="B35" s="208" t="s">
        <v>136</v>
      </c>
      <c r="C35" s="36"/>
      <c r="D35" s="494"/>
      <c r="E35" s="28"/>
      <c r="F35" s="230"/>
      <c r="G35" s="230"/>
      <c r="H35" s="231"/>
      <c r="I35" s="28"/>
      <c r="J35" s="225">
        <f t="shared" si="7"/>
        <v>0</v>
      </c>
      <c r="K35" s="225">
        <f t="shared" si="8"/>
        <v>0</v>
      </c>
      <c r="L35" s="429">
        <f>K35*係数!$H$30</f>
        <v>0</v>
      </c>
      <c r="M35" s="36"/>
      <c r="N35" s="495"/>
      <c r="O35" s="28"/>
      <c r="P35" s="1">
        <f t="shared" si="3"/>
        <v>0</v>
      </c>
      <c r="Q35" s="1">
        <f t="shared" si="3"/>
        <v>0</v>
      </c>
      <c r="R35" s="231"/>
      <c r="S35" s="28"/>
      <c r="T35" s="504">
        <f t="shared" si="4"/>
        <v>0</v>
      </c>
      <c r="U35" s="12">
        <f t="shared" si="5"/>
        <v>0</v>
      </c>
      <c r="V35" s="429">
        <f>U35*係数!$H$30</f>
        <v>0</v>
      </c>
      <c r="W35" s="12">
        <f t="shared" si="6"/>
        <v>0</v>
      </c>
      <c r="X35" s="431">
        <f t="shared" si="6"/>
        <v>0</v>
      </c>
    </row>
    <row r="36" spans="2:24" x14ac:dyDescent="0.45">
      <c r="B36" s="208" t="s">
        <v>137</v>
      </c>
      <c r="C36" s="36"/>
      <c r="D36" s="494"/>
      <c r="E36" s="28"/>
      <c r="F36" s="230"/>
      <c r="G36" s="230"/>
      <c r="H36" s="231"/>
      <c r="I36" s="28"/>
      <c r="J36" s="225">
        <f t="shared" si="7"/>
        <v>0</v>
      </c>
      <c r="K36" s="225">
        <f t="shared" si="8"/>
        <v>0</v>
      </c>
      <c r="L36" s="429">
        <f>K36*係数!$H$30</f>
        <v>0</v>
      </c>
      <c r="M36" s="36"/>
      <c r="N36" s="495"/>
      <c r="O36" s="28"/>
      <c r="P36" s="1">
        <f t="shared" si="3"/>
        <v>0</v>
      </c>
      <c r="Q36" s="1">
        <f t="shared" si="3"/>
        <v>0</v>
      </c>
      <c r="R36" s="231"/>
      <c r="S36" s="28"/>
      <c r="T36" s="504">
        <f t="shared" si="4"/>
        <v>0</v>
      </c>
      <c r="U36" s="12">
        <f t="shared" si="5"/>
        <v>0</v>
      </c>
      <c r="V36" s="429">
        <f>U36*係数!$H$30</f>
        <v>0</v>
      </c>
      <c r="W36" s="12">
        <f t="shared" si="6"/>
        <v>0</v>
      </c>
      <c r="X36" s="431">
        <f t="shared" si="6"/>
        <v>0</v>
      </c>
    </row>
    <row r="37" spans="2:24" x14ac:dyDescent="0.45">
      <c r="B37" s="208" t="s">
        <v>138</v>
      </c>
      <c r="C37" s="36"/>
      <c r="D37" s="494"/>
      <c r="E37" s="28"/>
      <c r="F37" s="230"/>
      <c r="G37" s="230"/>
      <c r="H37" s="231"/>
      <c r="I37" s="28"/>
      <c r="J37" s="225">
        <f t="shared" si="7"/>
        <v>0</v>
      </c>
      <c r="K37" s="225">
        <f t="shared" si="8"/>
        <v>0</v>
      </c>
      <c r="L37" s="429">
        <f>K37*係数!$H$30</f>
        <v>0</v>
      </c>
      <c r="M37" s="36"/>
      <c r="N37" s="495"/>
      <c r="O37" s="28"/>
      <c r="P37" s="1">
        <f t="shared" si="3"/>
        <v>0</v>
      </c>
      <c r="Q37" s="1">
        <f t="shared" si="3"/>
        <v>0</v>
      </c>
      <c r="R37" s="231"/>
      <c r="S37" s="28"/>
      <c r="T37" s="504">
        <f t="shared" si="4"/>
        <v>0</v>
      </c>
      <c r="U37" s="12">
        <f t="shared" si="5"/>
        <v>0</v>
      </c>
      <c r="V37" s="429">
        <f>U37*係数!$H$30</f>
        <v>0</v>
      </c>
      <c r="W37" s="12">
        <f t="shared" si="6"/>
        <v>0</v>
      </c>
      <c r="X37" s="431">
        <f t="shared" si="6"/>
        <v>0</v>
      </c>
    </row>
    <row r="38" spans="2:24" x14ac:dyDescent="0.45">
      <c r="B38" s="208" t="s">
        <v>422</v>
      </c>
      <c r="C38" s="36"/>
      <c r="D38" s="494"/>
      <c r="E38" s="28"/>
      <c r="F38" s="230"/>
      <c r="G38" s="230"/>
      <c r="H38" s="231"/>
      <c r="I38" s="28"/>
      <c r="J38" s="225">
        <f t="shared" si="7"/>
        <v>0</v>
      </c>
      <c r="K38" s="225">
        <f t="shared" si="8"/>
        <v>0</v>
      </c>
      <c r="L38" s="429">
        <f>K38*係数!$H$30</f>
        <v>0</v>
      </c>
      <c r="M38" s="36"/>
      <c r="N38" s="495"/>
      <c r="O38" s="28"/>
      <c r="P38" s="1">
        <f t="shared" si="3"/>
        <v>0</v>
      </c>
      <c r="Q38" s="1">
        <f t="shared" si="3"/>
        <v>0</v>
      </c>
      <c r="R38" s="231"/>
      <c r="S38" s="28"/>
      <c r="T38" s="504">
        <f t="shared" si="4"/>
        <v>0</v>
      </c>
      <c r="U38" s="12">
        <f t="shared" si="5"/>
        <v>0</v>
      </c>
      <c r="V38" s="429">
        <f>U38*係数!$H$30</f>
        <v>0</v>
      </c>
      <c r="W38" s="12">
        <f t="shared" si="6"/>
        <v>0</v>
      </c>
      <c r="X38" s="431">
        <f t="shared" si="6"/>
        <v>0</v>
      </c>
    </row>
    <row r="39" spans="2:24" x14ac:dyDescent="0.45">
      <c r="B39" s="208" t="s">
        <v>423</v>
      </c>
      <c r="C39" s="36"/>
      <c r="D39" s="494"/>
      <c r="E39" s="28"/>
      <c r="F39" s="230"/>
      <c r="G39" s="230"/>
      <c r="H39" s="231"/>
      <c r="I39" s="28"/>
      <c r="J39" s="225">
        <f t="shared" si="7"/>
        <v>0</v>
      </c>
      <c r="K39" s="225">
        <f t="shared" si="8"/>
        <v>0</v>
      </c>
      <c r="L39" s="429">
        <f>K39*係数!$H$30</f>
        <v>0</v>
      </c>
      <c r="M39" s="36"/>
      <c r="N39" s="495"/>
      <c r="O39" s="28"/>
      <c r="P39" s="1">
        <f t="shared" si="3"/>
        <v>0</v>
      </c>
      <c r="Q39" s="1">
        <f t="shared" si="3"/>
        <v>0</v>
      </c>
      <c r="R39" s="231"/>
      <c r="S39" s="28"/>
      <c r="T39" s="504">
        <f t="shared" si="4"/>
        <v>0</v>
      </c>
      <c r="U39" s="12">
        <f t="shared" si="5"/>
        <v>0</v>
      </c>
      <c r="V39" s="429">
        <f>U39*係数!$H$30</f>
        <v>0</v>
      </c>
      <c r="W39" s="12">
        <f t="shared" si="6"/>
        <v>0</v>
      </c>
      <c r="X39" s="431">
        <f t="shared" si="6"/>
        <v>0</v>
      </c>
    </row>
    <row r="40" spans="2:24" x14ac:dyDescent="0.45">
      <c r="B40" s="208" t="s">
        <v>424</v>
      </c>
      <c r="C40" s="36"/>
      <c r="D40" s="494"/>
      <c r="E40" s="28"/>
      <c r="F40" s="230"/>
      <c r="G40" s="230"/>
      <c r="H40" s="231"/>
      <c r="I40" s="28"/>
      <c r="J40" s="225">
        <f t="shared" si="7"/>
        <v>0</v>
      </c>
      <c r="K40" s="225">
        <f t="shared" si="8"/>
        <v>0</v>
      </c>
      <c r="L40" s="429">
        <f>K40*係数!$H$30</f>
        <v>0</v>
      </c>
      <c r="M40" s="36"/>
      <c r="N40" s="495"/>
      <c r="O40" s="28"/>
      <c r="P40" s="1">
        <f t="shared" si="3"/>
        <v>0</v>
      </c>
      <c r="Q40" s="1">
        <f t="shared" si="3"/>
        <v>0</v>
      </c>
      <c r="R40" s="231"/>
      <c r="S40" s="28"/>
      <c r="T40" s="504">
        <f t="shared" si="4"/>
        <v>0</v>
      </c>
      <c r="U40" s="12">
        <f t="shared" si="5"/>
        <v>0</v>
      </c>
      <c r="V40" s="429">
        <f>U40*係数!$H$30</f>
        <v>0</v>
      </c>
      <c r="W40" s="12">
        <f t="shared" si="6"/>
        <v>0</v>
      </c>
      <c r="X40" s="431">
        <f t="shared" si="6"/>
        <v>0</v>
      </c>
    </row>
    <row r="41" spans="2:24" x14ac:dyDescent="0.45">
      <c r="B41" s="208" t="s">
        <v>425</v>
      </c>
      <c r="C41" s="36"/>
      <c r="D41" s="494"/>
      <c r="E41" s="28"/>
      <c r="F41" s="230"/>
      <c r="G41" s="230"/>
      <c r="H41" s="231"/>
      <c r="I41" s="28"/>
      <c r="J41" s="225">
        <f t="shared" si="7"/>
        <v>0</v>
      </c>
      <c r="K41" s="225">
        <f t="shared" si="8"/>
        <v>0</v>
      </c>
      <c r="L41" s="429">
        <f>K41*係数!$H$30</f>
        <v>0</v>
      </c>
      <c r="M41" s="36"/>
      <c r="N41" s="495"/>
      <c r="O41" s="28"/>
      <c r="P41" s="1">
        <f t="shared" si="3"/>
        <v>0</v>
      </c>
      <c r="Q41" s="1">
        <f t="shared" si="3"/>
        <v>0</v>
      </c>
      <c r="R41" s="231"/>
      <c r="S41" s="28"/>
      <c r="T41" s="504">
        <f t="shared" si="4"/>
        <v>0</v>
      </c>
      <c r="U41" s="12">
        <f t="shared" si="5"/>
        <v>0</v>
      </c>
      <c r="V41" s="429">
        <f>U41*係数!$H$30</f>
        <v>0</v>
      </c>
      <c r="W41" s="12">
        <f t="shared" si="6"/>
        <v>0</v>
      </c>
      <c r="X41" s="431">
        <f t="shared" si="6"/>
        <v>0</v>
      </c>
    </row>
    <row r="42" spans="2:24" x14ac:dyDescent="0.45">
      <c r="B42" s="208" t="s">
        <v>426</v>
      </c>
      <c r="C42" s="36"/>
      <c r="D42" s="494"/>
      <c r="E42" s="28"/>
      <c r="F42" s="230"/>
      <c r="G42" s="230"/>
      <c r="H42" s="231"/>
      <c r="I42" s="28"/>
      <c r="J42" s="225">
        <f t="shared" si="7"/>
        <v>0</v>
      </c>
      <c r="K42" s="225">
        <f t="shared" si="8"/>
        <v>0</v>
      </c>
      <c r="L42" s="429">
        <f>K42*係数!$H$30</f>
        <v>0</v>
      </c>
      <c r="M42" s="36"/>
      <c r="N42" s="495"/>
      <c r="O42" s="28"/>
      <c r="P42" s="1">
        <f t="shared" si="3"/>
        <v>0</v>
      </c>
      <c r="Q42" s="1">
        <f t="shared" si="3"/>
        <v>0</v>
      </c>
      <c r="R42" s="231"/>
      <c r="S42" s="28"/>
      <c r="T42" s="504">
        <f t="shared" si="4"/>
        <v>0</v>
      </c>
      <c r="U42" s="12">
        <f t="shared" si="5"/>
        <v>0</v>
      </c>
      <c r="V42" s="429">
        <f>U42*係数!$H$30</f>
        <v>0</v>
      </c>
      <c r="W42" s="12">
        <f t="shared" si="6"/>
        <v>0</v>
      </c>
      <c r="X42" s="431">
        <f t="shared" si="6"/>
        <v>0</v>
      </c>
    </row>
    <row r="43" spans="2:24" x14ac:dyDescent="0.45">
      <c r="B43" s="208" t="s">
        <v>427</v>
      </c>
      <c r="C43" s="36"/>
      <c r="D43" s="494"/>
      <c r="E43" s="28"/>
      <c r="F43" s="230"/>
      <c r="G43" s="230"/>
      <c r="H43" s="231"/>
      <c r="I43" s="28"/>
      <c r="J43" s="225">
        <f t="shared" si="7"/>
        <v>0</v>
      </c>
      <c r="K43" s="225">
        <f t="shared" si="8"/>
        <v>0</v>
      </c>
      <c r="L43" s="429">
        <f>K43*係数!$H$30</f>
        <v>0</v>
      </c>
      <c r="M43" s="36"/>
      <c r="N43" s="495"/>
      <c r="O43" s="28"/>
      <c r="P43" s="1">
        <f t="shared" si="3"/>
        <v>0</v>
      </c>
      <c r="Q43" s="1">
        <f t="shared" si="3"/>
        <v>0</v>
      </c>
      <c r="R43" s="231"/>
      <c r="S43" s="28"/>
      <c r="T43" s="504">
        <f t="shared" si="4"/>
        <v>0</v>
      </c>
      <c r="U43" s="12">
        <f t="shared" si="5"/>
        <v>0</v>
      </c>
      <c r="V43" s="429">
        <f>U43*係数!$H$30</f>
        <v>0</v>
      </c>
      <c r="W43" s="12">
        <f t="shared" si="6"/>
        <v>0</v>
      </c>
      <c r="X43" s="431">
        <f t="shared" si="6"/>
        <v>0</v>
      </c>
    </row>
    <row r="44" spans="2:24" x14ac:dyDescent="0.45">
      <c r="B44" s="208" t="s">
        <v>428</v>
      </c>
      <c r="C44" s="36"/>
      <c r="D44" s="494"/>
      <c r="E44" s="28"/>
      <c r="F44" s="230"/>
      <c r="G44" s="230"/>
      <c r="H44" s="231"/>
      <c r="I44" s="28"/>
      <c r="J44" s="225">
        <f t="shared" si="7"/>
        <v>0</v>
      </c>
      <c r="K44" s="225">
        <f t="shared" si="8"/>
        <v>0</v>
      </c>
      <c r="L44" s="429">
        <f>K44*係数!$H$30</f>
        <v>0</v>
      </c>
      <c r="M44" s="36"/>
      <c r="N44" s="495"/>
      <c r="O44" s="28"/>
      <c r="P44" s="1">
        <f t="shared" si="3"/>
        <v>0</v>
      </c>
      <c r="Q44" s="1">
        <f t="shared" si="3"/>
        <v>0</v>
      </c>
      <c r="R44" s="231"/>
      <c r="S44" s="28"/>
      <c r="T44" s="504">
        <f t="shared" si="4"/>
        <v>0</v>
      </c>
      <c r="U44" s="12">
        <f t="shared" si="5"/>
        <v>0</v>
      </c>
      <c r="V44" s="429">
        <f>U44*係数!$H$30</f>
        <v>0</v>
      </c>
      <c r="W44" s="12">
        <f t="shared" si="6"/>
        <v>0</v>
      </c>
      <c r="X44" s="431">
        <f t="shared" si="6"/>
        <v>0</v>
      </c>
    </row>
    <row r="45" spans="2:24" x14ac:dyDescent="0.45">
      <c r="B45" s="208" t="s">
        <v>429</v>
      </c>
      <c r="C45" s="36"/>
      <c r="D45" s="494"/>
      <c r="E45" s="28"/>
      <c r="F45" s="230"/>
      <c r="G45" s="230"/>
      <c r="H45" s="231"/>
      <c r="I45" s="28"/>
      <c r="J45" s="225">
        <f t="shared" si="7"/>
        <v>0</v>
      </c>
      <c r="K45" s="225">
        <f t="shared" si="8"/>
        <v>0</v>
      </c>
      <c r="L45" s="429">
        <f>K45*係数!$H$30</f>
        <v>0</v>
      </c>
      <c r="M45" s="36"/>
      <c r="N45" s="495"/>
      <c r="O45" s="28"/>
      <c r="P45" s="1">
        <f t="shared" si="3"/>
        <v>0</v>
      </c>
      <c r="Q45" s="1">
        <f t="shared" si="3"/>
        <v>0</v>
      </c>
      <c r="R45" s="231"/>
      <c r="S45" s="28"/>
      <c r="T45" s="504">
        <f t="shared" si="4"/>
        <v>0</v>
      </c>
      <c r="U45" s="12">
        <f t="shared" si="5"/>
        <v>0</v>
      </c>
      <c r="V45" s="429">
        <f>U45*係数!$H$30</f>
        <v>0</v>
      </c>
      <c r="W45" s="12">
        <f t="shared" si="6"/>
        <v>0</v>
      </c>
      <c r="X45" s="431">
        <f t="shared" si="6"/>
        <v>0</v>
      </c>
    </row>
    <row r="46" spans="2:24" x14ac:dyDescent="0.45">
      <c r="B46" s="208" t="s">
        <v>430</v>
      </c>
      <c r="C46" s="36"/>
      <c r="D46" s="494"/>
      <c r="E46" s="28"/>
      <c r="F46" s="230"/>
      <c r="G46" s="230"/>
      <c r="H46" s="231"/>
      <c r="I46" s="28"/>
      <c r="J46" s="225">
        <f t="shared" si="7"/>
        <v>0</v>
      </c>
      <c r="K46" s="225">
        <f t="shared" si="8"/>
        <v>0</v>
      </c>
      <c r="L46" s="429">
        <f>K46*係数!$H$30</f>
        <v>0</v>
      </c>
      <c r="M46" s="36"/>
      <c r="N46" s="495"/>
      <c r="O46" s="28"/>
      <c r="P46" s="1">
        <f t="shared" si="3"/>
        <v>0</v>
      </c>
      <c r="Q46" s="1">
        <f t="shared" si="3"/>
        <v>0</v>
      </c>
      <c r="R46" s="231"/>
      <c r="S46" s="28"/>
      <c r="T46" s="504">
        <f t="shared" si="4"/>
        <v>0</v>
      </c>
      <c r="U46" s="12">
        <f t="shared" si="5"/>
        <v>0</v>
      </c>
      <c r="V46" s="429">
        <f>U46*係数!$H$30</f>
        <v>0</v>
      </c>
      <c r="W46" s="12">
        <f t="shared" si="6"/>
        <v>0</v>
      </c>
      <c r="X46" s="431">
        <f t="shared" si="6"/>
        <v>0</v>
      </c>
    </row>
    <row r="47" spans="2:24" x14ac:dyDescent="0.45">
      <c r="B47" s="208" t="s">
        <v>431</v>
      </c>
      <c r="C47" s="36"/>
      <c r="D47" s="494"/>
      <c r="E47" s="28"/>
      <c r="F47" s="230"/>
      <c r="G47" s="230"/>
      <c r="H47" s="231"/>
      <c r="I47" s="28"/>
      <c r="J47" s="225">
        <f t="shared" si="7"/>
        <v>0</v>
      </c>
      <c r="K47" s="225">
        <f t="shared" si="8"/>
        <v>0</v>
      </c>
      <c r="L47" s="429">
        <f>K47*係数!$H$30</f>
        <v>0</v>
      </c>
      <c r="M47" s="36"/>
      <c r="N47" s="495"/>
      <c r="O47" s="28"/>
      <c r="P47" s="1">
        <f t="shared" si="3"/>
        <v>0</v>
      </c>
      <c r="Q47" s="1">
        <f t="shared" si="3"/>
        <v>0</v>
      </c>
      <c r="R47" s="231"/>
      <c r="S47" s="28"/>
      <c r="T47" s="504">
        <f t="shared" si="4"/>
        <v>0</v>
      </c>
      <c r="U47" s="12">
        <f t="shared" si="5"/>
        <v>0</v>
      </c>
      <c r="V47" s="429">
        <f>U47*係数!$H$30</f>
        <v>0</v>
      </c>
      <c r="W47" s="12">
        <f t="shared" si="6"/>
        <v>0</v>
      </c>
      <c r="X47" s="431">
        <f t="shared" si="6"/>
        <v>0</v>
      </c>
    </row>
    <row r="48" spans="2:24" x14ac:dyDescent="0.45">
      <c r="B48" s="208" t="s">
        <v>432</v>
      </c>
      <c r="C48" s="36"/>
      <c r="D48" s="494"/>
      <c r="E48" s="28"/>
      <c r="F48" s="230"/>
      <c r="G48" s="230"/>
      <c r="H48" s="231"/>
      <c r="I48" s="28"/>
      <c r="J48" s="225">
        <f t="shared" si="7"/>
        <v>0</v>
      </c>
      <c r="K48" s="225">
        <f t="shared" si="8"/>
        <v>0</v>
      </c>
      <c r="L48" s="429">
        <f>K48*係数!$H$30</f>
        <v>0</v>
      </c>
      <c r="M48" s="36"/>
      <c r="N48" s="495"/>
      <c r="O48" s="28"/>
      <c r="P48" s="1">
        <f t="shared" si="3"/>
        <v>0</v>
      </c>
      <c r="Q48" s="1">
        <f t="shared" si="3"/>
        <v>0</v>
      </c>
      <c r="R48" s="231"/>
      <c r="S48" s="28"/>
      <c r="T48" s="504">
        <f t="shared" si="4"/>
        <v>0</v>
      </c>
      <c r="U48" s="12">
        <f t="shared" si="5"/>
        <v>0</v>
      </c>
      <c r="V48" s="429">
        <f>U48*係数!$H$30</f>
        <v>0</v>
      </c>
      <c r="W48" s="12">
        <f t="shared" si="6"/>
        <v>0</v>
      </c>
      <c r="X48" s="431">
        <f t="shared" si="6"/>
        <v>0</v>
      </c>
    </row>
    <row r="49" spans="2:24" x14ac:dyDescent="0.45">
      <c r="B49" s="208" t="s">
        <v>433</v>
      </c>
      <c r="C49" s="36"/>
      <c r="D49" s="494"/>
      <c r="E49" s="28"/>
      <c r="F49" s="230"/>
      <c r="G49" s="230"/>
      <c r="H49" s="231"/>
      <c r="I49" s="28"/>
      <c r="J49" s="225">
        <f t="shared" si="7"/>
        <v>0</v>
      </c>
      <c r="K49" s="225">
        <f t="shared" si="8"/>
        <v>0</v>
      </c>
      <c r="L49" s="429">
        <f>K49*係数!$H$30</f>
        <v>0</v>
      </c>
      <c r="M49" s="36"/>
      <c r="N49" s="495"/>
      <c r="O49" s="28"/>
      <c r="P49" s="1">
        <f t="shared" si="3"/>
        <v>0</v>
      </c>
      <c r="Q49" s="1">
        <f t="shared" si="3"/>
        <v>0</v>
      </c>
      <c r="R49" s="231"/>
      <c r="S49" s="28"/>
      <c r="T49" s="504">
        <f t="shared" si="4"/>
        <v>0</v>
      </c>
      <c r="U49" s="12">
        <f t="shared" si="5"/>
        <v>0</v>
      </c>
      <c r="V49" s="429">
        <f>U49*係数!$H$30</f>
        <v>0</v>
      </c>
      <c r="W49" s="12">
        <f t="shared" si="6"/>
        <v>0</v>
      </c>
      <c r="X49" s="431">
        <f t="shared" si="6"/>
        <v>0</v>
      </c>
    </row>
    <row r="50" spans="2:24" x14ac:dyDescent="0.45">
      <c r="B50" s="208" t="s">
        <v>434</v>
      </c>
      <c r="C50" s="36"/>
      <c r="D50" s="494"/>
      <c r="E50" s="28"/>
      <c r="F50" s="230"/>
      <c r="G50" s="230"/>
      <c r="H50" s="231"/>
      <c r="I50" s="28"/>
      <c r="J50" s="225">
        <f t="shared" si="7"/>
        <v>0</v>
      </c>
      <c r="K50" s="225">
        <f t="shared" si="8"/>
        <v>0</v>
      </c>
      <c r="L50" s="429">
        <f>K50*係数!$H$30</f>
        <v>0</v>
      </c>
      <c r="M50" s="36"/>
      <c r="N50" s="495"/>
      <c r="O50" s="28"/>
      <c r="P50" s="1">
        <f t="shared" si="3"/>
        <v>0</v>
      </c>
      <c r="Q50" s="1">
        <f t="shared" si="3"/>
        <v>0</v>
      </c>
      <c r="R50" s="231"/>
      <c r="S50" s="28"/>
      <c r="T50" s="504">
        <f t="shared" si="4"/>
        <v>0</v>
      </c>
      <c r="U50" s="12">
        <f t="shared" si="5"/>
        <v>0</v>
      </c>
      <c r="V50" s="429">
        <f>U50*係数!$H$30</f>
        <v>0</v>
      </c>
      <c r="W50" s="12">
        <f t="shared" si="6"/>
        <v>0</v>
      </c>
      <c r="X50" s="431">
        <f t="shared" si="6"/>
        <v>0</v>
      </c>
    </row>
    <row r="51" spans="2:24" x14ac:dyDescent="0.45">
      <c r="B51" s="208" t="s">
        <v>435</v>
      </c>
      <c r="C51" s="36"/>
      <c r="D51" s="494"/>
      <c r="E51" s="28"/>
      <c r="F51" s="230"/>
      <c r="G51" s="230"/>
      <c r="H51" s="231"/>
      <c r="I51" s="28"/>
      <c r="J51" s="225">
        <f t="shared" si="7"/>
        <v>0</v>
      </c>
      <c r="K51" s="225">
        <f t="shared" si="8"/>
        <v>0</v>
      </c>
      <c r="L51" s="429">
        <f>K51*係数!$H$30</f>
        <v>0</v>
      </c>
      <c r="M51" s="36"/>
      <c r="N51" s="495"/>
      <c r="O51" s="28"/>
      <c r="P51" s="1">
        <f t="shared" si="3"/>
        <v>0</v>
      </c>
      <c r="Q51" s="1">
        <f t="shared" si="3"/>
        <v>0</v>
      </c>
      <c r="R51" s="231"/>
      <c r="S51" s="28"/>
      <c r="T51" s="504">
        <f t="shared" si="4"/>
        <v>0</v>
      </c>
      <c r="U51" s="12">
        <f t="shared" si="5"/>
        <v>0</v>
      </c>
      <c r="V51" s="429">
        <f>U51*係数!$H$30</f>
        <v>0</v>
      </c>
      <c r="W51" s="12">
        <f t="shared" si="6"/>
        <v>0</v>
      </c>
      <c r="X51" s="431">
        <f t="shared" si="6"/>
        <v>0</v>
      </c>
    </row>
    <row r="52" spans="2:24" x14ac:dyDescent="0.45">
      <c r="B52" s="208" t="s">
        <v>436</v>
      </c>
      <c r="C52" s="36"/>
      <c r="D52" s="494"/>
      <c r="E52" s="28"/>
      <c r="F52" s="230"/>
      <c r="G52" s="230"/>
      <c r="H52" s="231"/>
      <c r="I52" s="28"/>
      <c r="J52" s="225">
        <f t="shared" si="7"/>
        <v>0</v>
      </c>
      <c r="K52" s="225">
        <f t="shared" si="8"/>
        <v>0</v>
      </c>
      <c r="L52" s="429">
        <f>K52*係数!$H$30</f>
        <v>0</v>
      </c>
      <c r="M52" s="36"/>
      <c r="N52" s="495"/>
      <c r="O52" s="28"/>
      <c r="P52" s="1">
        <f t="shared" si="3"/>
        <v>0</v>
      </c>
      <c r="Q52" s="1">
        <f t="shared" si="3"/>
        <v>0</v>
      </c>
      <c r="R52" s="231"/>
      <c r="S52" s="28"/>
      <c r="T52" s="504">
        <f t="shared" si="4"/>
        <v>0</v>
      </c>
      <c r="U52" s="12">
        <f t="shared" si="5"/>
        <v>0</v>
      </c>
      <c r="V52" s="429">
        <f>U52*係数!$H$30</f>
        <v>0</v>
      </c>
      <c r="W52" s="12">
        <f t="shared" si="6"/>
        <v>0</v>
      </c>
      <c r="X52" s="431">
        <f t="shared" si="6"/>
        <v>0</v>
      </c>
    </row>
    <row r="53" spans="2:24" x14ac:dyDescent="0.45">
      <c r="B53" s="208" t="s">
        <v>437</v>
      </c>
      <c r="C53" s="36"/>
      <c r="D53" s="494"/>
      <c r="E53" s="28"/>
      <c r="F53" s="230"/>
      <c r="G53" s="230"/>
      <c r="H53" s="231"/>
      <c r="I53" s="28"/>
      <c r="J53" s="225">
        <f t="shared" si="7"/>
        <v>0</v>
      </c>
      <c r="K53" s="225">
        <f t="shared" si="8"/>
        <v>0</v>
      </c>
      <c r="L53" s="429">
        <f>K53*係数!$H$30</f>
        <v>0</v>
      </c>
      <c r="M53" s="36"/>
      <c r="N53" s="495"/>
      <c r="O53" s="28"/>
      <c r="P53" s="1">
        <f t="shared" si="3"/>
        <v>0</v>
      </c>
      <c r="Q53" s="1">
        <f t="shared" si="3"/>
        <v>0</v>
      </c>
      <c r="R53" s="231"/>
      <c r="S53" s="28"/>
      <c r="T53" s="504">
        <f t="shared" si="4"/>
        <v>0</v>
      </c>
      <c r="U53" s="12">
        <f t="shared" si="5"/>
        <v>0</v>
      </c>
      <c r="V53" s="429">
        <f>U53*係数!$H$30</f>
        <v>0</v>
      </c>
      <c r="W53" s="12">
        <f t="shared" si="6"/>
        <v>0</v>
      </c>
      <c r="X53" s="431">
        <f t="shared" si="6"/>
        <v>0</v>
      </c>
    </row>
    <row r="54" spans="2:24" x14ac:dyDescent="0.45">
      <c r="B54" s="208" t="s">
        <v>438</v>
      </c>
      <c r="C54" s="36"/>
      <c r="D54" s="494"/>
      <c r="E54" s="28"/>
      <c r="F54" s="230"/>
      <c r="G54" s="230"/>
      <c r="H54" s="231"/>
      <c r="I54" s="28"/>
      <c r="J54" s="225">
        <f t="shared" si="7"/>
        <v>0</v>
      </c>
      <c r="K54" s="225">
        <f t="shared" si="8"/>
        <v>0</v>
      </c>
      <c r="L54" s="429">
        <f>K54*係数!$H$30</f>
        <v>0</v>
      </c>
      <c r="M54" s="36"/>
      <c r="N54" s="495"/>
      <c r="O54" s="28"/>
      <c r="P54" s="1">
        <f t="shared" si="3"/>
        <v>0</v>
      </c>
      <c r="Q54" s="1">
        <f t="shared" si="3"/>
        <v>0</v>
      </c>
      <c r="R54" s="231"/>
      <c r="S54" s="28"/>
      <c r="T54" s="504">
        <f t="shared" si="4"/>
        <v>0</v>
      </c>
      <c r="U54" s="12">
        <f t="shared" si="5"/>
        <v>0</v>
      </c>
      <c r="V54" s="429">
        <f>U54*係数!$H$30</f>
        <v>0</v>
      </c>
      <c r="W54" s="12">
        <f t="shared" si="6"/>
        <v>0</v>
      </c>
      <c r="X54" s="431">
        <f t="shared" si="6"/>
        <v>0</v>
      </c>
    </row>
    <row r="55" spans="2:24" x14ac:dyDescent="0.45">
      <c r="B55" s="208" t="s">
        <v>439</v>
      </c>
      <c r="C55" s="36"/>
      <c r="D55" s="494"/>
      <c r="E55" s="28"/>
      <c r="F55" s="230"/>
      <c r="G55" s="230"/>
      <c r="H55" s="231"/>
      <c r="I55" s="28"/>
      <c r="J55" s="225">
        <f t="shared" si="7"/>
        <v>0</v>
      </c>
      <c r="K55" s="225">
        <f t="shared" si="8"/>
        <v>0</v>
      </c>
      <c r="L55" s="429">
        <f>K55*係数!$H$30</f>
        <v>0</v>
      </c>
      <c r="M55" s="36"/>
      <c r="N55" s="495"/>
      <c r="O55" s="28"/>
      <c r="P55" s="1">
        <f t="shared" si="3"/>
        <v>0</v>
      </c>
      <c r="Q55" s="1">
        <f t="shared" si="3"/>
        <v>0</v>
      </c>
      <c r="R55" s="231"/>
      <c r="S55" s="28"/>
      <c r="T55" s="504">
        <f t="shared" si="4"/>
        <v>0</v>
      </c>
      <c r="U55" s="12">
        <f t="shared" si="5"/>
        <v>0</v>
      </c>
      <c r="V55" s="429">
        <f>U55*係数!$H$30</f>
        <v>0</v>
      </c>
      <c r="W55" s="12">
        <f t="shared" si="6"/>
        <v>0</v>
      </c>
      <c r="X55" s="431">
        <f t="shared" si="6"/>
        <v>0</v>
      </c>
    </row>
    <row r="56" spans="2:24" x14ac:dyDescent="0.45">
      <c r="B56" s="208" t="s">
        <v>440</v>
      </c>
      <c r="C56" s="36"/>
      <c r="D56" s="494"/>
      <c r="E56" s="28"/>
      <c r="F56" s="230"/>
      <c r="G56" s="230"/>
      <c r="H56" s="231"/>
      <c r="I56" s="28"/>
      <c r="J56" s="225">
        <f t="shared" si="7"/>
        <v>0</v>
      </c>
      <c r="K56" s="225">
        <f t="shared" si="8"/>
        <v>0</v>
      </c>
      <c r="L56" s="429">
        <f>K56*係数!$H$30</f>
        <v>0</v>
      </c>
      <c r="M56" s="36"/>
      <c r="N56" s="495"/>
      <c r="O56" s="28"/>
      <c r="P56" s="1">
        <f t="shared" si="3"/>
        <v>0</v>
      </c>
      <c r="Q56" s="1">
        <f t="shared" si="3"/>
        <v>0</v>
      </c>
      <c r="R56" s="231"/>
      <c r="S56" s="28"/>
      <c r="T56" s="504">
        <f t="shared" si="4"/>
        <v>0</v>
      </c>
      <c r="U56" s="12">
        <f t="shared" si="5"/>
        <v>0</v>
      </c>
      <c r="V56" s="429">
        <f>U56*係数!$H$30</f>
        <v>0</v>
      </c>
      <c r="W56" s="12">
        <f t="shared" si="6"/>
        <v>0</v>
      </c>
      <c r="X56" s="431">
        <f t="shared" si="6"/>
        <v>0</v>
      </c>
    </row>
    <row r="57" spans="2:24" x14ac:dyDescent="0.45">
      <c r="B57" s="208" t="s">
        <v>441</v>
      </c>
      <c r="C57" s="36"/>
      <c r="D57" s="494"/>
      <c r="E57" s="28"/>
      <c r="F57" s="230"/>
      <c r="G57" s="230"/>
      <c r="H57" s="231"/>
      <c r="I57" s="28"/>
      <c r="J57" s="225">
        <f t="shared" si="7"/>
        <v>0</v>
      </c>
      <c r="K57" s="225">
        <f t="shared" si="8"/>
        <v>0</v>
      </c>
      <c r="L57" s="429">
        <f>K57*係数!$H$30</f>
        <v>0</v>
      </c>
      <c r="M57" s="36"/>
      <c r="N57" s="495"/>
      <c r="O57" s="28"/>
      <c r="P57" s="1">
        <f t="shared" si="3"/>
        <v>0</v>
      </c>
      <c r="Q57" s="1">
        <f t="shared" si="3"/>
        <v>0</v>
      </c>
      <c r="R57" s="231"/>
      <c r="S57" s="28"/>
      <c r="T57" s="504">
        <f t="shared" si="4"/>
        <v>0</v>
      </c>
      <c r="U57" s="12">
        <f t="shared" si="5"/>
        <v>0</v>
      </c>
      <c r="V57" s="429">
        <f>U57*係数!$H$30</f>
        <v>0</v>
      </c>
      <c r="W57" s="12">
        <f t="shared" si="6"/>
        <v>0</v>
      </c>
      <c r="X57" s="431">
        <f t="shared" si="6"/>
        <v>0</v>
      </c>
    </row>
    <row r="58" spans="2:24" x14ac:dyDescent="0.45">
      <c r="B58" s="208" t="s">
        <v>442</v>
      </c>
      <c r="C58" s="36"/>
      <c r="D58" s="494"/>
      <c r="E58" s="28"/>
      <c r="F58" s="230"/>
      <c r="G58" s="230"/>
      <c r="H58" s="231"/>
      <c r="I58" s="28"/>
      <c r="J58" s="225">
        <f t="shared" si="7"/>
        <v>0</v>
      </c>
      <c r="K58" s="225">
        <f t="shared" si="8"/>
        <v>0</v>
      </c>
      <c r="L58" s="429">
        <f>K58*係数!$H$30</f>
        <v>0</v>
      </c>
      <c r="M58" s="36"/>
      <c r="N58" s="495"/>
      <c r="O58" s="28"/>
      <c r="P58" s="1">
        <f t="shared" si="3"/>
        <v>0</v>
      </c>
      <c r="Q58" s="1">
        <f t="shared" si="3"/>
        <v>0</v>
      </c>
      <c r="R58" s="231"/>
      <c r="S58" s="28"/>
      <c r="T58" s="504">
        <f t="shared" si="4"/>
        <v>0</v>
      </c>
      <c r="U58" s="12">
        <f t="shared" si="5"/>
        <v>0</v>
      </c>
      <c r="V58" s="429">
        <f>U58*係数!$H$30</f>
        <v>0</v>
      </c>
      <c r="W58" s="12">
        <f t="shared" si="6"/>
        <v>0</v>
      </c>
      <c r="X58" s="431">
        <f t="shared" si="6"/>
        <v>0</v>
      </c>
    </row>
    <row r="59" spans="2:24" x14ac:dyDescent="0.45">
      <c r="B59" s="208" t="s">
        <v>443</v>
      </c>
      <c r="C59" s="36"/>
      <c r="D59" s="494"/>
      <c r="E59" s="28"/>
      <c r="F59" s="230"/>
      <c r="G59" s="230"/>
      <c r="H59" s="231"/>
      <c r="I59" s="28"/>
      <c r="J59" s="225">
        <f t="shared" si="7"/>
        <v>0</v>
      </c>
      <c r="K59" s="225">
        <f t="shared" si="8"/>
        <v>0</v>
      </c>
      <c r="L59" s="429">
        <f>K59*係数!$H$30</f>
        <v>0</v>
      </c>
      <c r="M59" s="36"/>
      <c r="N59" s="495"/>
      <c r="O59" s="28"/>
      <c r="P59" s="1">
        <f t="shared" si="3"/>
        <v>0</v>
      </c>
      <c r="Q59" s="1">
        <f t="shared" si="3"/>
        <v>0</v>
      </c>
      <c r="R59" s="231"/>
      <c r="S59" s="28"/>
      <c r="T59" s="504">
        <f t="shared" si="4"/>
        <v>0</v>
      </c>
      <c r="U59" s="12">
        <f t="shared" si="5"/>
        <v>0</v>
      </c>
      <c r="V59" s="429">
        <f>U59*係数!$H$30</f>
        <v>0</v>
      </c>
      <c r="W59" s="12">
        <f t="shared" si="6"/>
        <v>0</v>
      </c>
      <c r="X59" s="431">
        <f t="shared" si="6"/>
        <v>0</v>
      </c>
    </row>
    <row r="60" spans="2:24" x14ac:dyDescent="0.45">
      <c r="B60" s="208" t="s">
        <v>444</v>
      </c>
      <c r="C60" s="36"/>
      <c r="D60" s="494"/>
      <c r="E60" s="28"/>
      <c r="F60" s="230"/>
      <c r="G60" s="230"/>
      <c r="H60" s="231"/>
      <c r="I60" s="28"/>
      <c r="J60" s="225">
        <f t="shared" si="7"/>
        <v>0</v>
      </c>
      <c r="K60" s="225">
        <f t="shared" si="8"/>
        <v>0</v>
      </c>
      <c r="L60" s="429">
        <f>K60*係数!$H$30</f>
        <v>0</v>
      </c>
      <c r="M60" s="36"/>
      <c r="N60" s="495"/>
      <c r="O60" s="28"/>
      <c r="P60" s="1">
        <f t="shared" si="3"/>
        <v>0</v>
      </c>
      <c r="Q60" s="1">
        <f t="shared" si="3"/>
        <v>0</v>
      </c>
      <c r="R60" s="231"/>
      <c r="S60" s="28"/>
      <c r="T60" s="504">
        <f t="shared" si="4"/>
        <v>0</v>
      </c>
      <c r="U60" s="12">
        <f t="shared" si="5"/>
        <v>0</v>
      </c>
      <c r="V60" s="429">
        <f>U60*係数!$H$30</f>
        <v>0</v>
      </c>
      <c r="W60" s="12">
        <f t="shared" si="6"/>
        <v>0</v>
      </c>
      <c r="X60" s="431">
        <f t="shared" si="6"/>
        <v>0</v>
      </c>
    </row>
    <row r="61" spans="2:24" x14ac:dyDescent="0.45">
      <c r="B61" s="208" t="s">
        <v>445</v>
      </c>
      <c r="C61" s="36"/>
      <c r="D61" s="494"/>
      <c r="E61" s="28"/>
      <c r="F61" s="230"/>
      <c r="G61" s="230"/>
      <c r="H61" s="231"/>
      <c r="I61" s="28"/>
      <c r="J61" s="225">
        <f t="shared" si="7"/>
        <v>0</v>
      </c>
      <c r="K61" s="225">
        <f t="shared" si="8"/>
        <v>0</v>
      </c>
      <c r="L61" s="429">
        <f>K61*係数!$H$30</f>
        <v>0</v>
      </c>
      <c r="M61" s="36"/>
      <c r="N61" s="495"/>
      <c r="O61" s="28"/>
      <c r="P61" s="1">
        <f t="shared" si="3"/>
        <v>0</v>
      </c>
      <c r="Q61" s="1">
        <f t="shared" si="3"/>
        <v>0</v>
      </c>
      <c r="R61" s="231"/>
      <c r="S61" s="28"/>
      <c r="T61" s="504">
        <f t="shared" si="4"/>
        <v>0</v>
      </c>
      <c r="U61" s="12">
        <f t="shared" si="5"/>
        <v>0</v>
      </c>
      <c r="V61" s="429">
        <f>U61*係数!$H$30</f>
        <v>0</v>
      </c>
      <c r="W61" s="12">
        <f t="shared" si="6"/>
        <v>0</v>
      </c>
      <c r="X61" s="431">
        <f t="shared" si="6"/>
        <v>0</v>
      </c>
    </row>
    <row r="62" spans="2:24" x14ac:dyDescent="0.45">
      <c r="B62" s="208" t="s">
        <v>446</v>
      </c>
      <c r="C62" s="36"/>
      <c r="D62" s="494"/>
      <c r="E62" s="28"/>
      <c r="F62" s="230"/>
      <c r="G62" s="230"/>
      <c r="H62" s="231"/>
      <c r="I62" s="28"/>
      <c r="J62" s="225">
        <f t="shared" si="7"/>
        <v>0</v>
      </c>
      <c r="K62" s="225">
        <f t="shared" si="8"/>
        <v>0</v>
      </c>
      <c r="L62" s="429">
        <f>K62*係数!$H$30</f>
        <v>0</v>
      </c>
      <c r="M62" s="36"/>
      <c r="N62" s="495"/>
      <c r="O62" s="28"/>
      <c r="P62" s="1">
        <f t="shared" si="3"/>
        <v>0</v>
      </c>
      <c r="Q62" s="1">
        <f t="shared" si="3"/>
        <v>0</v>
      </c>
      <c r="R62" s="231"/>
      <c r="S62" s="28"/>
      <c r="T62" s="504">
        <f t="shared" si="4"/>
        <v>0</v>
      </c>
      <c r="U62" s="12">
        <f t="shared" si="5"/>
        <v>0</v>
      </c>
      <c r="V62" s="429">
        <f>U62*係数!$H$30</f>
        <v>0</v>
      </c>
      <c r="W62" s="12">
        <f t="shared" si="6"/>
        <v>0</v>
      </c>
      <c r="X62" s="431">
        <f t="shared" si="6"/>
        <v>0</v>
      </c>
    </row>
    <row r="63" spans="2:24" x14ac:dyDescent="0.45">
      <c r="B63" s="208" t="s">
        <v>447</v>
      </c>
      <c r="C63" s="36"/>
      <c r="D63" s="494"/>
      <c r="E63" s="28"/>
      <c r="F63" s="230"/>
      <c r="G63" s="230"/>
      <c r="H63" s="231"/>
      <c r="I63" s="28"/>
      <c r="J63" s="225">
        <f t="shared" si="7"/>
        <v>0</v>
      </c>
      <c r="K63" s="225">
        <f t="shared" si="8"/>
        <v>0</v>
      </c>
      <c r="L63" s="429">
        <f>K63*係数!$H$30</f>
        <v>0</v>
      </c>
      <c r="M63" s="36"/>
      <c r="N63" s="495"/>
      <c r="O63" s="28"/>
      <c r="P63" s="1">
        <f t="shared" si="3"/>
        <v>0</v>
      </c>
      <c r="Q63" s="1">
        <f t="shared" si="3"/>
        <v>0</v>
      </c>
      <c r="R63" s="231"/>
      <c r="S63" s="28"/>
      <c r="T63" s="504">
        <f t="shared" si="4"/>
        <v>0</v>
      </c>
      <c r="U63" s="12">
        <f t="shared" si="5"/>
        <v>0</v>
      </c>
      <c r="V63" s="429">
        <f>U63*係数!$H$30</f>
        <v>0</v>
      </c>
      <c r="W63" s="12">
        <f t="shared" si="6"/>
        <v>0</v>
      </c>
      <c r="X63" s="431">
        <f t="shared" si="6"/>
        <v>0</v>
      </c>
    </row>
    <row r="64" spans="2:24" x14ac:dyDescent="0.45">
      <c r="B64" s="208" t="s">
        <v>448</v>
      </c>
      <c r="C64" s="36"/>
      <c r="D64" s="494"/>
      <c r="E64" s="28"/>
      <c r="F64" s="230"/>
      <c r="G64" s="230"/>
      <c r="H64" s="231"/>
      <c r="I64" s="28"/>
      <c r="J64" s="225">
        <f t="shared" si="7"/>
        <v>0</v>
      </c>
      <c r="K64" s="225">
        <f t="shared" si="8"/>
        <v>0</v>
      </c>
      <c r="L64" s="429">
        <f>K64*係数!$H$30</f>
        <v>0</v>
      </c>
      <c r="M64" s="36"/>
      <c r="N64" s="495"/>
      <c r="O64" s="28"/>
      <c r="P64" s="1">
        <f t="shared" si="3"/>
        <v>0</v>
      </c>
      <c r="Q64" s="1">
        <f t="shared" si="3"/>
        <v>0</v>
      </c>
      <c r="R64" s="231"/>
      <c r="S64" s="28"/>
      <c r="T64" s="504">
        <f t="shared" si="4"/>
        <v>0</v>
      </c>
      <c r="U64" s="12">
        <f t="shared" si="5"/>
        <v>0</v>
      </c>
      <c r="V64" s="429">
        <f>U64*係数!$H$30</f>
        <v>0</v>
      </c>
      <c r="W64" s="12">
        <f t="shared" si="6"/>
        <v>0</v>
      </c>
      <c r="X64" s="431">
        <f t="shared" si="6"/>
        <v>0</v>
      </c>
    </row>
    <row r="65" spans="2:24" x14ac:dyDescent="0.45">
      <c r="B65" s="208" t="s">
        <v>449</v>
      </c>
      <c r="C65" s="36"/>
      <c r="D65" s="494"/>
      <c r="E65" s="28"/>
      <c r="F65" s="230"/>
      <c r="G65" s="230"/>
      <c r="H65" s="231"/>
      <c r="I65" s="28"/>
      <c r="J65" s="225">
        <f t="shared" si="7"/>
        <v>0</v>
      </c>
      <c r="K65" s="225">
        <f t="shared" si="8"/>
        <v>0</v>
      </c>
      <c r="L65" s="429">
        <f>K65*係数!$H$30</f>
        <v>0</v>
      </c>
      <c r="M65" s="36"/>
      <c r="N65" s="495"/>
      <c r="O65" s="28"/>
      <c r="P65" s="1">
        <f t="shared" si="3"/>
        <v>0</v>
      </c>
      <c r="Q65" s="1">
        <f t="shared" si="3"/>
        <v>0</v>
      </c>
      <c r="R65" s="231"/>
      <c r="S65" s="28"/>
      <c r="T65" s="504">
        <f t="shared" si="4"/>
        <v>0</v>
      </c>
      <c r="U65" s="12">
        <f t="shared" si="5"/>
        <v>0</v>
      </c>
      <c r="V65" s="429">
        <f>U65*係数!$H$30</f>
        <v>0</v>
      </c>
      <c r="W65" s="12">
        <f t="shared" si="6"/>
        <v>0</v>
      </c>
      <c r="X65" s="431">
        <f t="shared" si="6"/>
        <v>0</v>
      </c>
    </row>
    <row r="66" spans="2:24" x14ac:dyDescent="0.45">
      <c r="B66" s="208" t="s">
        <v>450</v>
      </c>
      <c r="C66" s="36"/>
      <c r="D66" s="494"/>
      <c r="E66" s="28"/>
      <c r="F66" s="230"/>
      <c r="G66" s="230"/>
      <c r="H66" s="231"/>
      <c r="I66" s="28"/>
      <c r="J66" s="225">
        <f t="shared" si="7"/>
        <v>0</v>
      </c>
      <c r="K66" s="225">
        <f t="shared" si="8"/>
        <v>0</v>
      </c>
      <c r="L66" s="429">
        <f>K66*係数!$H$30</f>
        <v>0</v>
      </c>
      <c r="M66" s="36"/>
      <c r="N66" s="495"/>
      <c r="O66" s="28"/>
      <c r="P66" s="1">
        <f t="shared" si="3"/>
        <v>0</v>
      </c>
      <c r="Q66" s="1">
        <f t="shared" si="3"/>
        <v>0</v>
      </c>
      <c r="R66" s="231"/>
      <c r="S66" s="28"/>
      <c r="T66" s="504">
        <f t="shared" si="4"/>
        <v>0</v>
      </c>
      <c r="U66" s="12">
        <f t="shared" si="5"/>
        <v>0</v>
      </c>
      <c r="V66" s="429">
        <f>U66*係数!$H$30</f>
        <v>0</v>
      </c>
      <c r="W66" s="12">
        <f t="shared" si="6"/>
        <v>0</v>
      </c>
      <c r="X66" s="431">
        <f t="shared" si="6"/>
        <v>0</v>
      </c>
    </row>
    <row r="67" spans="2:24" x14ac:dyDescent="0.45">
      <c r="B67" s="208" t="s">
        <v>451</v>
      </c>
      <c r="C67" s="36"/>
      <c r="D67" s="494"/>
      <c r="E67" s="28"/>
      <c r="F67" s="230"/>
      <c r="G67" s="230"/>
      <c r="H67" s="231"/>
      <c r="I67" s="28"/>
      <c r="J67" s="225">
        <f t="shared" si="7"/>
        <v>0</v>
      </c>
      <c r="K67" s="225">
        <f t="shared" si="8"/>
        <v>0</v>
      </c>
      <c r="L67" s="429">
        <f>K67*係数!$H$30</f>
        <v>0</v>
      </c>
      <c r="M67" s="36"/>
      <c r="N67" s="495"/>
      <c r="O67" s="28"/>
      <c r="P67" s="1">
        <f t="shared" si="3"/>
        <v>0</v>
      </c>
      <c r="Q67" s="1">
        <f t="shared" si="3"/>
        <v>0</v>
      </c>
      <c r="R67" s="231"/>
      <c r="S67" s="28"/>
      <c r="T67" s="504">
        <f t="shared" si="4"/>
        <v>0</v>
      </c>
      <c r="U67" s="12">
        <f t="shared" si="5"/>
        <v>0</v>
      </c>
      <c r="V67" s="429">
        <f>U67*係数!$H$30</f>
        <v>0</v>
      </c>
      <c r="W67" s="12">
        <f t="shared" si="6"/>
        <v>0</v>
      </c>
      <c r="X67" s="431">
        <f t="shared" si="6"/>
        <v>0</v>
      </c>
    </row>
    <row r="68" spans="2:24" x14ac:dyDescent="0.45">
      <c r="B68" s="208" t="s">
        <v>665</v>
      </c>
      <c r="C68" s="36"/>
      <c r="D68" s="494"/>
      <c r="E68" s="28"/>
      <c r="F68" s="230"/>
      <c r="G68" s="230"/>
      <c r="H68" s="231"/>
      <c r="I68" s="28"/>
      <c r="J68" s="225">
        <f t="shared" ref="J68:J131" si="9">IF(H68="",F68*G68,F68*G68*I68/100)</f>
        <v>0</v>
      </c>
      <c r="K68" s="225">
        <f t="shared" ref="K68:K131" si="10">D68*E68*J68/1000</f>
        <v>0</v>
      </c>
      <c r="L68" s="429">
        <f>K68*係数!$H$30</f>
        <v>0</v>
      </c>
      <c r="M68" s="36"/>
      <c r="N68" s="495"/>
      <c r="O68" s="28"/>
      <c r="P68" s="1">
        <f t="shared" ref="P68:P131" si="11">IF(F68=0,0,F68)</f>
        <v>0</v>
      </c>
      <c r="Q68" s="1">
        <f t="shared" ref="Q68:Q131" si="12">IF(G68=0,0,G68)</f>
        <v>0</v>
      </c>
      <c r="R68" s="231"/>
      <c r="S68" s="28"/>
      <c r="T68" s="504">
        <f t="shared" ref="T68:T131" si="13">IF(R68="",P68*Q68,P68*Q68*S68/100)</f>
        <v>0</v>
      </c>
      <c r="U68" s="12">
        <f t="shared" ref="U68:U131" si="14">N68*O68*T68/1000</f>
        <v>0</v>
      </c>
      <c r="V68" s="429">
        <f>U68*係数!$H$30</f>
        <v>0</v>
      </c>
      <c r="W68" s="12">
        <f t="shared" ref="W68:W131" si="15">K68-U68</f>
        <v>0</v>
      </c>
      <c r="X68" s="431">
        <f t="shared" ref="X68:X131" si="16">L68-V68</f>
        <v>0</v>
      </c>
    </row>
    <row r="69" spans="2:24" x14ac:dyDescent="0.45">
      <c r="B69" s="208" t="s">
        <v>666</v>
      </c>
      <c r="C69" s="36"/>
      <c r="D69" s="494"/>
      <c r="E69" s="28"/>
      <c r="F69" s="230"/>
      <c r="G69" s="230"/>
      <c r="H69" s="231"/>
      <c r="I69" s="28"/>
      <c r="J69" s="225">
        <f t="shared" si="9"/>
        <v>0</v>
      </c>
      <c r="K69" s="225">
        <f t="shared" si="10"/>
        <v>0</v>
      </c>
      <c r="L69" s="429">
        <f>K69*係数!$H$30</f>
        <v>0</v>
      </c>
      <c r="M69" s="36"/>
      <c r="N69" s="495"/>
      <c r="O69" s="28"/>
      <c r="P69" s="1">
        <f t="shared" si="11"/>
        <v>0</v>
      </c>
      <c r="Q69" s="1">
        <f t="shared" si="12"/>
        <v>0</v>
      </c>
      <c r="R69" s="231"/>
      <c r="S69" s="28"/>
      <c r="T69" s="504">
        <f t="shared" si="13"/>
        <v>0</v>
      </c>
      <c r="U69" s="12">
        <f t="shared" si="14"/>
        <v>0</v>
      </c>
      <c r="V69" s="429">
        <f>U69*係数!$H$30</f>
        <v>0</v>
      </c>
      <c r="W69" s="12">
        <f t="shared" si="15"/>
        <v>0</v>
      </c>
      <c r="X69" s="431">
        <f t="shared" si="16"/>
        <v>0</v>
      </c>
    </row>
    <row r="70" spans="2:24" x14ac:dyDescent="0.45">
      <c r="B70" s="208" t="s">
        <v>667</v>
      </c>
      <c r="C70" s="36"/>
      <c r="D70" s="494"/>
      <c r="E70" s="28"/>
      <c r="F70" s="230"/>
      <c r="G70" s="230"/>
      <c r="H70" s="231"/>
      <c r="I70" s="28"/>
      <c r="J70" s="225">
        <f t="shared" si="9"/>
        <v>0</v>
      </c>
      <c r="K70" s="225">
        <f t="shared" si="10"/>
        <v>0</v>
      </c>
      <c r="L70" s="429">
        <f>K70*係数!$H$30</f>
        <v>0</v>
      </c>
      <c r="M70" s="36"/>
      <c r="N70" s="495"/>
      <c r="O70" s="28"/>
      <c r="P70" s="1">
        <f t="shared" si="11"/>
        <v>0</v>
      </c>
      <c r="Q70" s="1">
        <f t="shared" si="12"/>
        <v>0</v>
      </c>
      <c r="R70" s="231"/>
      <c r="S70" s="28"/>
      <c r="T70" s="504">
        <f t="shared" si="13"/>
        <v>0</v>
      </c>
      <c r="U70" s="12">
        <f t="shared" si="14"/>
        <v>0</v>
      </c>
      <c r="V70" s="429">
        <f>U70*係数!$H$30</f>
        <v>0</v>
      </c>
      <c r="W70" s="12">
        <f t="shared" si="15"/>
        <v>0</v>
      </c>
      <c r="X70" s="431">
        <f t="shared" si="16"/>
        <v>0</v>
      </c>
    </row>
    <row r="71" spans="2:24" x14ac:dyDescent="0.45">
      <c r="B71" s="208" t="s">
        <v>668</v>
      </c>
      <c r="C71" s="36"/>
      <c r="D71" s="494"/>
      <c r="E71" s="28"/>
      <c r="F71" s="230"/>
      <c r="G71" s="230"/>
      <c r="H71" s="231"/>
      <c r="I71" s="28"/>
      <c r="J71" s="225">
        <f t="shared" si="9"/>
        <v>0</v>
      </c>
      <c r="K71" s="225">
        <f t="shared" si="10"/>
        <v>0</v>
      </c>
      <c r="L71" s="429">
        <f>K71*係数!$H$30</f>
        <v>0</v>
      </c>
      <c r="M71" s="36"/>
      <c r="N71" s="495"/>
      <c r="O71" s="28"/>
      <c r="P71" s="1">
        <f t="shared" si="11"/>
        <v>0</v>
      </c>
      <c r="Q71" s="1">
        <f t="shared" si="12"/>
        <v>0</v>
      </c>
      <c r="R71" s="231"/>
      <c r="S71" s="28"/>
      <c r="T71" s="504">
        <f t="shared" si="13"/>
        <v>0</v>
      </c>
      <c r="U71" s="12">
        <f t="shared" si="14"/>
        <v>0</v>
      </c>
      <c r="V71" s="429">
        <f>U71*係数!$H$30</f>
        <v>0</v>
      </c>
      <c r="W71" s="12">
        <f t="shared" si="15"/>
        <v>0</v>
      </c>
      <c r="X71" s="431">
        <f t="shared" si="16"/>
        <v>0</v>
      </c>
    </row>
    <row r="72" spans="2:24" x14ac:dyDescent="0.45">
      <c r="B72" s="208" t="s">
        <v>669</v>
      </c>
      <c r="C72" s="36"/>
      <c r="D72" s="494"/>
      <c r="E72" s="28"/>
      <c r="F72" s="230"/>
      <c r="G72" s="230"/>
      <c r="H72" s="231"/>
      <c r="I72" s="28"/>
      <c r="J72" s="225">
        <f t="shared" si="9"/>
        <v>0</v>
      </c>
      <c r="K72" s="225">
        <f t="shared" si="10"/>
        <v>0</v>
      </c>
      <c r="L72" s="429">
        <f>K72*係数!$H$30</f>
        <v>0</v>
      </c>
      <c r="M72" s="36"/>
      <c r="N72" s="495"/>
      <c r="O72" s="28"/>
      <c r="P72" s="1">
        <f t="shared" si="11"/>
        <v>0</v>
      </c>
      <c r="Q72" s="1">
        <f t="shared" si="12"/>
        <v>0</v>
      </c>
      <c r="R72" s="231"/>
      <c r="S72" s="28"/>
      <c r="T72" s="504">
        <f t="shared" si="13"/>
        <v>0</v>
      </c>
      <c r="U72" s="12">
        <f t="shared" si="14"/>
        <v>0</v>
      </c>
      <c r="V72" s="429">
        <f>U72*係数!$H$30</f>
        <v>0</v>
      </c>
      <c r="W72" s="12">
        <f t="shared" si="15"/>
        <v>0</v>
      </c>
      <c r="X72" s="431">
        <f t="shared" si="16"/>
        <v>0</v>
      </c>
    </row>
    <row r="73" spans="2:24" x14ac:dyDescent="0.45">
      <c r="B73" s="208" t="s">
        <v>670</v>
      </c>
      <c r="C73" s="36"/>
      <c r="D73" s="494"/>
      <c r="E73" s="28"/>
      <c r="F73" s="230"/>
      <c r="G73" s="230"/>
      <c r="H73" s="231"/>
      <c r="I73" s="28"/>
      <c r="J73" s="225">
        <f t="shared" si="9"/>
        <v>0</v>
      </c>
      <c r="K73" s="225">
        <f t="shared" si="10"/>
        <v>0</v>
      </c>
      <c r="L73" s="429">
        <f>K73*係数!$H$30</f>
        <v>0</v>
      </c>
      <c r="M73" s="36"/>
      <c r="N73" s="495"/>
      <c r="O73" s="28"/>
      <c r="P73" s="1">
        <f t="shared" si="11"/>
        <v>0</v>
      </c>
      <c r="Q73" s="1">
        <f t="shared" si="12"/>
        <v>0</v>
      </c>
      <c r="R73" s="231"/>
      <c r="S73" s="28"/>
      <c r="T73" s="504">
        <f t="shared" si="13"/>
        <v>0</v>
      </c>
      <c r="U73" s="12">
        <f t="shared" si="14"/>
        <v>0</v>
      </c>
      <c r="V73" s="429">
        <f>U73*係数!$H$30</f>
        <v>0</v>
      </c>
      <c r="W73" s="12">
        <f t="shared" si="15"/>
        <v>0</v>
      </c>
      <c r="X73" s="431">
        <f t="shared" si="16"/>
        <v>0</v>
      </c>
    </row>
    <row r="74" spans="2:24" x14ac:dyDescent="0.45">
      <c r="B74" s="208" t="s">
        <v>671</v>
      </c>
      <c r="C74" s="36"/>
      <c r="D74" s="494"/>
      <c r="E74" s="28"/>
      <c r="F74" s="230"/>
      <c r="G74" s="230"/>
      <c r="H74" s="231"/>
      <c r="I74" s="28"/>
      <c r="J74" s="225">
        <f t="shared" si="9"/>
        <v>0</v>
      </c>
      <c r="K74" s="225">
        <f t="shared" si="10"/>
        <v>0</v>
      </c>
      <c r="L74" s="429">
        <f>K74*係数!$H$30</f>
        <v>0</v>
      </c>
      <c r="M74" s="36"/>
      <c r="N74" s="495"/>
      <c r="O74" s="28"/>
      <c r="P74" s="1">
        <f t="shared" si="11"/>
        <v>0</v>
      </c>
      <c r="Q74" s="1">
        <f t="shared" si="12"/>
        <v>0</v>
      </c>
      <c r="R74" s="231"/>
      <c r="S74" s="28"/>
      <c r="T74" s="504">
        <f t="shared" si="13"/>
        <v>0</v>
      </c>
      <c r="U74" s="12">
        <f t="shared" si="14"/>
        <v>0</v>
      </c>
      <c r="V74" s="429">
        <f>U74*係数!$H$30</f>
        <v>0</v>
      </c>
      <c r="W74" s="12">
        <f t="shared" si="15"/>
        <v>0</v>
      </c>
      <c r="X74" s="431">
        <f t="shared" si="16"/>
        <v>0</v>
      </c>
    </row>
    <row r="75" spans="2:24" x14ac:dyDescent="0.45">
      <c r="B75" s="208" t="s">
        <v>672</v>
      </c>
      <c r="C75" s="36"/>
      <c r="D75" s="494"/>
      <c r="E75" s="28"/>
      <c r="F75" s="230"/>
      <c r="G75" s="230"/>
      <c r="H75" s="231"/>
      <c r="I75" s="28"/>
      <c r="J75" s="225">
        <f t="shared" si="9"/>
        <v>0</v>
      </c>
      <c r="K75" s="225">
        <f t="shared" si="10"/>
        <v>0</v>
      </c>
      <c r="L75" s="429">
        <f>K75*係数!$H$30</f>
        <v>0</v>
      </c>
      <c r="M75" s="36"/>
      <c r="N75" s="495"/>
      <c r="O75" s="28"/>
      <c r="P75" s="1">
        <f t="shared" si="11"/>
        <v>0</v>
      </c>
      <c r="Q75" s="1">
        <f t="shared" si="12"/>
        <v>0</v>
      </c>
      <c r="R75" s="231"/>
      <c r="S75" s="28"/>
      <c r="T75" s="504">
        <f t="shared" si="13"/>
        <v>0</v>
      </c>
      <c r="U75" s="12">
        <f t="shared" si="14"/>
        <v>0</v>
      </c>
      <c r="V75" s="429">
        <f>U75*係数!$H$30</f>
        <v>0</v>
      </c>
      <c r="W75" s="12">
        <f t="shared" si="15"/>
        <v>0</v>
      </c>
      <c r="X75" s="431">
        <f t="shared" si="16"/>
        <v>0</v>
      </c>
    </row>
    <row r="76" spans="2:24" x14ac:dyDescent="0.45">
      <c r="B76" s="208" t="s">
        <v>673</v>
      </c>
      <c r="C76" s="36"/>
      <c r="D76" s="494"/>
      <c r="E76" s="28"/>
      <c r="F76" s="230"/>
      <c r="G76" s="230"/>
      <c r="H76" s="231"/>
      <c r="I76" s="28"/>
      <c r="J76" s="225">
        <f t="shared" si="9"/>
        <v>0</v>
      </c>
      <c r="K76" s="225">
        <f t="shared" si="10"/>
        <v>0</v>
      </c>
      <c r="L76" s="429">
        <f>K76*係数!$H$30</f>
        <v>0</v>
      </c>
      <c r="M76" s="36"/>
      <c r="N76" s="495"/>
      <c r="O76" s="28"/>
      <c r="P76" s="1">
        <f t="shared" si="11"/>
        <v>0</v>
      </c>
      <c r="Q76" s="1">
        <f t="shared" si="12"/>
        <v>0</v>
      </c>
      <c r="R76" s="231"/>
      <c r="S76" s="28"/>
      <c r="T76" s="504">
        <f t="shared" si="13"/>
        <v>0</v>
      </c>
      <c r="U76" s="12">
        <f t="shared" si="14"/>
        <v>0</v>
      </c>
      <c r="V76" s="429">
        <f>U76*係数!$H$30</f>
        <v>0</v>
      </c>
      <c r="W76" s="12">
        <f t="shared" si="15"/>
        <v>0</v>
      </c>
      <c r="X76" s="431">
        <f t="shared" si="16"/>
        <v>0</v>
      </c>
    </row>
    <row r="77" spans="2:24" x14ac:dyDescent="0.45">
      <c r="B77" s="208" t="s">
        <v>674</v>
      </c>
      <c r="C77" s="36"/>
      <c r="D77" s="494"/>
      <c r="E77" s="28"/>
      <c r="F77" s="230"/>
      <c r="G77" s="230"/>
      <c r="H77" s="231"/>
      <c r="I77" s="28"/>
      <c r="J77" s="225">
        <f t="shared" si="9"/>
        <v>0</v>
      </c>
      <c r="K77" s="225">
        <f t="shared" si="10"/>
        <v>0</v>
      </c>
      <c r="L77" s="429">
        <f>K77*係数!$H$30</f>
        <v>0</v>
      </c>
      <c r="M77" s="36"/>
      <c r="N77" s="495"/>
      <c r="O77" s="28"/>
      <c r="P77" s="1">
        <f t="shared" si="11"/>
        <v>0</v>
      </c>
      <c r="Q77" s="1">
        <f t="shared" si="12"/>
        <v>0</v>
      </c>
      <c r="R77" s="231"/>
      <c r="S77" s="28"/>
      <c r="T77" s="504">
        <f t="shared" si="13"/>
        <v>0</v>
      </c>
      <c r="U77" s="12">
        <f t="shared" si="14"/>
        <v>0</v>
      </c>
      <c r="V77" s="429">
        <f>U77*係数!$H$30</f>
        <v>0</v>
      </c>
      <c r="W77" s="12">
        <f t="shared" si="15"/>
        <v>0</v>
      </c>
      <c r="X77" s="431">
        <f t="shared" si="16"/>
        <v>0</v>
      </c>
    </row>
    <row r="78" spans="2:24" x14ac:dyDescent="0.45">
      <c r="B78" s="208" t="s">
        <v>675</v>
      </c>
      <c r="C78" s="36"/>
      <c r="D78" s="494"/>
      <c r="E78" s="28"/>
      <c r="F78" s="230"/>
      <c r="G78" s="230"/>
      <c r="H78" s="231"/>
      <c r="I78" s="28"/>
      <c r="J78" s="225">
        <f t="shared" si="9"/>
        <v>0</v>
      </c>
      <c r="K78" s="225">
        <f t="shared" si="10"/>
        <v>0</v>
      </c>
      <c r="L78" s="429">
        <f>K78*係数!$H$30</f>
        <v>0</v>
      </c>
      <c r="M78" s="36"/>
      <c r="N78" s="495"/>
      <c r="O78" s="28"/>
      <c r="P78" s="1">
        <f t="shared" si="11"/>
        <v>0</v>
      </c>
      <c r="Q78" s="1">
        <f t="shared" si="12"/>
        <v>0</v>
      </c>
      <c r="R78" s="231"/>
      <c r="S78" s="28"/>
      <c r="T78" s="504">
        <f t="shared" si="13"/>
        <v>0</v>
      </c>
      <c r="U78" s="12">
        <f t="shared" si="14"/>
        <v>0</v>
      </c>
      <c r="V78" s="429">
        <f>U78*係数!$H$30</f>
        <v>0</v>
      </c>
      <c r="W78" s="12">
        <f t="shared" si="15"/>
        <v>0</v>
      </c>
      <c r="X78" s="431">
        <f t="shared" si="16"/>
        <v>0</v>
      </c>
    </row>
    <row r="79" spans="2:24" x14ac:dyDescent="0.45">
      <c r="B79" s="208" t="s">
        <v>676</v>
      </c>
      <c r="C79" s="36"/>
      <c r="D79" s="494"/>
      <c r="E79" s="28"/>
      <c r="F79" s="230"/>
      <c r="G79" s="230"/>
      <c r="H79" s="231"/>
      <c r="I79" s="28"/>
      <c r="J79" s="225">
        <f t="shared" si="9"/>
        <v>0</v>
      </c>
      <c r="K79" s="225">
        <f t="shared" si="10"/>
        <v>0</v>
      </c>
      <c r="L79" s="429">
        <f>K79*係数!$H$30</f>
        <v>0</v>
      </c>
      <c r="M79" s="36"/>
      <c r="N79" s="495"/>
      <c r="O79" s="28"/>
      <c r="P79" s="1">
        <f t="shared" si="11"/>
        <v>0</v>
      </c>
      <c r="Q79" s="1">
        <f t="shared" si="12"/>
        <v>0</v>
      </c>
      <c r="R79" s="231"/>
      <c r="S79" s="28"/>
      <c r="T79" s="504">
        <f t="shared" si="13"/>
        <v>0</v>
      </c>
      <c r="U79" s="12">
        <f t="shared" si="14"/>
        <v>0</v>
      </c>
      <c r="V79" s="429">
        <f>U79*係数!$H$30</f>
        <v>0</v>
      </c>
      <c r="W79" s="12">
        <f t="shared" si="15"/>
        <v>0</v>
      </c>
      <c r="X79" s="431">
        <f t="shared" si="16"/>
        <v>0</v>
      </c>
    </row>
    <row r="80" spans="2:24" x14ac:dyDescent="0.45">
      <c r="B80" s="208" t="s">
        <v>677</v>
      </c>
      <c r="C80" s="36"/>
      <c r="D80" s="494"/>
      <c r="E80" s="28"/>
      <c r="F80" s="230"/>
      <c r="G80" s="230"/>
      <c r="H80" s="231"/>
      <c r="I80" s="28"/>
      <c r="J80" s="225">
        <f t="shared" si="9"/>
        <v>0</v>
      </c>
      <c r="K80" s="225">
        <f t="shared" si="10"/>
        <v>0</v>
      </c>
      <c r="L80" s="429">
        <f>K80*係数!$H$30</f>
        <v>0</v>
      </c>
      <c r="M80" s="36"/>
      <c r="N80" s="495"/>
      <c r="O80" s="28"/>
      <c r="P80" s="1">
        <f t="shared" si="11"/>
        <v>0</v>
      </c>
      <c r="Q80" s="1">
        <f t="shared" si="12"/>
        <v>0</v>
      </c>
      <c r="R80" s="231"/>
      <c r="S80" s="28"/>
      <c r="T80" s="504">
        <f t="shared" si="13"/>
        <v>0</v>
      </c>
      <c r="U80" s="12">
        <f t="shared" si="14"/>
        <v>0</v>
      </c>
      <c r="V80" s="429">
        <f>U80*係数!$H$30</f>
        <v>0</v>
      </c>
      <c r="W80" s="12">
        <f t="shared" si="15"/>
        <v>0</v>
      </c>
      <c r="X80" s="431">
        <f t="shared" si="16"/>
        <v>0</v>
      </c>
    </row>
    <row r="81" spans="2:24" x14ac:dyDescent="0.45">
      <c r="B81" s="208" t="s">
        <v>678</v>
      </c>
      <c r="C81" s="36"/>
      <c r="D81" s="494"/>
      <c r="E81" s="28"/>
      <c r="F81" s="230"/>
      <c r="G81" s="230"/>
      <c r="H81" s="231"/>
      <c r="I81" s="28"/>
      <c r="J81" s="225">
        <f t="shared" si="9"/>
        <v>0</v>
      </c>
      <c r="K81" s="225">
        <f t="shared" si="10"/>
        <v>0</v>
      </c>
      <c r="L81" s="429">
        <f>K81*係数!$H$30</f>
        <v>0</v>
      </c>
      <c r="M81" s="36"/>
      <c r="N81" s="495"/>
      <c r="O81" s="28"/>
      <c r="P81" s="1">
        <f t="shared" si="11"/>
        <v>0</v>
      </c>
      <c r="Q81" s="1">
        <f t="shared" si="12"/>
        <v>0</v>
      </c>
      <c r="R81" s="231"/>
      <c r="S81" s="28"/>
      <c r="T81" s="504">
        <f t="shared" si="13"/>
        <v>0</v>
      </c>
      <c r="U81" s="12">
        <f t="shared" si="14"/>
        <v>0</v>
      </c>
      <c r="V81" s="429">
        <f>U81*係数!$H$30</f>
        <v>0</v>
      </c>
      <c r="W81" s="12">
        <f t="shared" si="15"/>
        <v>0</v>
      </c>
      <c r="X81" s="431">
        <f t="shared" si="16"/>
        <v>0</v>
      </c>
    </row>
    <row r="82" spans="2:24" x14ac:dyDescent="0.45">
      <c r="B82" s="208" t="s">
        <v>679</v>
      </c>
      <c r="C82" s="36"/>
      <c r="D82" s="494"/>
      <c r="E82" s="28"/>
      <c r="F82" s="230"/>
      <c r="G82" s="230"/>
      <c r="H82" s="231"/>
      <c r="I82" s="28"/>
      <c r="J82" s="225">
        <f t="shared" si="9"/>
        <v>0</v>
      </c>
      <c r="K82" s="225">
        <f t="shared" si="10"/>
        <v>0</v>
      </c>
      <c r="L82" s="429">
        <f>K82*係数!$H$30</f>
        <v>0</v>
      </c>
      <c r="M82" s="36"/>
      <c r="N82" s="495"/>
      <c r="O82" s="28"/>
      <c r="P82" s="1">
        <f t="shared" si="11"/>
        <v>0</v>
      </c>
      <c r="Q82" s="1">
        <f t="shared" si="12"/>
        <v>0</v>
      </c>
      <c r="R82" s="231"/>
      <c r="S82" s="28"/>
      <c r="T82" s="504">
        <f t="shared" si="13"/>
        <v>0</v>
      </c>
      <c r="U82" s="12">
        <f t="shared" si="14"/>
        <v>0</v>
      </c>
      <c r="V82" s="429">
        <f>U82*係数!$H$30</f>
        <v>0</v>
      </c>
      <c r="W82" s="12">
        <f t="shared" si="15"/>
        <v>0</v>
      </c>
      <c r="X82" s="431">
        <f t="shared" si="16"/>
        <v>0</v>
      </c>
    </row>
    <row r="83" spans="2:24" x14ac:dyDescent="0.45">
      <c r="B83" s="208" t="s">
        <v>680</v>
      </c>
      <c r="C83" s="36"/>
      <c r="D83" s="494"/>
      <c r="E83" s="28"/>
      <c r="F83" s="230"/>
      <c r="G83" s="230"/>
      <c r="H83" s="231"/>
      <c r="I83" s="28"/>
      <c r="J83" s="225">
        <f t="shared" si="9"/>
        <v>0</v>
      </c>
      <c r="K83" s="225">
        <f t="shared" si="10"/>
        <v>0</v>
      </c>
      <c r="L83" s="429">
        <f>K83*係数!$H$30</f>
        <v>0</v>
      </c>
      <c r="M83" s="36"/>
      <c r="N83" s="495"/>
      <c r="O83" s="28"/>
      <c r="P83" s="1">
        <f t="shared" si="11"/>
        <v>0</v>
      </c>
      <c r="Q83" s="1">
        <f t="shared" si="12"/>
        <v>0</v>
      </c>
      <c r="R83" s="231"/>
      <c r="S83" s="28"/>
      <c r="T83" s="504">
        <f t="shared" si="13"/>
        <v>0</v>
      </c>
      <c r="U83" s="12">
        <f t="shared" si="14"/>
        <v>0</v>
      </c>
      <c r="V83" s="429">
        <f>U83*係数!$H$30</f>
        <v>0</v>
      </c>
      <c r="W83" s="12">
        <f t="shared" si="15"/>
        <v>0</v>
      </c>
      <c r="X83" s="431">
        <f t="shared" si="16"/>
        <v>0</v>
      </c>
    </row>
    <row r="84" spans="2:24" x14ac:dyDescent="0.45">
      <c r="B84" s="208" t="s">
        <v>681</v>
      </c>
      <c r="C84" s="36"/>
      <c r="D84" s="494"/>
      <c r="E84" s="28"/>
      <c r="F84" s="230"/>
      <c r="G84" s="230"/>
      <c r="H84" s="231"/>
      <c r="I84" s="28"/>
      <c r="J84" s="225">
        <f t="shared" si="9"/>
        <v>0</v>
      </c>
      <c r="K84" s="225">
        <f t="shared" si="10"/>
        <v>0</v>
      </c>
      <c r="L84" s="429">
        <f>K84*係数!$H$30</f>
        <v>0</v>
      </c>
      <c r="M84" s="36"/>
      <c r="N84" s="495"/>
      <c r="O84" s="28"/>
      <c r="P84" s="1">
        <f t="shared" si="11"/>
        <v>0</v>
      </c>
      <c r="Q84" s="1">
        <f t="shared" si="12"/>
        <v>0</v>
      </c>
      <c r="R84" s="231"/>
      <c r="S84" s="28"/>
      <c r="T84" s="504">
        <f t="shared" si="13"/>
        <v>0</v>
      </c>
      <c r="U84" s="12">
        <f t="shared" si="14"/>
        <v>0</v>
      </c>
      <c r="V84" s="429">
        <f>U84*係数!$H$30</f>
        <v>0</v>
      </c>
      <c r="W84" s="12">
        <f t="shared" si="15"/>
        <v>0</v>
      </c>
      <c r="X84" s="431">
        <f t="shared" si="16"/>
        <v>0</v>
      </c>
    </row>
    <row r="85" spans="2:24" x14ac:dyDescent="0.45">
      <c r="B85" s="208" t="s">
        <v>682</v>
      </c>
      <c r="C85" s="36"/>
      <c r="D85" s="494"/>
      <c r="E85" s="28"/>
      <c r="F85" s="230"/>
      <c r="G85" s="230"/>
      <c r="H85" s="231"/>
      <c r="I85" s="28"/>
      <c r="J85" s="225">
        <f t="shared" si="9"/>
        <v>0</v>
      </c>
      <c r="K85" s="225">
        <f t="shared" si="10"/>
        <v>0</v>
      </c>
      <c r="L85" s="429">
        <f>K85*係数!$H$30</f>
        <v>0</v>
      </c>
      <c r="M85" s="36"/>
      <c r="N85" s="495"/>
      <c r="O85" s="28"/>
      <c r="P85" s="1">
        <f t="shared" si="11"/>
        <v>0</v>
      </c>
      <c r="Q85" s="1">
        <f t="shared" si="12"/>
        <v>0</v>
      </c>
      <c r="R85" s="231"/>
      <c r="S85" s="28"/>
      <c r="T85" s="504">
        <f t="shared" si="13"/>
        <v>0</v>
      </c>
      <c r="U85" s="12">
        <f t="shared" si="14"/>
        <v>0</v>
      </c>
      <c r="V85" s="429">
        <f>U85*係数!$H$30</f>
        <v>0</v>
      </c>
      <c r="W85" s="12">
        <f t="shared" si="15"/>
        <v>0</v>
      </c>
      <c r="X85" s="431">
        <f t="shared" si="16"/>
        <v>0</v>
      </c>
    </row>
    <row r="86" spans="2:24" x14ac:dyDescent="0.45">
      <c r="B86" s="208" t="s">
        <v>683</v>
      </c>
      <c r="C86" s="36"/>
      <c r="D86" s="494"/>
      <c r="E86" s="28"/>
      <c r="F86" s="230"/>
      <c r="G86" s="230"/>
      <c r="H86" s="231"/>
      <c r="I86" s="28"/>
      <c r="J86" s="225">
        <f t="shared" si="9"/>
        <v>0</v>
      </c>
      <c r="K86" s="225">
        <f t="shared" si="10"/>
        <v>0</v>
      </c>
      <c r="L86" s="429">
        <f>K86*係数!$H$30</f>
        <v>0</v>
      </c>
      <c r="M86" s="36"/>
      <c r="N86" s="495"/>
      <c r="O86" s="28"/>
      <c r="P86" s="1">
        <f t="shared" si="11"/>
        <v>0</v>
      </c>
      <c r="Q86" s="1">
        <f t="shared" si="12"/>
        <v>0</v>
      </c>
      <c r="R86" s="231"/>
      <c r="S86" s="28"/>
      <c r="T86" s="504">
        <f t="shared" si="13"/>
        <v>0</v>
      </c>
      <c r="U86" s="12">
        <f t="shared" si="14"/>
        <v>0</v>
      </c>
      <c r="V86" s="429">
        <f>U86*係数!$H$30</f>
        <v>0</v>
      </c>
      <c r="W86" s="12">
        <f t="shared" si="15"/>
        <v>0</v>
      </c>
      <c r="X86" s="431">
        <f t="shared" si="16"/>
        <v>0</v>
      </c>
    </row>
    <row r="87" spans="2:24" x14ac:dyDescent="0.45">
      <c r="B87" s="208" t="s">
        <v>684</v>
      </c>
      <c r="C87" s="36"/>
      <c r="D87" s="494"/>
      <c r="E87" s="28"/>
      <c r="F87" s="230"/>
      <c r="G87" s="230"/>
      <c r="H87" s="231"/>
      <c r="I87" s="28"/>
      <c r="J87" s="225">
        <f t="shared" si="9"/>
        <v>0</v>
      </c>
      <c r="K87" s="225">
        <f t="shared" si="10"/>
        <v>0</v>
      </c>
      <c r="L87" s="429">
        <f>K87*係数!$H$30</f>
        <v>0</v>
      </c>
      <c r="M87" s="36"/>
      <c r="N87" s="495"/>
      <c r="O87" s="28"/>
      <c r="P87" s="1">
        <f t="shared" si="11"/>
        <v>0</v>
      </c>
      <c r="Q87" s="1">
        <f t="shared" si="12"/>
        <v>0</v>
      </c>
      <c r="R87" s="231"/>
      <c r="S87" s="28"/>
      <c r="T87" s="504">
        <f t="shared" si="13"/>
        <v>0</v>
      </c>
      <c r="U87" s="12">
        <f t="shared" si="14"/>
        <v>0</v>
      </c>
      <c r="V87" s="429">
        <f>U87*係数!$H$30</f>
        <v>0</v>
      </c>
      <c r="W87" s="12">
        <f t="shared" si="15"/>
        <v>0</v>
      </c>
      <c r="X87" s="431">
        <f t="shared" si="16"/>
        <v>0</v>
      </c>
    </row>
    <row r="88" spans="2:24" x14ac:dyDescent="0.45">
      <c r="B88" s="208" t="s">
        <v>685</v>
      </c>
      <c r="C88" s="36"/>
      <c r="D88" s="494"/>
      <c r="E88" s="28"/>
      <c r="F88" s="230"/>
      <c r="G88" s="230"/>
      <c r="H88" s="231"/>
      <c r="I88" s="28"/>
      <c r="J88" s="225">
        <f t="shared" si="9"/>
        <v>0</v>
      </c>
      <c r="K88" s="225">
        <f t="shared" si="10"/>
        <v>0</v>
      </c>
      <c r="L88" s="429">
        <f>K88*係数!$H$30</f>
        <v>0</v>
      </c>
      <c r="M88" s="36"/>
      <c r="N88" s="495"/>
      <c r="O88" s="28"/>
      <c r="P88" s="1">
        <f t="shared" si="11"/>
        <v>0</v>
      </c>
      <c r="Q88" s="1">
        <f t="shared" si="12"/>
        <v>0</v>
      </c>
      <c r="R88" s="231"/>
      <c r="S88" s="28"/>
      <c r="T88" s="504">
        <f t="shared" si="13"/>
        <v>0</v>
      </c>
      <c r="U88" s="12">
        <f t="shared" si="14"/>
        <v>0</v>
      </c>
      <c r="V88" s="429">
        <f>U88*係数!$H$30</f>
        <v>0</v>
      </c>
      <c r="W88" s="12">
        <f t="shared" si="15"/>
        <v>0</v>
      </c>
      <c r="X88" s="431">
        <f t="shared" si="16"/>
        <v>0</v>
      </c>
    </row>
    <row r="89" spans="2:24" x14ac:dyDescent="0.45">
      <c r="B89" s="208" t="s">
        <v>686</v>
      </c>
      <c r="C89" s="36"/>
      <c r="D89" s="494"/>
      <c r="E89" s="28"/>
      <c r="F89" s="230"/>
      <c r="G89" s="230"/>
      <c r="H89" s="231"/>
      <c r="I89" s="28"/>
      <c r="J89" s="225">
        <f t="shared" si="9"/>
        <v>0</v>
      </c>
      <c r="K89" s="225">
        <f t="shared" si="10"/>
        <v>0</v>
      </c>
      <c r="L89" s="429">
        <f>K89*係数!$H$30</f>
        <v>0</v>
      </c>
      <c r="M89" s="36"/>
      <c r="N89" s="495"/>
      <c r="O89" s="28"/>
      <c r="P89" s="1">
        <f t="shared" si="11"/>
        <v>0</v>
      </c>
      <c r="Q89" s="1">
        <f t="shared" si="12"/>
        <v>0</v>
      </c>
      <c r="R89" s="231"/>
      <c r="S89" s="28"/>
      <c r="T89" s="504">
        <f t="shared" si="13"/>
        <v>0</v>
      </c>
      <c r="U89" s="12">
        <f t="shared" si="14"/>
        <v>0</v>
      </c>
      <c r="V89" s="429">
        <f>U89*係数!$H$30</f>
        <v>0</v>
      </c>
      <c r="W89" s="12">
        <f t="shared" si="15"/>
        <v>0</v>
      </c>
      <c r="X89" s="431">
        <f t="shared" si="16"/>
        <v>0</v>
      </c>
    </row>
    <row r="90" spans="2:24" x14ac:dyDescent="0.45">
      <c r="B90" s="208" t="s">
        <v>687</v>
      </c>
      <c r="C90" s="36"/>
      <c r="D90" s="494"/>
      <c r="E90" s="28"/>
      <c r="F90" s="230"/>
      <c r="G90" s="230"/>
      <c r="H90" s="231"/>
      <c r="I90" s="28"/>
      <c r="J90" s="225">
        <f t="shared" si="9"/>
        <v>0</v>
      </c>
      <c r="K90" s="225">
        <f t="shared" si="10"/>
        <v>0</v>
      </c>
      <c r="L90" s="429">
        <f>K90*係数!$H$30</f>
        <v>0</v>
      </c>
      <c r="M90" s="36"/>
      <c r="N90" s="495"/>
      <c r="O90" s="28"/>
      <c r="P90" s="1">
        <f t="shared" si="11"/>
        <v>0</v>
      </c>
      <c r="Q90" s="1">
        <f t="shared" si="12"/>
        <v>0</v>
      </c>
      <c r="R90" s="231"/>
      <c r="S90" s="28"/>
      <c r="T90" s="504">
        <f t="shared" si="13"/>
        <v>0</v>
      </c>
      <c r="U90" s="12">
        <f t="shared" si="14"/>
        <v>0</v>
      </c>
      <c r="V90" s="429">
        <f>U90*係数!$H$30</f>
        <v>0</v>
      </c>
      <c r="W90" s="12">
        <f t="shared" si="15"/>
        <v>0</v>
      </c>
      <c r="X90" s="431">
        <f t="shared" si="16"/>
        <v>0</v>
      </c>
    </row>
    <row r="91" spans="2:24" x14ac:dyDescent="0.45">
      <c r="B91" s="208" t="s">
        <v>688</v>
      </c>
      <c r="C91" s="36"/>
      <c r="D91" s="494"/>
      <c r="E91" s="28"/>
      <c r="F91" s="230"/>
      <c r="G91" s="230"/>
      <c r="H91" s="231"/>
      <c r="I91" s="28"/>
      <c r="J91" s="225">
        <f t="shared" si="9"/>
        <v>0</v>
      </c>
      <c r="K91" s="225">
        <f t="shared" si="10"/>
        <v>0</v>
      </c>
      <c r="L91" s="429">
        <f>K91*係数!$H$30</f>
        <v>0</v>
      </c>
      <c r="M91" s="36"/>
      <c r="N91" s="495"/>
      <c r="O91" s="28"/>
      <c r="P91" s="1">
        <f t="shared" si="11"/>
        <v>0</v>
      </c>
      <c r="Q91" s="1">
        <f t="shared" si="12"/>
        <v>0</v>
      </c>
      <c r="R91" s="231"/>
      <c r="S91" s="28"/>
      <c r="T91" s="504">
        <f t="shared" si="13"/>
        <v>0</v>
      </c>
      <c r="U91" s="12">
        <f t="shared" si="14"/>
        <v>0</v>
      </c>
      <c r="V91" s="429">
        <f>U91*係数!$H$30</f>
        <v>0</v>
      </c>
      <c r="W91" s="12">
        <f t="shared" si="15"/>
        <v>0</v>
      </c>
      <c r="X91" s="431">
        <f t="shared" si="16"/>
        <v>0</v>
      </c>
    </row>
    <row r="92" spans="2:24" x14ac:dyDescent="0.45">
      <c r="B92" s="208" t="s">
        <v>689</v>
      </c>
      <c r="C92" s="36"/>
      <c r="D92" s="494"/>
      <c r="E92" s="28"/>
      <c r="F92" s="230"/>
      <c r="G92" s="230"/>
      <c r="H92" s="231"/>
      <c r="I92" s="28"/>
      <c r="J92" s="225">
        <f t="shared" si="9"/>
        <v>0</v>
      </c>
      <c r="K92" s="225">
        <f t="shared" si="10"/>
        <v>0</v>
      </c>
      <c r="L92" s="429">
        <f>K92*係数!$H$30</f>
        <v>0</v>
      </c>
      <c r="M92" s="36"/>
      <c r="N92" s="495"/>
      <c r="O92" s="28"/>
      <c r="P92" s="1">
        <f t="shared" si="11"/>
        <v>0</v>
      </c>
      <c r="Q92" s="1">
        <f t="shared" si="12"/>
        <v>0</v>
      </c>
      <c r="R92" s="231"/>
      <c r="S92" s="28"/>
      <c r="T92" s="504">
        <f t="shared" si="13"/>
        <v>0</v>
      </c>
      <c r="U92" s="12">
        <f t="shared" si="14"/>
        <v>0</v>
      </c>
      <c r="V92" s="429">
        <f>U92*係数!$H$30</f>
        <v>0</v>
      </c>
      <c r="W92" s="12">
        <f t="shared" si="15"/>
        <v>0</v>
      </c>
      <c r="X92" s="431">
        <f t="shared" si="16"/>
        <v>0</v>
      </c>
    </row>
    <row r="93" spans="2:24" x14ac:dyDescent="0.45">
      <c r="B93" s="208" t="s">
        <v>690</v>
      </c>
      <c r="C93" s="36"/>
      <c r="D93" s="494"/>
      <c r="E93" s="28"/>
      <c r="F93" s="230"/>
      <c r="G93" s="230"/>
      <c r="H93" s="231"/>
      <c r="I93" s="28"/>
      <c r="J93" s="225">
        <f t="shared" si="9"/>
        <v>0</v>
      </c>
      <c r="K93" s="225">
        <f t="shared" si="10"/>
        <v>0</v>
      </c>
      <c r="L93" s="429">
        <f>K93*係数!$H$30</f>
        <v>0</v>
      </c>
      <c r="M93" s="36"/>
      <c r="N93" s="495"/>
      <c r="O93" s="28"/>
      <c r="P93" s="1">
        <f t="shared" si="11"/>
        <v>0</v>
      </c>
      <c r="Q93" s="1">
        <f t="shared" si="12"/>
        <v>0</v>
      </c>
      <c r="R93" s="231"/>
      <c r="S93" s="28"/>
      <c r="T93" s="504">
        <f t="shared" si="13"/>
        <v>0</v>
      </c>
      <c r="U93" s="12">
        <f t="shared" si="14"/>
        <v>0</v>
      </c>
      <c r="V93" s="429">
        <f>U93*係数!$H$30</f>
        <v>0</v>
      </c>
      <c r="W93" s="12">
        <f t="shared" si="15"/>
        <v>0</v>
      </c>
      <c r="X93" s="431">
        <f t="shared" si="16"/>
        <v>0</v>
      </c>
    </row>
    <row r="94" spans="2:24" x14ac:dyDescent="0.45">
      <c r="B94" s="208" t="s">
        <v>691</v>
      </c>
      <c r="C94" s="36"/>
      <c r="D94" s="494"/>
      <c r="E94" s="28"/>
      <c r="F94" s="230"/>
      <c r="G94" s="230"/>
      <c r="H94" s="231"/>
      <c r="I94" s="28"/>
      <c r="J94" s="225">
        <f t="shared" si="9"/>
        <v>0</v>
      </c>
      <c r="K94" s="225">
        <f t="shared" si="10"/>
        <v>0</v>
      </c>
      <c r="L94" s="429">
        <f>K94*係数!$H$30</f>
        <v>0</v>
      </c>
      <c r="M94" s="36"/>
      <c r="N94" s="495"/>
      <c r="O94" s="28"/>
      <c r="P94" s="1">
        <f t="shared" si="11"/>
        <v>0</v>
      </c>
      <c r="Q94" s="1">
        <f t="shared" si="12"/>
        <v>0</v>
      </c>
      <c r="R94" s="231"/>
      <c r="S94" s="28"/>
      <c r="T94" s="504">
        <f t="shared" si="13"/>
        <v>0</v>
      </c>
      <c r="U94" s="12">
        <f t="shared" si="14"/>
        <v>0</v>
      </c>
      <c r="V94" s="429">
        <f>U94*係数!$H$30</f>
        <v>0</v>
      </c>
      <c r="W94" s="12">
        <f t="shared" si="15"/>
        <v>0</v>
      </c>
      <c r="X94" s="431">
        <f t="shared" si="16"/>
        <v>0</v>
      </c>
    </row>
    <row r="95" spans="2:24" x14ac:dyDescent="0.45">
      <c r="B95" s="208" t="s">
        <v>692</v>
      </c>
      <c r="C95" s="36"/>
      <c r="D95" s="494"/>
      <c r="E95" s="28"/>
      <c r="F95" s="230"/>
      <c r="G95" s="230"/>
      <c r="H95" s="231"/>
      <c r="I95" s="28"/>
      <c r="J95" s="225">
        <f t="shared" si="9"/>
        <v>0</v>
      </c>
      <c r="K95" s="225">
        <f t="shared" si="10"/>
        <v>0</v>
      </c>
      <c r="L95" s="429">
        <f>K95*係数!$H$30</f>
        <v>0</v>
      </c>
      <c r="M95" s="36"/>
      <c r="N95" s="495"/>
      <c r="O95" s="28"/>
      <c r="P95" s="1">
        <f t="shared" si="11"/>
        <v>0</v>
      </c>
      <c r="Q95" s="1">
        <f t="shared" si="12"/>
        <v>0</v>
      </c>
      <c r="R95" s="231"/>
      <c r="S95" s="28"/>
      <c r="T95" s="504">
        <f t="shared" si="13"/>
        <v>0</v>
      </c>
      <c r="U95" s="12">
        <f t="shared" si="14"/>
        <v>0</v>
      </c>
      <c r="V95" s="429">
        <f>U95*係数!$H$30</f>
        <v>0</v>
      </c>
      <c r="W95" s="12">
        <f t="shared" si="15"/>
        <v>0</v>
      </c>
      <c r="X95" s="431">
        <f t="shared" si="16"/>
        <v>0</v>
      </c>
    </row>
    <row r="96" spans="2:24" x14ac:dyDescent="0.45">
      <c r="B96" s="208" t="s">
        <v>693</v>
      </c>
      <c r="C96" s="36"/>
      <c r="D96" s="494"/>
      <c r="E96" s="28"/>
      <c r="F96" s="230"/>
      <c r="G96" s="230"/>
      <c r="H96" s="231"/>
      <c r="I96" s="28"/>
      <c r="J96" s="225">
        <f t="shared" si="9"/>
        <v>0</v>
      </c>
      <c r="K96" s="225">
        <f t="shared" si="10"/>
        <v>0</v>
      </c>
      <c r="L96" s="429">
        <f>K96*係数!$H$30</f>
        <v>0</v>
      </c>
      <c r="M96" s="36"/>
      <c r="N96" s="495"/>
      <c r="O96" s="28"/>
      <c r="P96" s="1">
        <f t="shared" si="11"/>
        <v>0</v>
      </c>
      <c r="Q96" s="1">
        <f t="shared" si="12"/>
        <v>0</v>
      </c>
      <c r="R96" s="231"/>
      <c r="S96" s="28"/>
      <c r="T96" s="504">
        <f t="shared" si="13"/>
        <v>0</v>
      </c>
      <c r="U96" s="12">
        <f t="shared" si="14"/>
        <v>0</v>
      </c>
      <c r="V96" s="429">
        <f>U96*係数!$H$30</f>
        <v>0</v>
      </c>
      <c r="W96" s="12">
        <f t="shared" si="15"/>
        <v>0</v>
      </c>
      <c r="X96" s="431">
        <f t="shared" si="16"/>
        <v>0</v>
      </c>
    </row>
    <row r="97" spans="2:24" x14ac:dyDescent="0.45">
      <c r="B97" s="208" t="s">
        <v>694</v>
      </c>
      <c r="C97" s="36"/>
      <c r="D97" s="494"/>
      <c r="E97" s="28"/>
      <c r="F97" s="230"/>
      <c r="G97" s="230"/>
      <c r="H97" s="231"/>
      <c r="I97" s="28"/>
      <c r="J97" s="225">
        <f t="shared" si="9"/>
        <v>0</v>
      </c>
      <c r="K97" s="225">
        <f t="shared" si="10"/>
        <v>0</v>
      </c>
      <c r="L97" s="429">
        <f>K97*係数!$H$30</f>
        <v>0</v>
      </c>
      <c r="M97" s="36"/>
      <c r="N97" s="495"/>
      <c r="O97" s="28"/>
      <c r="P97" s="1">
        <f t="shared" si="11"/>
        <v>0</v>
      </c>
      <c r="Q97" s="1">
        <f t="shared" si="12"/>
        <v>0</v>
      </c>
      <c r="R97" s="231"/>
      <c r="S97" s="28"/>
      <c r="T97" s="504">
        <f t="shared" si="13"/>
        <v>0</v>
      </c>
      <c r="U97" s="12">
        <f t="shared" si="14"/>
        <v>0</v>
      </c>
      <c r="V97" s="429">
        <f>U97*係数!$H$30</f>
        <v>0</v>
      </c>
      <c r="W97" s="12">
        <f t="shared" si="15"/>
        <v>0</v>
      </c>
      <c r="X97" s="431">
        <f t="shared" si="16"/>
        <v>0</v>
      </c>
    </row>
    <row r="98" spans="2:24" x14ac:dyDescent="0.45">
      <c r="B98" s="208" t="s">
        <v>695</v>
      </c>
      <c r="C98" s="36"/>
      <c r="D98" s="494"/>
      <c r="E98" s="28"/>
      <c r="F98" s="230"/>
      <c r="G98" s="230"/>
      <c r="H98" s="231"/>
      <c r="I98" s="28"/>
      <c r="J98" s="225">
        <f t="shared" si="9"/>
        <v>0</v>
      </c>
      <c r="K98" s="225">
        <f t="shared" si="10"/>
        <v>0</v>
      </c>
      <c r="L98" s="429">
        <f>K98*係数!$H$30</f>
        <v>0</v>
      </c>
      <c r="M98" s="36"/>
      <c r="N98" s="495"/>
      <c r="O98" s="28"/>
      <c r="P98" s="1">
        <f t="shared" si="11"/>
        <v>0</v>
      </c>
      <c r="Q98" s="1">
        <f t="shared" si="12"/>
        <v>0</v>
      </c>
      <c r="R98" s="231"/>
      <c r="S98" s="28"/>
      <c r="T98" s="504">
        <f t="shared" si="13"/>
        <v>0</v>
      </c>
      <c r="U98" s="12">
        <f t="shared" si="14"/>
        <v>0</v>
      </c>
      <c r="V98" s="429">
        <f>U98*係数!$H$30</f>
        <v>0</v>
      </c>
      <c r="W98" s="12">
        <f t="shared" si="15"/>
        <v>0</v>
      </c>
      <c r="X98" s="431">
        <f t="shared" si="16"/>
        <v>0</v>
      </c>
    </row>
    <row r="99" spans="2:24" x14ac:dyDescent="0.45">
      <c r="B99" s="208" t="s">
        <v>696</v>
      </c>
      <c r="C99" s="36"/>
      <c r="D99" s="494"/>
      <c r="E99" s="28"/>
      <c r="F99" s="230"/>
      <c r="G99" s="230"/>
      <c r="H99" s="231"/>
      <c r="I99" s="28"/>
      <c r="J99" s="225">
        <f t="shared" si="9"/>
        <v>0</v>
      </c>
      <c r="K99" s="225">
        <f t="shared" si="10"/>
        <v>0</v>
      </c>
      <c r="L99" s="429">
        <f>K99*係数!$H$30</f>
        <v>0</v>
      </c>
      <c r="M99" s="36"/>
      <c r="N99" s="495"/>
      <c r="O99" s="28"/>
      <c r="P99" s="1">
        <f t="shared" si="11"/>
        <v>0</v>
      </c>
      <c r="Q99" s="1">
        <f t="shared" si="12"/>
        <v>0</v>
      </c>
      <c r="R99" s="231"/>
      <c r="S99" s="28"/>
      <c r="T99" s="504">
        <f t="shared" si="13"/>
        <v>0</v>
      </c>
      <c r="U99" s="12">
        <f t="shared" si="14"/>
        <v>0</v>
      </c>
      <c r="V99" s="429">
        <f>U99*係数!$H$30</f>
        <v>0</v>
      </c>
      <c r="W99" s="12">
        <f t="shared" si="15"/>
        <v>0</v>
      </c>
      <c r="X99" s="431">
        <f t="shared" si="16"/>
        <v>0</v>
      </c>
    </row>
    <row r="100" spans="2:24" x14ac:dyDescent="0.45">
      <c r="B100" s="208" t="s">
        <v>697</v>
      </c>
      <c r="C100" s="36"/>
      <c r="D100" s="494"/>
      <c r="E100" s="28"/>
      <c r="F100" s="230"/>
      <c r="G100" s="230"/>
      <c r="H100" s="231"/>
      <c r="I100" s="28"/>
      <c r="J100" s="225">
        <f t="shared" si="9"/>
        <v>0</v>
      </c>
      <c r="K100" s="225">
        <f t="shared" si="10"/>
        <v>0</v>
      </c>
      <c r="L100" s="429">
        <f>K100*係数!$H$30</f>
        <v>0</v>
      </c>
      <c r="M100" s="36"/>
      <c r="N100" s="495"/>
      <c r="O100" s="28"/>
      <c r="P100" s="1">
        <f t="shared" si="11"/>
        <v>0</v>
      </c>
      <c r="Q100" s="1">
        <f t="shared" si="12"/>
        <v>0</v>
      </c>
      <c r="R100" s="231"/>
      <c r="S100" s="28"/>
      <c r="T100" s="504">
        <f t="shared" si="13"/>
        <v>0</v>
      </c>
      <c r="U100" s="12">
        <f t="shared" si="14"/>
        <v>0</v>
      </c>
      <c r="V100" s="429">
        <f>U100*係数!$H$30</f>
        <v>0</v>
      </c>
      <c r="W100" s="12">
        <f t="shared" si="15"/>
        <v>0</v>
      </c>
      <c r="X100" s="431">
        <f t="shared" si="16"/>
        <v>0</v>
      </c>
    </row>
    <row r="101" spans="2:24" x14ac:dyDescent="0.45">
      <c r="B101" s="208" t="s">
        <v>698</v>
      </c>
      <c r="C101" s="36"/>
      <c r="D101" s="494"/>
      <c r="E101" s="28"/>
      <c r="F101" s="230"/>
      <c r="G101" s="230"/>
      <c r="H101" s="231"/>
      <c r="I101" s="28"/>
      <c r="J101" s="225">
        <f t="shared" si="9"/>
        <v>0</v>
      </c>
      <c r="K101" s="225">
        <f t="shared" si="10"/>
        <v>0</v>
      </c>
      <c r="L101" s="429">
        <f>K101*係数!$H$30</f>
        <v>0</v>
      </c>
      <c r="M101" s="36"/>
      <c r="N101" s="495"/>
      <c r="O101" s="28"/>
      <c r="P101" s="1">
        <f t="shared" si="11"/>
        <v>0</v>
      </c>
      <c r="Q101" s="1">
        <f t="shared" si="12"/>
        <v>0</v>
      </c>
      <c r="R101" s="231"/>
      <c r="S101" s="28"/>
      <c r="T101" s="504">
        <f t="shared" si="13"/>
        <v>0</v>
      </c>
      <c r="U101" s="12">
        <f t="shared" si="14"/>
        <v>0</v>
      </c>
      <c r="V101" s="429">
        <f>U101*係数!$H$30</f>
        <v>0</v>
      </c>
      <c r="W101" s="12">
        <f t="shared" si="15"/>
        <v>0</v>
      </c>
      <c r="X101" s="431">
        <f t="shared" si="16"/>
        <v>0</v>
      </c>
    </row>
    <row r="102" spans="2:24" x14ac:dyDescent="0.45">
      <c r="B102" s="208" t="s">
        <v>699</v>
      </c>
      <c r="C102" s="36"/>
      <c r="D102" s="494"/>
      <c r="E102" s="28"/>
      <c r="F102" s="230"/>
      <c r="G102" s="230"/>
      <c r="H102" s="231"/>
      <c r="I102" s="28"/>
      <c r="J102" s="225">
        <f t="shared" si="9"/>
        <v>0</v>
      </c>
      <c r="K102" s="225">
        <f t="shared" si="10"/>
        <v>0</v>
      </c>
      <c r="L102" s="429">
        <f>K102*係数!$H$30</f>
        <v>0</v>
      </c>
      <c r="M102" s="36"/>
      <c r="N102" s="495"/>
      <c r="O102" s="28"/>
      <c r="P102" s="1">
        <f t="shared" si="11"/>
        <v>0</v>
      </c>
      <c r="Q102" s="1">
        <f t="shared" si="12"/>
        <v>0</v>
      </c>
      <c r="R102" s="231"/>
      <c r="S102" s="28"/>
      <c r="T102" s="504">
        <f t="shared" si="13"/>
        <v>0</v>
      </c>
      <c r="U102" s="12">
        <f t="shared" si="14"/>
        <v>0</v>
      </c>
      <c r="V102" s="429">
        <f>U102*係数!$H$30</f>
        <v>0</v>
      </c>
      <c r="W102" s="12">
        <f t="shared" si="15"/>
        <v>0</v>
      </c>
      <c r="X102" s="431">
        <f t="shared" si="16"/>
        <v>0</v>
      </c>
    </row>
    <row r="103" spans="2:24" x14ac:dyDescent="0.45">
      <c r="B103" s="208" t="s">
        <v>700</v>
      </c>
      <c r="C103" s="36"/>
      <c r="D103" s="494"/>
      <c r="E103" s="28"/>
      <c r="F103" s="230"/>
      <c r="G103" s="230"/>
      <c r="H103" s="231"/>
      <c r="I103" s="28"/>
      <c r="J103" s="225">
        <f t="shared" si="9"/>
        <v>0</v>
      </c>
      <c r="K103" s="225">
        <f t="shared" si="10"/>
        <v>0</v>
      </c>
      <c r="L103" s="429">
        <f>K103*係数!$H$30</f>
        <v>0</v>
      </c>
      <c r="M103" s="36"/>
      <c r="N103" s="495"/>
      <c r="O103" s="28"/>
      <c r="P103" s="1">
        <f t="shared" si="11"/>
        <v>0</v>
      </c>
      <c r="Q103" s="1">
        <f t="shared" si="12"/>
        <v>0</v>
      </c>
      <c r="R103" s="231"/>
      <c r="S103" s="28"/>
      <c r="T103" s="504">
        <f t="shared" si="13"/>
        <v>0</v>
      </c>
      <c r="U103" s="12">
        <f t="shared" si="14"/>
        <v>0</v>
      </c>
      <c r="V103" s="429">
        <f>U103*係数!$H$30</f>
        <v>0</v>
      </c>
      <c r="W103" s="12">
        <f t="shared" si="15"/>
        <v>0</v>
      </c>
      <c r="X103" s="431">
        <f t="shared" si="16"/>
        <v>0</v>
      </c>
    </row>
    <row r="104" spans="2:24" x14ac:dyDescent="0.45">
      <c r="B104" s="208" t="s">
        <v>701</v>
      </c>
      <c r="C104" s="36"/>
      <c r="D104" s="494"/>
      <c r="E104" s="28"/>
      <c r="F104" s="230"/>
      <c r="G104" s="230"/>
      <c r="H104" s="231"/>
      <c r="I104" s="28"/>
      <c r="J104" s="225">
        <f t="shared" si="9"/>
        <v>0</v>
      </c>
      <c r="K104" s="225">
        <f t="shared" si="10"/>
        <v>0</v>
      </c>
      <c r="L104" s="429">
        <f>K104*係数!$H$30</f>
        <v>0</v>
      </c>
      <c r="M104" s="36"/>
      <c r="N104" s="495"/>
      <c r="O104" s="28"/>
      <c r="P104" s="1">
        <f t="shared" si="11"/>
        <v>0</v>
      </c>
      <c r="Q104" s="1">
        <f t="shared" si="12"/>
        <v>0</v>
      </c>
      <c r="R104" s="231"/>
      <c r="S104" s="28"/>
      <c r="T104" s="504">
        <f t="shared" si="13"/>
        <v>0</v>
      </c>
      <c r="U104" s="12">
        <f t="shared" si="14"/>
        <v>0</v>
      </c>
      <c r="V104" s="429">
        <f>U104*係数!$H$30</f>
        <v>0</v>
      </c>
      <c r="W104" s="12">
        <f t="shared" si="15"/>
        <v>0</v>
      </c>
      <c r="X104" s="431">
        <f t="shared" si="16"/>
        <v>0</v>
      </c>
    </row>
    <row r="105" spans="2:24" x14ac:dyDescent="0.45">
      <c r="B105" s="208" t="s">
        <v>702</v>
      </c>
      <c r="C105" s="36"/>
      <c r="D105" s="494"/>
      <c r="E105" s="28"/>
      <c r="F105" s="230"/>
      <c r="G105" s="230"/>
      <c r="H105" s="231"/>
      <c r="I105" s="28"/>
      <c r="J105" s="225">
        <f t="shared" si="9"/>
        <v>0</v>
      </c>
      <c r="K105" s="225">
        <f t="shared" si="10"/>
        <v>0</v>
      </c>
      <c r="L105" s="429">
        <f>K105*係数!$H$30</f>
        <v>0</v>
      </c>
      <c r="M105" s="36"/>
      <c r="N105" s="495"/>
      <c r="O105" s="28"/>
      <c r="P105" s="1">
        <f t="shared" si="11"/>
        <v>0</v>
      </c>
      <c r="Q105" s="1">
        <f t="shared" si="12"/>
        <v>0</v>
      </c>
      <c r="R105" s="231"/>
      <c r="S105" s="28"/>
      <c r="T105" s="504">
        <f t="shared" si="13"/>
        <v>0</v>
      </c>
      <c r="U105" s="12">
        <f t="shared" si="14"/>
        <v>0</v>
      </c>
      <c r="V105" s="429">
        <f>U105*係数!$H$30</f>
        <v>0</v>
      </c>
      <c r="W105" s="12">
        <f t="shared" si="15"/>
        <v>0</v>
      </c>
      <c r="X105" s="431">
        <f t="shared" si="16"/>
        <v>0</v>
      </c>
    </row>
    <row r="106" spans="2:24" x14ac:dyDescent="0.45">
      <c r="B106" s="208" t="s">
        <v>703</v>
      </c>
      <c r="C106" s="36"/>
      <c r="D106" s="494"/>
      <c r="E106" s="28"/>
      <c r="F106" s="230"/>
      <c r="G106" s="230"/>
      <c r="H106" s="231"/>
      <c r="I106" s="28"/>
      <c r="J106" s="225">
        <f t="shared" si="9"/>
        <v>0</v>
      </c>
      <c r="K106" s="225">
        <f t="shared" si="10"/>
        <v>0</v>
      </c>
      <c r="L106" s="429">
        <f>K106*係数!$H$30</f>
        <v>0</v>
      </c>
      <c r="M106" s="36"/>
      <c r="N106" s="495"/>
      <c r="O106" s="28"/>
      <c r="P106" s="1">
        <f t="shared" si="11"/>
        <v>0</v>
      </c>
      <c r="Q106" s="1">
        <f t="shared" si="12"/>
        <v>0</v>
      </c>
      <c r="R106" s="231"/>
      <c r="S106" s="28"/>
      <c r="T106" s="504">
        <f t="shared" si="13"/>
        <v>0</v>
      </c>
      <c r="U106" s="12">
        <f t="shared" si="14"/>
        <v>0</v>
      </c>
      <c r="V106" s="429">
        <f>U106*係数!$H$30</f>
        <v>0</v>
      </c>
      <c r="W106" s="12">
        <f t="shared" si="15"/>
        <v>0</v>
      </c>
      <c r="X106" s="431">
        <f t="shared" si="16"/>
        <v>0</v>
      </c>
    </row>
    <row r="107" spans="2:24" x14ac:dyDescent="0.45">
      <c r="B107" s="208" t="s">
        <v>704</v>
      </c>
      <c r="C107" s="36"/>
      <c r="D107" s="494"/>
      <c r="E107" s="28"/>
      <c r="F107" s="230"/>
      <c r="G107" s="230"/>
      <c r="H107" s="231"/>
      <c r="I107" s="28"/>
      <c r="J107" s="225">
        <f t="shared" si="9"/>
        <v>0</v>
      </c>
      <c r="K107" s="225">
        <f t="shared" si="10"/>
        <v>0</v>
      </c>
      <c r="L107" s="429">
        <f>K107*係数!$H$30</f>
        <v>0</v>
      </c>
      <c r="M107" s="36"/>
      <c r="N107" s="495"/>
      <c r="O107" s="28"/>
      <c r="P107" s="1">
        <f t="shared" si="11"/>
        <v>0</v>
      </c>
      <c r="Q107" s="1">
        <f t="shared" si="12"/>
        <v>0</v>
      </c>
      <c r="R107" s="231"/>
      <c r="S107" s="28"/>
      <c r="T107" s="504">
        <f t="shared" si="13"/>
        <v>0</v>
      </c>
      <c r="U107" s="12">
        <f t="shared" si="14"/>
        <v>0</v>
      </c>
      <c r="V107" s="429">
        <f>U107*係数!$H$30</f>
        <v>0</v>
      </c>
      <c r="W107" s="12">
        <f t="shared" si="15"/>
        <v>0</v>
      </c>
      <c r="X107" s="431">
        <f t="shared" si="16"/>
        <v>0</v>
      </c>
    </row>
    <row r="108" spans="2:24" x14ac:dyDescent="0.45">
      <c r="B108" s="208" t="s">
        <v>705</v>
      </c>
      <c r="C108" s="36"/>
      <c r="D108" s="494"/>
      <c r="E108" s="28"/>
      <c r="F108" s="230"/>
      <c r="G108" s="230"/>
      <c r="H108" s="231"/>
      <c r="I108" s="28"/>
      <c r="J108" s="225">
        <f t="shared" si="9"/>
        <v>0</v>
      </c>
      <c r="K108" s="225">
        <f t="shared" si="10"/>
        <v>0</v>
      </c>
      <c r="L108" s="429">
        <f>K108*係数!$H$30</f>
        <v>0</v>
      </c>
      <c r="M108" s="36"/>
      <c r="N108" s="495"/>
      <c r="O108" s="28"/>
      <c r="P108" s="1">
        <f t="shared" si="11"/>
        <v>0</v>
      </c>
      <c r="Q108" s="1">
        <f t="shared" si="12"/>
        <v>0</v>
      </c>
      <c r="R108" s="231"/>
      <c r="S108" s="28"/>
      <c r="T108" s="504">
        <f t="shared" si="13"/>
        <v>0</v>
      </c>
      <c r="U108" s="12">
        <f t="shared" si="14"/>
        <v>0</v>
      </c>
      <c r="V108" s="429">
        <f>U108*係数!$H$30</f>
        <v>0</v>
      </c>
      <c r="W108" s="12">
        <f t="shared" si="15"/>
        <v>0</v>
      </c>
      <c r="X108" s="431">
        <f t="shared" si="16"/>
        <v>0</v>
      </c>
    </row>
    <row r="109" spans="2:24" x14ac:dyDescent="0.45">
      <c r="B109" s="208" t="s">
        <v>706</v>
      </c>
      <c r="C109" s="36"/>
      <c r="D109" s="494"/>
      <c r="E109" s="28"/>
      <c r="F109" s="230"/>
      <c r="G109" s="230"/>
      <c r="H109" s="231"/>
      <c r="I109" s="28"/>
      <c r="J109" s="225">
        <f t="shared" si="9"/>
        <v>0</v>
      </c>
      <c r="K109" s="225">
        <f t="shared" si="10"/>
        <v>0</v>
      </c>
      <c r="L109" s="429">
        <f>K109*係数!$H$30</f>
        <v>0</v>
      </c>
      <c r="M109" s="36"/>
      <c r="N109" s="495"/>
      <c r="O109" s="28"/>
      <c r="P109" s="1">
        <f t="shared" si="11"/>
        <v>0</v>
      </c>
      <c r="Q109" s="1">
        <f t="shared" si="12"/>
        <v>0</v>
      </c>
      <c r="R109" s="231"/>
      <c r="S109" s="28"/>
      <c r="T109" s="504">
        <f t="shared" si="13"/>
        <v>0</v>
      </c>
      <c r="U109" s="12">
        <f t="shared" si="14"/>
        <v>0</v>
      </c>
      <c r="V109" s="429">
        <f>U109*係数!$H$30</f>
        <v>0</v>
      </c>
      <c r="W109" s="12">
        <f t="shared" si="15"/>
        <v>0</v>
      </c>
      <c r="X109" s="431">
        <f t="shared" si="16"/>
        <v>0</v>
      </c>
    </row>
    <row r="110" spans="2:24" x14ac:dyDescent="0.45">
      <c r="B110" s="208" t="s">
        <v>707</v>
      </c>
      <c r="C110" s="36"/>
      <c r="D110" s="494"/>
      <c r="E110" s="28"/>
      <c r="F110" s="230"/>
      <c r="G110" s="230"/>
      <c r="H110" s="231"/>
      <c r="I110" s="28"/>
      <c r="J110" s="225">
        <f t="shared" si="9"/>
        <v>0</v>
      </c>
      <c r="K110" s="225">
        <f t="shared" si="10"/>
        <v>0</v>
      </c>
      <c r="L110" s="429">
        <f>K110*係数!$H$30</f>
        <v>0</v>
      </c>
      <c r="M110" s="36"/>
      <c r="N110" s="495"/>
      <c r="O110" s="28"/>
      <c r="P110" s="1">
        <f t="shared" si="11"/>
        <v>0</v>
      </c>
      <c r="Q110" s="1">
        <f t="shared" si="12"/>
        <v>0</v>
      </c>
      <c r="R110" s="231"/>
      <c r="S110" s="28"/>
      <c r="T110" s="504">
        <f t="shared" si="13"/>
        <v>0</v>
      </c>
      <c r="U110" s="12">
        <f t="shared" si="14"/>
        <v>0</v>
      </c>
      <c r="V110" s="429">
        <f>U110*係数!$H$30</f>
        <v>0</v>
      </c>
      <c r="W110" s="12">
        <f t="shared" si="15"/>
        <v>0</v>
      </c>
      <c r="X110" s="431">
        <f t="shared" si="16"/>
        <v>0</v>
      </c>
    </row>
    <row r="111" spans="2:24" x14ac:dyDescent="0.45">
      <c r="B111" s="208" t="s">
        <v>708</v>
      </c>
      <c r="C111" s="36"/>
      <c r="D111" s="494"/>
      <c r="E111" s="28"/>
      <c r="F111" s="230"/>
      <c r="G111" s="230"/>
      <c r="H111" s="231"/>
      <c r="I111" s="28"/>
      <c r="J111" s="225">
        <f t="shared" si="9"/>
        <v>0</v>
      </c>
      <c r="K111" s="225">
        <f t="shared" si="10"/>
        <v>0</v>
      </c>
      <c r="L111" s="429">
        <f>K111*係数!$H$30</f>
        <v>0</v>
      </c>
      <c r="M111" s="36"/>
      <c r="N111" s="495"/>
      <c r="O111" s="28"/>
      <c r="P111" s="1">
        <f t="shared" si="11"/>
        <v>0</v>
      </c>
      <c r="Q111" s="1">
        <f t="shared" si="12"/>
        <v>0</v>
      </c>
      <c r="R111" s="231"/>
      <c r="S111" s="28"/>
      <c r="T111" s="504">
        <f t="shared" si="13"/>
        <v>0</v>
      </c>
      <c r="U111" s="12">
        <f t="shared" si="14"/>
        <v>0</v>
      </c>
      <c r="V111" s="429">
        <f>U111*係数!$H$30</f>
        <v>0</v>
      </c>
      <c r="W111" s="12">
        <f t="shared" si="15"/>
        <v>0</v>
      </c>
      <c r="X111" s="431">
        <f t="shared" si="16"/>
        <v>0</v>
      </c>
    </row>
    <row r="112" spans="2:24" x14ac:dyDescent="0.45">
      <c r="B112" s="208" t="s">
        <v>709</v>
      </c>
      <c r="C112" s="36"/>
      <c r="D112" s="494"/>
      <c r="E112" s="28"/>
      <c r="F112" s="230"/>
      <c r="G112" s="230"/>
      <c r="H112" s="231"/>
      <c r="I112" s="28"/>
      <c r="J112" s="225">
        <f t="shared" si="9"/>
        <v>0</v>
      </c>
      <c r="K112" s="225">
        <f t="shared" si="10"/>
        <v>0</v>
      </c>
      <c r="L112" s="429">
        <f>K112*係数!$H$30</f>
        <v>0</v>
      </c>
      <c r="M112" s="36"/>
      <c r="N112" s="495"/>
      <c r="O112" s="28"/>
      <c r="P112" s="1">
        <f t="shared" si="11"/>
        <v>0</v>
      </c>
      <c r="Q112" s="1">
        <f t="shared" si="12"/>
        <v>0</v>
      </c>
      <c r="R112" s="231"/>
      <c r="S112" s="28"/>
      <c r="T112" s="504">
        <f t="shared" si="13"/>
        <v>0</v>
      </c>
      <c r="U112" s="12">
        <f t="shared" si="14"/>
        <v>0</v>
      </c>
      <c r="V112" s="429">
        <f>U112*係数!$H$30</f>
        <v>0</v>
      </c>
      <c r="W112" s="12">
        <f t="shared" si="15"/>
        <v>0</v>
      </c>
      <c r="X112" s="431">
        <f t="shared" si="16"/>
        <v>0</v>
      </c>
    </row>
    <row r="113" spans="2:24" x14ac:dyDescent="0.45">
      <c r="B113" s="208" t="s">
        <v>710</v>
      </c>
      <c r="C113" s="36"/>
      <c r="D113" s="494"/>
      <c r="E113" s="28"/>
      <c r="F113" s="230"/>
      <c r="G113" s="230"/>
      <c r="H113" s="231"/>
      <c r="I113" s="28"/>
      <c r="J113" s="225">
        <f t="shared" si="9"/>
        <v>0</v>
      </c>
      <c r="K113" s="225">
        <f t="shared" si="10"/>
        <v>0</v>
      </c>
      <c r="L113" s="429">
        <f>K113*係数!$H$30</f>
        <v>0</v>
      </c>
      <c r="M113" s="36"/>
      <c r="N113" s="495"/>
      <c r="O113" s="28"/>
      <c r="P113" s="1">
        <f t="shared" si="11"/>
        <v>0</v>
      </c>
      <c r="Q113" s="1">
        <f t="shared" si="12"/>
        <v>0</v>
      </c>
      <c r="R113" s="231"/>
      <c r="S113" s="28"/>
      <c r="T113" s="504">
        <f t="shared" si="13"/>
        <v>0</v>
      </c>
      <c r="U113" s="12">
        <f t="shared" si="14"/>
        <v>0</v>
      </c>
      <c r="V113" s="429">
        <f>U113*係数!$H$30</f>
        <v>0</v>
      </c>
      <c r="W113" s="12">
        <f t="shared" si="15"/>
        <v>0</v>
      </c>
      <c r="X113" s="431">
        <f t="shared" si="16"/>
        <v>0</v>
      </c>
    </row>
    <row r="114" spans="2:24" x14ac:dyDescent="0.45">
      <c r="B114" s="208" t="s">
        <v>711</v>
      </c>
      <c r="C114" s="36"/>
      <c r="D114" s="494"/>
      <c r="E114" s="28"/>
      <c r="F114" s="230"/>
      <c r="G114" s="230"/>
      <c r="H114" s="231"/>
      <c r="I114" s="28"/>
      <c r="J114" s="225">
        <f t="shared" si="9"/>
        <v>0</v>
      </c>
      <c r="K114" s="225">
        <f t="shared" si="10"/>
        <v>0</v>
      </c>
      <c r="L114" s="429">
        <f>K114*係数!$H$30</f>
        <v>0</v>
      </c>
      <c r="M114" s="36"/>
      <c r="N114" s="495"/>
      <c r="O114" s="28"/>
      <c r="P114" s="1">
        <f t="shared" si="11"/>
        <v>0</v>
      </c>
      <c r="Q114" s="1">
        <f t="shared" si="12"/>
        <v>0</v>
      </c>
      <c r="R114" s="231"/>
      <c r="S114" s="28"/>
      <c r="T114" s="504">
        <f t="shared" si="13"/>
        <v>0</v>
      </c>
      <c r="U114" s="12">
        <f t="shared" si="14"/>
        <v>0</v>
      </c>
      <c r="V114" s="429">
        <f>U114*係数!$H$30</f>
        <v>0</v>
      </c>
      <c r="W114" s="12">
        <f t="shared" si="15"/>
        <v>0</v>
      </c>
      <c r="X114" s="431">
        <f t="shared" si="16"/>
        <v>0</v>
      </c>
    </row>
    <row r="115" spans="2:24" x14ac:dyDescent="0.45">
      <c r="B115" s="208" t="s">
        <v>712</v>
      </c>
      <c r="C115" s="36"/>
      <c r="D115" s="494"/>
      <c r="E115" s="28"/>
      <c r="F115" s="230"/>
      <c r="G115" s="230"/>
      <c r="H115" s="231"/>
      <c r="I115" s="28"/>
      <c r="J115" s="225">
        <f t="shared" si="9"/>
        <v>0</v>
      </c>
      <c r="K115" s="225">
        <f t="shared" si="10"/>
        <v>0</v>
      </c>
      <c r="L115" s="429">
        <f>K115*係数!$H$30</f>
        <v>0</v>
      </c>
      <c r="M115" s="36"/>
      <c r="N115" s="495"/>
      <c r="O115" s="28"/>
      <c r="P115" s="1">
        <f t="shared" si="11"/>
        <v>0</v>
      </c>
      <c r="Q115" s="1">
        <f t="shared" si="12"/>
        <v>0</v>
      </c>
      <c r="R115" s="231"/>
      <c r="S115" s="28"/>
      <c r="T115" s="504">
        <f t="shared" si="13"/>
        <v>0</v>
      </c>
      <c r="U115" s="12">
        <f t="shared" si="14"/>
        <v>0</v>
      </c>
      <c r="V115" s="429">
        <f>U115*係数!$H$30</f>
        <v>0</v>
      </c>
      <c r="W115" s="12">
        <f t="shared" si="15"/>
        <v>0</v>
      </c>
      <c r="X115" s="431">
        <f t="shared" si="16"/>
        <v>0</v>
      </c>
    </row>
    <row r="116" spans="2:24" x14ac:dyDescent="0.45">
      <c r="B116" s="208" t="s">
        <v>713</v>
      </c>
      <c r="C116" s="36"/>
      <c r="D116" s="494"/>
      <c r="E116" s="28"/>
      <c r="F116" s="230"/>
      <c r="G116" s="230"/>
      <c r="H116" s="231"/>
      <c r="I116" s="28"/>
      <c r="J116" s="225">
        <f t="shared" si="9"/>
        <v>0</v>
      </c>
      <c r="K116" s="225">
        <f t="shared" si="10"/>
        <v>0</v>
      </c>
      <c r="L116" s="429">
        <f>K116*係数!$H$30</f>
        <v>0</v>
      </c>
      <c r="M116" s="36"/>
      <c r="N116" s="495"/>
      <c r="O116" s="28"/>
      <c r="P116" s="1">
        <f t="shared" si="11"/>
        <v>0</v>
      </c>
      <c r="Q116" s="1">
        <f t="shared" si="12"/>
        <v>0</v>
      </c>
      <c r="R116" s="231"/>
      <c r="S116" s="28"/>
      <c r="T116" s="504">
        <f t="shared" si="13"/>
        <v>0</v>
      </c>
      <c r="U116" s="12">
        <f t="shared" si="14"/>
        <v>0</v>
      </c>
      <c r="V116" s="429">
        <f>U116*係数!$H$30</f>
        <v>0</v>
      </c>
      <c r="W116" s="12">
        <f t="shared" si="15"/>
        <v>0</v>
      </c>
      <c r="X116" s="431">
        <f t="shared" si="16"/>
        <v>0</v>
      </c>
    </row>
    <row r="117" spans="2:24" x14ac:dyDescent="0.45">
      <c r="B117" s="208" t="s">
        <v>714</v>
      </c>
      <c r="C117" s="36"/>
      <c r="D117" s="494"/>
      <c r="E117" s="28"/>
      <c r="F117" s="230"/>
      <c r="G117" s="230"/>
      <c r="H117" s="231"/>
      <c r="I117" s="28"/>
      <c r="J117" s="225">
        <f t="shared" si="9"/>
        <v>0</v>
      </c>
      <c r="K117" s="225">
        <f t="shared" si="10"/>
        <v>0</v>
      </c>
      <c r="L117" s="429">
        <f>K117*係数!$H$30</f>
        <v>0</v>
      </c>
      <c r="M117" s="36"/>
      <c r="N117" s="495"/>
      <c r="O117" s="28"/>
      <c r="P117" s="1">
        <f t="shared" si="11"/>
        <v>0</v>
      </c>
      <c r="Q117" s="1">
        <f t="shared" si="12"/>
        <v>0</v>
      </c>
      <c r="R117" s="231"/>
      <c r="S117" s="28"/>
      <c r="T117" s="504">
        <f t="shared" si="13"/>
        <v>0</v>
      </c>
      <c r="U117" s="12">
        <f t="shared" si="14"/>
        <v>0</v>
      </c>
      <c r="V117" s="429">
        <f>U117*係数!$H$30</f>
        <v>0</v>
      </c>
      <c r="W117" s="12">
        <f t="shared" si="15"/>
        <v>0</v>
      </c>
      <c r="X117" s="431">
        <f t="shared" si="16"/>
        <v>0</v>
      </c>
    </row>
    <row r="118" spans="2:24" x14ac:dyDescent="0.45">
      <c r="B118" s="208" t="s">
        <v>715</v>
      </c>
      <c r="C118" s="36"/>
      <c r="D118" s="494"/>
      <c r="E118" s="28"/>
      <c r="F118" s="230"/>
      <c r="G118" s="230"/>
      <c r="H118" s="231"/>
      <c r="I118" s="28"/>
      <c r="J118" s="225">
        <f t="shared" si="9"/>
        <v>0</v>
      </c>
      <c r="K118" s="225">
        <f t="shared" si="10"/>
        <v>0</v>
      </c>
      <c r="L118" s="429">
        <f>K118*係数!$H$30</f>
        <v>0</v>
      </c>
      <c r="M118" s="36"/>
      <c r="N118" s="495"/>
      <c r="O118" s="28"/>
      <c r="P118" s="1">
        <f t="shared" si="11"/>
        <v>0</v>
      </c>
      <c r="Q118" s="1">
        <f t="shared" si="12"/>
        <v>0</v>
      </c>
      <c r="R118" s="231"/>
      <c r="S118" s="28"/>
      <c r="T118" s="504">
        <f t="shared" si="13"/>
        <v>0</v>
      </c>
      <c r="U118" s="12">
        <f t="shared" si="14"/>
        <v>0</v>
      </c>
      <c r="V118" s="429">
        <f>U118*係数!$H$30</f>
        <v>0</v>
      </c>
      <c r="W118" s="12">
        <f t="shared" si="15"/>
        <v>0</v>
      </c>
      <c r="X118" s="431">
        <f t="shared" si="16"/>
        <v>0</v>
      </c>
    </row>
    <row r="119" spans="2:24" x14ac:dyDescent="0.45">
      <c r="B119" s="208" t="s">
        <v>716</v>
      </c>
      <c r="C119" s="36"/>
      <c r="D119" s="494"/>
      <c r="E119" s="28"/>
      <c r="F119" s="230"/>
      <c r="G119" s="230"/>
      <c r="H119" s="231"/>
      <c r="I119" s="28"/>
      <c r="J119" s="225">
        <f t="shared" si="9"/>
        <v>0</v>
      </c>
      <c r="K119" s="225">
        <f t="shared" si="10"/>
        <v>0</v>
      </c>
      <c r="L119" s="429">
        <f>K119*係数!$H$30</f>
        <v>0</v>
      </c>
      <c r="M119" s="36"/>
      <c r="N119" s="495"/>
      <c r="O119" s="28"/>
      <c r="P119" s="1">
        <f t="shared" si="11"/>
        <v>0</v>
      </c>
      <c r="Q119" s="1">
        <f t="shared" si="12"/>
        <v>0</v>
      </c>
      <c r="R119" s="231"/>
      <c r="S119" s="28"/>
      <c r="T119" s="504">
        <f t="shared" si="13"/>
        <v>0</v>
      </c>
      <c r="U119" s="12">
        <f t="shared" si="14"/>
        <v>0</v>
      </c>
      <c r="V119" s="429">
        <f>U119*係数!$H$30</f>
        <v>0</v>
      </c>
      <c r="W119" s="12">
        <f t="shared" si="15"/>
        <v>0</v>
      </c>
      <c r="X119" s="431">
        <f t="shared" si="16"/>
        <v>0</v>
      </c>
    </row>
    <row r="120" spans="2:24" x14ac:dyDescent="0.45">
      <c r="B120" s="208" t="s">
        <v>717</v>
      </c>
      <c r="C120" s="36"/>
      <c r="D120" s="494"/>
      <c r="E120" s="28"/>
      <c r="F120" s="230"/>
      <c r="G120" s="230"/>
      <c r="H120" s="231"/>
      <c r="I120" s="28"/>
      <c r="J120" s="225">
        <f t="shared" si="9"/>
        <v>0</v>
      </c>
      <c r="K120" s="225">
        <f t="shared" si="10"/>
        <v>0</v>
      </c>
      <c r="L120" s="429">
        <f>K120*係数!$H$30</f>
        <v>0</v>
      </c>
      <c r="M120" s="36"/>
      <c r="N120" s="495"/>
      <c r="O120" s="28"/>
      <c r="P120" s="1">
        <f t="shared" si="11"/>
        <v>0</v>
      </c>
      <c r="Q120" s="1">
        <f t="shared" si="12"/>
        <v>0</v>
      </c>
      <c r="R120" s="231"/>
      <c r="S120" s="28"/>
      <c r="T120" s="504">
        <f t="shared" si="13"/>
        <v>0</v>
      </c>
      <c r="U120" s="12">
        <f t="shared" si="14"/>
        <v>0</v>
      </c>
      <c r="V120" s="429">
        <f>U120*係数!$H$30</f>
        <v>0</v>
      </c>
      <c r="W120" s="12">
        <f t="shared" si="15"/>
        <v>0</v>
      </c>
      <c r="X120" s="431">
        <f t="shared" si="16"/>
        <v>0</v>
      </c>
    </row>
    <row r="121" spans="2:24" x14ac:dyDescent="0.45">
      <c r="B121" s="208" t="s">
        <v>718</v>
      </c>
      <c r="C121" s="36"/>
      <c r="D121" s="494"/>
      <c r="E121" s="28"/>
      <c r="F121" s="230"/>
      <c r="G121" s="230"/>
      <c r="H121" s="231"/>
      <c r="I121" s="28"/>
      <c r="J121" s="225">
        <f t="shared" si="9"/>
        <v>0</v>
      </c>
      <c r="K121" s="225">
        <f t="shared" si="10"/>
        <v>0</v>
      </c>
      <c r="L121" s="429">
        <f>K121*係数!$H$30</f>
        <v>0</v>
      </c>
      <c r="M121" s="36"/>
      <c r="N121" s="495"/>
      <c r="O121" s="28"/>
      <c r="P121" s="1">
        <f t="shared" si="11"/>
        <v>0</v>
      </c>
      <c r="Q121" s="1">
        <f t="shared" si="12"/>
        <v>0</v>
      </c>
      <c r="R121" s="231"/>
      <c r="S121" s="28"/>
      <c r="T121" s="504">
        <f t="shared" si="13"/>
        <v>0</v>
      </c>
      <c r="U121" s="12">
        <f t="shared" si="14"/>
        <v>0</v>
      </c>
      <c r="V121" s="429">
        <f>U121*係数!$H$30</f>
        <v>0</v>
      </c>
      <c r="W121" s="12">
        <f t="shared" si="15"/>
        <v>0</v>
      </c>
      <c r="X121" s="431">
        <f t="shared" si="16"/>
        <v>0</v>
      </c>
    </row>
    <row r="122" spans="2:24" x14ac:dyDescent="0.45">
      <c r="B122" s="208" t="s">
        <v>719</v>
      </c>
      <c r="C122" s="36"/>
      <c r="D122" s="494"/>
      <c r="E122" s="28"/>
      <c r="F122" s="230"/>
      <c r="G122" s="230"/>
      <c r="H122" s="231"/>
      <c r="I122" s="28"/>
      <c r="J122" s="225">
        <f t="shared" si="9"/>
        <v>0</v>
      </c>
      <c r="K122" s="225">
        <f t="shared" si="10"/>
        <v>0</v>
      </c>
      <c r="L122" s="429">
        <f>K122*係数!$H$30</f>
        <v>0</v>
      </c>
      <c r="M122" s="36"/>
      <c r="N122" s="495"/>
      <c r="O122" s="28"/>
      <c r="P122" s="1">
        <f t="shared" si="11"/>
        <v>0</v>
      </c>
      <c r="Q122" s="1">
        <f t="shared" si="12"/>
        <v>0</v>
      </c>
      <c r="R122" s="231"/>
      <c r="S122" s="28"/>
      <c r="T122" s="504">
        <f t="shared" si="13"/>
        <v>0</v>
      </c>
      <c r="U122" s="12">
        <f t="shared" si="14"/>
        <v>0</v>
      </c>
      <c r="V122" s="429">
        <f>U122*係数!$H$30</f>
        <v>0</v>
      </c>
      <c r="W122" s="12">
        <f t="shared" si="15"/>
        <v>0</v>
      </c>
      <c r="X122" s="431">
        <f t="shared" si="16"/>
        <v>0</v>
      </c>
    </row>
    <row r="123" spans="2:24" x14ac:dyDescent="0.45">
      <c r="B123" s="208" t="s">
        <v>720</v>
      </c>
      <c r="C123" s="36"/>
      <c r="D123" s="494"/>
      <c r="E123" s="28"/>
      <c r="F123" s="230"/>
      <c r="G123" s="230"/>
      <c r="H123" s="231"/>
      <c r="I123" s="28"/>
      <c r="J123" s="225">
        <f t="shared" si="9"/>
        <v>0</v>
      </c>
      <c r="K123" s="225">
        <f t="shared" si="10"/>
        <v>0</v>
      </c>
      <c r="L123" s="429">
        <f>K123*係数!$H$30</f>
        <v>0</v>
      </c>
      <c r="M123" s="36"/>
      <c r="N123" s="495"/>
      <c r="O123" s="28"/>
      <c r="P123" s="1">
        <f t="shared" si="11"/>
        <v>0</v>
      </c>
      <c r="Q123" s="1">
        <f t="shared" si="12"/>
        <v>0</v>
      </c>
      <c r="R123" s="231"/>
      <c r="S123" s="28"/>
      <c r="T123" s="504">
        <f t="shared" si="13"/>
        <v>0</v>
      </c>
      <c r="U123" s="12">
        <f t="shared" si="14"/>
        <v>0</v>
      </c>
      <c r="V123" s="429">
        <f>U123*係数!$H$30</f>
        <v>0</v>
      </c>
      <c r="W123" s="12">
        <f t="shared" si="15"/>
        <v>0</v>
      </c>
      <c r="X123" s="431">
        <f t="shared" si="16"/>
        <v>0</v>
      </c>
    </row>
    <row r="124" spans="2:24" x14ac:dyDescent="0.45">
      <c r="B124" s="208" t="s">
        <v>721</v>
      </c>
      <c r="C124" s="36"/>
      <c r="D124" s="494"/>
      <c r="E124" s="28"/>
      <c r="F124" s="230"/>
      <c r="G124" s="230"/>
      <c r="H124" s="231"/>
      <c r="I124" s="28"/>
      <c r="J124" s="225">
        <f t="shared" si="9"/>
        <v>0</v>
      </c>
      <c r="K124" s="225">
        <f t="shared" si="10"/>
        <v>0</v>
      </c>
      <c r="L124" s="429">
        <f>K124*係数!$H$30</f>
        <v>0</v>
      </c>
      <c r="M124" s="36"/>
      <c r="N124" s="495"/>
      <c r="O124" s="28"/>
      <c r="P124" s="1">
        <f t="shared" si="11"/>
        <v>0</v>
      </c>
      <c r="Q124" s="1">
        <f t="shared" si="12"/>
        <v>0</v>
      </c>
      <c r="R124" s="231"/>
      <c r="S124" s="28"/>
      <c r="T124" s="504">
        <f t="shared" si="13"/>
        <v>0</v>
      </c>
      <c r="U124" s="12">
        <f t="shared" si="14"/>
        <v>0</v>
      </c>
      <c r="V124" s="429">
        <f>U124*係数!$H$30</f>
        <v>0</v>
      </c>
      <c r="W124" s="12">
        <f t="shared" si="15"/>
        <v>0</v>
      </c>
      <c r="X124" s="431">
        <f t="shared" si="16"/>
        <v>0</v>
      </c>
    </row>
    <row r="125" spans="2:24" x14ac:dyDescent="0.45">
      <c r="B125" s="208" t="s">
        <v>722</v>
      </c>
      <c r="C125" s="36"/>
      <c r="D125" s="494"/>
      <c r="E125" s="28"/>
      <c r="F125" s="230"/>
      <c r="G125" s="230"/>
      <c r="H125" s="231"/>
      <c r="I125" s="28"/>
      <c r="J125" s="225">
        <f t="shared" si="9"/>
        <v>0</v>
      </c>
      <c r="K125" s="225">
        <f t="shared" si="10"/>
        <v>0</v>
      </c>
      <c r="L125" s="429">
        <f>K125*係数!$H$30</f>
        <v>0</v>
      </c>
      <c r="M125" s="36"/>
      <c r="N125" s="495"/>
      <c r="O125" s="28"/>
      <c r="P125" s="1">
        <f t="shared" si="11"/>
        <v>0</v>
      </c>
      <c r="Q125" s="1">
        <f t="shared" si="12"/>
        <v>0</v>
      </c>
      <c r="R125" s="231"/>
      <c r="S125" s="28"/>
      <c r="T125" s="504">
        <f t="shared" si="13"/>
        <v>0</v>
      </c>
      <c r="U125" s="12">
        <f t="shared" si="14"/>
        <v>0</v>
      </c>
      <c r="V125" s="429">
        <f>U125*係数!$H$30</f>
        <v>0</v>
      </c>
      <c r="W125" s="12">
        <f t="shared" si="15"/>
        <v>0</v>
      </c>
      <c r="X125" s="431">
        <f t="shared" si="16"/>
        <v>0</v>
      </c>
    </row>
    <row r="126" spans="2:24" x14ac:dyDescent="0.45">
      <c r="B126" s="208" t="s">
        <v>723</v>
      </c>
      <c r="C126" s="36"/>
      <c r="D126" s="494"/>
      <c r="E126" s="28"/>
      <c r="F126" s="230"/>
      <c r="G126" s="230"/>
      <c r="H126" s="231"/>
      <c r="I126" s="28"/>
      <c r="J126" s="225">
        <f t="shared" si="9"/>
        <v>0</v>
      </c>
      <c r="K126" s="225">
        <f t="shared" si="10"/>
        <v>0</v>
      </c>
      <c r="L126" s="429">
        <f>K126*係数!$H$30</f>
        <v>0</v>
      </c>
      <c r="M126" s="36"/>
      <c r="N126" s="495"/>
      <c r="O126" s="28"/>
      <c r="P126" s="1">
        <f t="shared" si="11"/>
        <v>0</v>
      </c>
      <c r="Q126" s="1">
        <f t="shared" si="12"/>
        <v>0</v>
      </c>
      <c r="R126" s="231"/>
      <c r="S126" s="28"/>
      <c r="T126" s="504">
        <f t="shared" si="13"/>
        <v>0</v>
      </c>
      <c r="U126" s="12">
        <f t="shared" si="14"/>
        <v>0</v>
      </c>
      <c r="V126" s="429">
        <f>U126*係数!$H$30</f>
        <v>0</v>
      </c>
      <c r="W126" s="12">
        <f t="shared" si="15"/>
        <v>0</v>
      </c>
      <c r="X126" s="431">
        <f t="shared" si="16"/>
        <v>0</v>
      </c>
    </row>
    <row r="127" spans="2:24" x14ac:dyDescent="0.45">
      <c r="B127" s="208" t="s">
        <v>724</v>
      </c>
      <c r="C127" s="36"/>
      <c r="D127" s="494"/>
      <c r="E127" s="28"/>
      <c r="F127" s="230"/>
      <c r="G127" s="230"/>
      <c r="H127" s="231"/>
      <c r="I127" s="28"/>
      <c r="J127" s="225">
        <f t="shared" si="9"/>
        <v>0</v>
      </c>
      <c r="K127" s="225">
        <f t="shared" si="10"/>
        <v>0</v>
      </c>
      <c r="L127" s="429">
        <f>K127*係数!$H$30</f>
        <v>0</v>
      </c>
      <c r="M127" s="36"/>
      <c r="N127" s="495"/>
      <c r="O127" s="28"/>
      <c r="P127" s="1">
        <f t="shared" si="11"/>
        <v>0</v>
      </c>
      <c r="Q127" s="1">
        <f t="shared" si="12"/>
        <v>0</v>
      </c>
      <c r="R127" s="231"/>
      <c r="S127" s="28"/>
      <c r="T127" s="504">
        <f t="shared" si="13"/>
        <v>0</v>
      </c>
      <c r="U127" s="12">
        <f t="shared" si="14"/>
        <v>0</v>
      </c>
      <c r="V127" s="429">
        <f>U127*係数!$H$30</f>
        <v>0</v>
      </c>
      <c r="W127" s="12">
        <f t="shared" si="15"/>
        <v>0</v>
      </c>
      <c r="X127" s="431">
        <f t="shared" si="16"/>
        <v>0</v>
      </c>
    </row>
    <row r="128" spans="2:24" x14ac:dyDescent="0.45">
      <c r="B128" s="208" t="s">
        <v>725</v>
      </c>
      <c r="C128" s="36"/>
      <c r="D128" s="494"/>
      <c r="E128" s="28"/>
      <c r="F128" s="230"/>
      <c r="G128" s="230"/>
      <c r="H128" s="231"/>
      <c r="I128" s="28"/>
      <c r="J128" s="225">
        <f t="shared" si="9"/>
        <v>0</v>
      </c>
      <c r="K128" s="225">
        <f t="shared" si="10"/>
        <v>0</v>
      </c>
      <c r="L128" s="429">
        <f>K128*係数!$H$30</f>
        <v>0</v>
      </c>
      <c r="M128" s="36"/>
      <c r="N128" s="495"/>
      <c r="O128" s="28"/>
      <c r="P128" s="1">
        <f t="shared" si="11"/>
        <v>0</v>
      </c>
      <c r="Q128" s="1">
        <f t="shared" si="12"/>
        <v>0</v>
      </c>
      <c r="R128" s="231"/>
      <c r="S128" s="28"/>
      <c r="T128" s="504">
        <f t="shared" si="13"/>
        <v>0</v>
      </c>
      <c r="U128" s="12">
        <f t="shared" si="14"/>
        <v>0</v>
      </c>
      <c r="V128" s="429">
        <f>U128*係数!$H$30</f>
        <v>0</v>
      </c>
      <c r="W128" s="12">
        <f t="shared" si="15"/>
        <v>0</v>
      </c>
      <c r="X128" s="431">
        <f t="shared" si="16"/>
        <v>0</v>
      </c>
    </row>
    <row r="129" spans="2:24" x14ac:dyDescent="0.45">
      <c r="B129" s="208" t="s">
        <v>726</v>
      </c>
      <c r="C129" s="36"/>
      <c r="D129" s="494"/>
      <c r="E129" s="28"/>
      <c r="F129" s="230"/>
      <c r="G129" s="230"/>
      <c r="H129" s="231"/>
      <c r="I129" s="28"/>
      <c r="J129" s="225">
        <f t="shared" si="9"/>
        <v>0</v>
      </c>
      <c r="K129" s="225">
        <f t="shared" si="10"/>
        <v>0</v>
      </c>
      <c r="L129" s="429">
        <f>K129*係数!$H$30</f>
        <v>0</v>
      </c>
      <c r="M129" s="36"/>
      <c r="N129" s="495"/>
      <c r="O129" s="28"/>
      <c r="P129" s="1">
        <f t="shared" si="11"/>
        <v>0</v>
      </c>
      <c r="Q129" s="1">
        <f t="shared" si="12"/>
        <v>0</v>
      </c>
      <c r="R129" s="231"/>
      <c r="S129" s="28"/>
      <c r="T129" s="504">
        <f t="shared" si="13"/>
        <v>0</v>
      </c>
      <c r="U129" s="12">
        <f t="shared" si="14"/>
        <v>0</v>
      </c>
      <c r="V129" s="429">
        <f>U129*係数!$H$30</f>
        <v>0</v>
      </c>
      <c r="W129" s="12">
        <f t="shared" si="15"/>
        <v>0</v>
      </c>
      <c r="X129" s="431">
        <f t="shared" si="16"/>
        <v>0</v>
      </c>
    </row>
    <row r="130" spans="2:24" x14ac:dyDescent="0.45">
      <c r="B130" s="208" t="s">
        <v>727</v>
      </c>
      <c r="C130" s="36"/>
      <c r="D130" s="494"/>
      <c r="E130" s="28"/>
      <c r="F130" s="230"/>
      <c r="G130" s="230"/>
      <c r="H130" s="231"/>
      <c r="I130" s="28"/>
      <c r="J130" s="225">
        <f t="shared" si="9"/>
        <v>0</v>
      </c>
      <c r="K130" s="225">
        <f t="shared" si="10"/>
        <v>0</v>
      </c>
      <c r="L130" s="429">
        <f>K130*係数!$H$30</f>
        <v>0</v>
      </c>
      <c r="M130" s="36"/>
      <c r="N130" s="495"/>
      <c r="O130" s="28"/>
      <c r="P130" s="1">
        <f t="shared" si="11"/>
        <v>0</v>
      </c>
      <c r="Q130" s="1">
        <f t="shared" si="12"/>
        <v>0</v>
      </c>
      <c r="R130" s="231"/>
      <c r="S130" s="28"/>
      <c r="T130" s="504">
        <f t="shared" si="13"/>
        <v>0</v>
      </c>
      <c r="U130" s="12">
        <f t="shared" si="14"/>
        <v>0</v>
      </c>
      <c r="V130" s="429">
        <f>U130*係数!$H$30</f>
        <v>0</v>
      </c>
      <c r="W130" s="12">
        <f t="shared" si="15"/>
        <v>0</v>
      </c>
      <c r="X130" s="431">
        <f t="shared" si="16"/>
        <v>0</v>
      </c>
    </row>
    <row r="131" spans="2:24" x14ac:dyDescent="0.45">
      <c r="B131" s="208" t="s">
        <v>728</v>
      </c>
      <c r="C131" s="36"/>
      <c r="D131" s="494"/>
      <c r="E131" s="28"/>
      <c r="F131" s="230"/>
      <c r="G131" s="230"/>
      <c r="H131" s="231"/>
      <c r="I131" s="28"/>
      <c r="J131" s="225">
        <f t="shared" si="9"/>
        <v>0</v>
      </c>
      <c r="K131" s="225">
        <f t="shared" si="10"/>
        <v>0</v>
      </c>
      <c r="L131" s="429">
        <f>K131*係数!$H$30</f>
        <v>0</v>
      </c>
      <c r="M131" s="36"/>
      <c r="N131" s="495"/>
      <c r="O131" s="28"/>
      <c r="P131" s="1">
        <f t="shared" si="11"/>
        <v>0</v>
      </c>
      <c r="Q131" s="1">
        <f t="shared" si="12"/>
        <v>0</v>
      </c>
      <c r="R131" s="231"/>
      <c r="S131" s="28"/>
      <c r="T131" s="504">
        <f t="shared" si="13"/>
        <v>0</v>
      </c>
      <c r="U131" s="12">
        <f t="shared" si="14"/>
        <v>0</v>
      </c>
      <c r="V131" s="429">
        <f>U131*係数!$H$30</f>
        <v>0</v>
      </c>
      <c r="W131" s="12">
        <f t="shared" si="15"/>
        <v>0</v>
      </c>
      <c r="X131" s="431">
        <f t="shared" si="16"/>
        <v>0</v>
      </c>
    </row>
    <row r="132" spans="2:24" x14ac:dyDescent="0.45">
      <c r="B132" s="208" t="s">
        <v>729</v>
      </c>
      <c r="C132" s="36"/>
      <c r="D132" s="494"/>
      <c r="E132" s="28"/>
      <c r="F132" s="230"/>
      <c r="G132" s="230"/>
      <c r="H132" s="231"/>
      <c r="I132" s="28"/>
      <c r="J132" s="225">
        <f t="shared" ref="J132:J195" si="17">IF(H132="",F132*G132,F132*G132*I132/100)</f>
        <v>0</v>
      </c>
      <c r="K132" s="225">
        <f t="shared" ref="K132:K195" si="18">D132*E132*J132/1000</f>
        <v>0</v>
      </c>
      <c r="L132" s="429">
        <f>K132*係数!$H$30</f>
        <v>0</v>
      </c>
      <c r="M132" s="36"/>
      <c r="N132" s="495"/>
      <c r="O132" s="28"/>
      <c r="P132" s="1">
        <f t="shared" ref="P132:P195" si="19">IF(F132=0,0,F132)</f>
        <v>0</v>
      </c>
      <c r="Q132" s="1">
        <f t="shared" ref="Q132:Q195" si="20">IF(G132=0,0,G132)</f>
        <v>0</v>
      </c>
      <c r="R132" s="231"/>
      <c r="S132" s="28"/>
      <c r="T132" s="504">
        <f t="shared" ref="T132:T195" si="21">IF(R132="",P132*Q132,P132*Q132*S132/100)</f>
        <v>0</v>
      </c>
      <c r="U132" s="12">
        <f t="shared" ref="U132:U195" si="22">N132*O132*T132/1000</f>
        <v>0</v>
      </c>
      <c r="V132" s="429">
        <f>U132*係数!$H$30</f>
        <v>0</v>
      </c>
      <c r="W132" s="12">
        <f t="shared" ref="W132:W195" si="23">K132-U132</f>
        <v>0</v>
      </c>
      <c r="X132" s="431">
        <f t="shared" ref="X132:X195" si="24">L132-V132</f>
        <v>0</v>
      </c>
    </row>
    <row r="133" spans="2:24" x14ac:dyDescent="0.45">
      <c r="B133" s="208" t="s">
        <v>730</v>
      </c>
      <c r="C133" s="36"/>
      <c r="D133" s="494"/>
      <c r="E133" s="28"/>
      <c r="F133" s="230"/>
      <c r="G133" s="230"/>
      <c r="H133" s="231"/>
      <c r="I133" s="28"/>
      <c r="J133" s="225">
        <f t="shared" si="17"/>
        <v>0</v>
      </c>
      <c r="K133" s="225">
        <f t="shared" si="18"/>
        <v>0</v>
      </c>
      <c r="L133" s="429">
        <f>K133*係数!$H$30</f>
        <v>0</v>
      </c>
      <c r="M133" s="36"/>
      <c r="N133" s="495"/>
      <c r="O133" s="28"/>
      <c r="P133" s="1">
        <f t="shared" si="19"/>
        <v>0</v>
      </c>
      <c r="Q133" s="1">
        <f t="shared" si="20"/>
        <v>0</v>
      </c>
      <c r="R133" s="231"/>
      <c r="S133" s="28"/>
      <c r="T133" s="504">
        <f t="shared" si="21"/>
        <v>0</v>
      </c>
      <c r="U133" s="12">
        <f t="shared" si="22"/>
        <v>0</v>
      </c>
      <c r="V133" s="429">
        <f>U133*係数!$H$30</f>
        <v>0</v>
      </c>
      <c r="W133" s="12">
        <f t="shared" si="23"/>
        <v>0</v>
      </c>
      <c r="X133" s="431">
        <f t="shared" si="24"/>
        <v>0</v>
      </c>
    </row>
    <row r="134" spans="2:24" x14ac:dyDescent="0.45">
      <c r="B134" s="208" t="s">
        <v>731</v>
      </c>
      <c r="C134" s="36"/>
      <c r="D134" s="494"/>
      <c r="E134" s="28"/>
      <c r="F134" s="230"/>
      <c r="G134" s="230"/>
      <c r="H134" s="231"/>
      <c r="I134" s="28"/>
      <c r="J134" s="225">
        <f t="shared" si="17"/>
        <v>0</v>
      </c>
      <c r="K134" s="225">
        <f t="shared" si="18"/>
        <v>0</v>
      </c>
      <c r="L134" s="429">
        <f>K134*係数!$H$30</f>
        <v>0</v>
      </c>
      <c r="M134" s="36"/>
      <c r="N134" s="495"/>
      <c r="O134" s="28"/>
      <c r="P134" s="1">
        <f t="shared" si="19"/>
        <v>0</v>
      </c>
      <c r="Q134" s="1">
        <f t="shared" si="20"/>
        <v>0</v>
      </c>
      <c r="R134" s="231"/>
      <c r="S134" s="28"/>
      <c r="T134" s="504">
        <f t="shared" si="21"/>
        <v>0</v>
      </c>
      <c r="U134" s="12">
        <f t="shared" si="22"/>
        <v>0</v>
      </c>
      <c r="V134" s="429">
        <f>U134*係数!$H$30</f>
        <v>0</v>
      </c>
      <c r="W134" s="12">
        <f t="shared" si="23"/>
        <v>0</v>
      </c>
      <c r="X134" s="431">
        <f t="shared" si="24"/>
        <v>0</v>
      </c>
    </row>
    <row r="135" spans="2:24" x14ac:dyDescent="0.45">
      <c r="B135" s="208" t="s">
        <v>732</v>
      </c>
      <c r="C135" s="36"/>
      <c r="D135" s="494"/>
      <c r="E135" s="28"/>
      <c r="F135" s="230"/>
      <c r="G135" s="230"/>
      <c r="H135" s="231"/>
      <c r="I135" s="28"/>
      <c r="J135" s="225">
        <f t="shared" si="17"/>
        <v>0</v>
      </c>
      <c r="K135" s="225">
        <f t="shared" si="18"/>
        <v>0</v>
      </c>
      <c r="L135" s="429">
        <f>K135*係数!$H$30</f>
        <v>0</v>
      </c>
      <c r="M135" s="36"/>
      <c r="N135" s="495"/>
      <c r="O135" s="28"/>
      <c r="P135" s="1">
        <f t="shared" si="19"/>
        <v>0</v>
      </c>
      <c r="Q135" s="1">
        <f t="shared" si="20"/>
        <v>0</v>
      </c>
      <c r="R135" s="231"/>
      <c r="S135" s="28"/>
      <c r="T135" s="504">
        <f t="shared" si="21"/>
        <v>0</v>
      </c>
      <c r="U135" s="12">
        <f t="shared" si="22"/>
        <v>0</v>
      </c>
      <c r="V135" s="429">
        <f>U135*係数!$H$30</f>
        <v>0</v>
      </c>
      <c r="W135" s="12">
        <f t="shared" si="23"/>
        <v>0</v>
      </c>
      <c r="X135" s="431">
        <f t="shared" si="24"/>
        <v>0</v>
      </c>
    </row>
    <row r="136" spans="2:24" x14ac:dyDescent="0.45">
      <c r="B136" s="208" t="s">
        <v>733</v>
      </c>
      <c r="C136" s="36"/>
      <c r="D136" s="494"/>
      <c r="E136" s="28"/>
      <c r="F136" s="230"/>
      <c r="G136" s="230"/>
      <c r="H136" s="231"/>
      <c r="I136" s="28"/>
      <c r="J136" s="225">
        <f t="shared" si="17"/>
        <v>0</v>
      </c>
      <c r="K136" s="225">
        <f t="shared" si="18"/>
        <v>0</v>
      </c>
      <c r="L136" s="429">
        <f>K136*係数!$H$30</f>
        <v>0</v>
      </c>
      <c r="M136" s="36"/>
      <c r="N136" s="495"/>
      <c r="O136" s="28"/>
      <c r="P136" s="1">
        <f t="shared" si="19"/>
        <v>0</v>
      </c>
      <c r="Q136" s="1">
        <f t="shared" si="20"/>
        <v>0</v>
      </c>
      <c r="R136" s="231"/>
      <c r="S136" s="28"/>
      <c r="T136" s="504">
        <f t="shared" si="21"/>
        <v>0</v>
      </c>
      <c r="U136" s="12">
        <f t="shared" si="22"/>
        <v>0</v>
      </c>
      <c r="V136" s="429">
        <f>U136*係数!$H$30</f>
        <v>0</v>
      </c>
      <c r="W136" s="12">
        <f t="shared" si="23"/>
        <v>0</v>
      </c>
      <c r="X136" s="431">
        <f t="shared" si="24"/>
        <v>0</v>
      </c>
    </row>
    <row r="137" spans="2:24" x14ac:dyDescent="0.45">
      <c r="B137" s="208" t="s">
        <v>734</v>
      </c>
      <c r="C137" s="36"/>
      <c r="D137" s="494"/>
      <c r="E137" s="28"/>
      <c r="F137" s="230"/>
      <c r="G137" s="230"/>
      <c r="H137" s="231"/>
      <c r="I137" s="28"/>
      <c r="J137" s="225">
        <f t="shared" si="17"/>
        <v>0</v>
      </c>
      <c r="K137" s="225">
        <f t="shared" si="18"/>
        <v>0</v>
      </c>
      <c r="L137" s="429">
        <f>K137*係数!$H$30</f>
        <v>0</v>
      </c>
      <c r="M137" s="36"/>
      <c r="N137" s="495"/>
      <c r="O137" s="28"/>
      <c r="P137" s="1">
        <f t="shared" si="19"/>
        <v>0</v>
      </c>
      <c r="Q137" s="1">
        <f t="shared" si="20"/>
        <v>0</v>
      </c>
      <c r="R137" s="231"/>
      <c r="S137" s="28"/>
      <c r="T137" s="504">
        <f t="shared" si="21"/>
        <v>0</v>
      </c>
      <c r="U137" s="12">
        <f t="shared" si="22"/>
        <v>0</v>
      </c>
      <c r="V137" s="429">
        <f>U137*係数!$H$30</f>
        <v>0</v>
      </c>
      <c r="W137" s="12">
        <f t="shared" si="23"/>
        <v>0</v>
      </c>
      <c r="X137" s="431">
        <f t="shared" si="24"/>
        <v>0</v>
      </c>
    </row>
    <row r="138" spans="2:24" x14ac:dyDescent="0.45">
      <c r="B138" s="208" t="s">
        <v>735</v>
      </c>
      <c r="C138" s="36"/>
      <c r="D138" s="494"/>
      <c r="E138" s="28"/>
      <c r="F138" s="230"/>
      <c r="G138" s="230"/>
      <c r="H138" s="231"/>
      <c r="I138" s="28"/>
      <c r="J138" s="225">
        <f t="shared" si="17"/>
        <v>0</v>
      </c>
      <c r="K138" s="225">
        <f t="shared" si="18"/>
        <v>0</v>
      </c>
      <c r="L138" s="429">
        <f>K138*係数!$H$30</f>
        <v>0</v>
      </c>
      <c r="M138" s="36"/>
      <c r="N138" s="495"/>
      <c r="O138" s="28"/>
      <c r="P138" s="1">
        <f t="shared" si="19"/>
        <v>0</v>
      </c>
      <c r="Q138" s="1">
        <f t="shared" si="20"/>
        <v>0</v>
      </c>
      <c r="R138" s="231"/>
      <c r="S138" s="28"/>
      <c r="T138" s="504">
        <f t="shared" si="21"/>
        <v>0</v>
      </c>
      <c r="U138" s="12">
        <f t="shared" si="22"/>
        <v>0</v>
      </c>
      <c r="V138" s="429">
        <f>U138*係数!$H$30</f>
        <v>0</v>
      </c>
      <c r="W138" s="12">
        <f t="shared" si="23"/>
        <v>0</v>
      </c>
      <c r="X138" s="431">
        <f t="shared" si="24"/>
        <v>0</v>
      </c>
    </row>
    <row r="139" spans="2:24" x14ac:dyDescent="0.45">
      <c r="B139" s="208" t="s">
        <v>736</v>
      </c>
      <c r="C139" s="36"/>
      <c r="D139" s="494"/>
      <c r="E139" s="28"/>
      <c r="F139" s="230"/>
      <c r="G139" s="230"/>
      <c r="H139" s="231"/>
      <c r="I139" s="28"/>
      <c r="J139" s="225">
        <f t="shared" si="17"/>
        <v>0</v>
      </c>
      <c r="K139" s="225">
        <f t="shared" si="18"/>
        <v>0</v>
      </c>
      <c r="L139" s="429">
        <f>K139*係数!$H$30</f>
        <v>0</v>
      </c>
      <c r="M139" s="36"/>
      <c r="N139" s="495"/>
      <c r="O139" s="28"/>
      <c r="P139" s="1">
        <f t="shared" si="19"/>
        <v>0</v>
      </c>
      <c r="Q139" s="1">
        <f t="shared" si="20"/>
        <v>0</v>
      </c>
      <c r="R139" s="231"/>
      <c r="S139" s="28"/>
      <c r="T139" s="504">
        <f t="shared" si="21"/>
        <v>0</v>
      </c>
      <c r="U139" s="12">
        <f t="shared" si="22"/>
        <v>0</v>
      </c>
      <c r="V139" s="429">
        <f>U139*係数!$H$30</f>
        <v>0</v>
      </c>
      <c r="W139" s="12">
        <f t="shared" si="23"/>
        <v>0</v>
      </c>
      <c r="X139" s="431">
        <f t="shared" si="24"/>
        <v>0</v>
      </c>
    </row>
    <row r="140" spans="2:24" x14ac:dyDescent="0.45">
      <c r="B140" s="208" t="s">
        <v>737</v>
      </c>
      <c r="C140" s="36"/>
      <c r="D140" s="494"/>
      <c r="E140" s="28"/>
      <c r="F140" s="230"/>
      <c r="G140" s="230"/>
      <c r="H140" s="231"/>
      <c r="I140" s="28"/>
      <c r="J140" s="225">
        <f t="shared" si="17"/>
        <v>0</v>
      </c>
      <c r="K140" s="225">
        <f t="shared" si="18"/>
        <v>0</v>
      </c>
      <c r="L140" s="429">
        <f>K140*係数!$H$30</f>
        <v>0</v>
      </c>
      <c r="M140" s="36"/>
      <c r="N140" s="495"/>
      <c r="O140" s="28"/>
      <c r="P140" s="1">
        <f t="shared" si="19"/>
        <v>0</v>
      </c>
      <c r="Q140" s="1">
        <f t="shared" si="20"/>
        <v>0</v>
      </c>
      <c r="R140" s="231"/>
      <c r="S140" s="28"/>
      <c r="T140" s="504">
        <f t="shared" si="21"/>
        <v>0</v>
      </c>
      <c r="U140" s="12">
        <f t="shared" si="22"/>
        <v>0</v>
      </c>
      <c r="V140" s="429">
        <f>U140*係数!$H$30</f>
        <v>0</v>
      </c>
      <c r="W140" s="12">
        <f t="shared" si="23"/>
        <v>0</v>
      </c>
      <c r="X140" s="431">
        <f t="shared" si="24"/>
        <v>0</v>
      </c>
    </row>
    <row r="141" spans="2:24" x14ac:dyDescent="0.45">
      <c r="B141" s="208" t="s">
        <v>738</v>
      </c>
      <c r="C141" s="36"/>
      <c r="D141" s="494"/>
      <c r="E141" s="28"/>
      <c r="F141" s="230"/>
      <c r="G141" s="230"/>
      <c r="H141" s="231"/>
      <c r="I141" s="28"/>
      <c r="J141" s="225">
        <f t="shared" si="17"/>
        <v>0</v>
      </c>
      <c r="K141" s="225">
        <f t="shared" si="18"/>
        <v>0</v>
      </c>
      <c r="L141" s="429">
        <f>K141*係数!$H$30</f>
        <v>0</v>
      </c>
      <c r="M141" s="36"/>
      <c r="N141" s="495"/>
      <c r="O141" s="28"/>
      <c r="P141" s="1">
        <f t="shared" si="19"/>
        <v>0</v>
      </c>
      <c r="Q141" s="1">
        <f t="shared" si="20"/>
        <v>0</v>
      </c>
      <c r="R141" s="231"/>
      <c r="S141" s="28"/>
      <c r="T141" s="504">
        <f t="shared" si="21"/>
        <v>0</v>
      </c>
      <c r="U141" s="12">
        <f t="shared" si="22"/>
        <v>0</v>
      </c>
      <c r="V141" s="429">
        <f>U141*係数!$H$30</f>
        <v>0</v>
      </c>
      <c r="W141" s="12">
        <f t="shared" si="23"/>
        <v>0</v>
      </c>
      <c r="X141" s="431">
        <f t="shared" si="24"/>
        <v>0</v>
      </c>
    </row>
    <row r="142" spans="2:24" x14ac:dyDescent="0.45">
      <c r="B142" s="208" t="s">
        <v>739</v>
      </c>
      <c r="C142" s="36"/>
      <c r="D142" s="494"/>
      <c r="E142" s="28"/>
      <c r="F142" s="230"/>
      <c r="G142" s="230"/>
      <c r="H142" s="231"/>
      <c r="I142" s="28"/>
      <c r="J142" s="225">
        <f t="shared" si="17"/>
        <v>0</v>
      </c>
      <c r="K142" s="225">
        <f t="shared" si="18"/>
        <v>0</v>
      </c>
      <c r="L142" s="429">
        <f>K142*係数!$H$30</f>
        <v>0</v>
      </c>
      <c r="M142" s="36"/>
      <c r="N142" s="495"/>
      <c r="O142" s="28"/>
      <c r="P142" s="1">
        <f t="shared" si="19"/>
        <v>0</v>
      </c>
      <c r="Q142" s="1">
        <f t="shared" si="20"/>
        <v>0</v>
      </c>
      <c r="R142" s="231"/>
      <c r="S142" s="28"/>
      <c r="T142" s="504">
        <f t="shared" si="21"/>
        <v>0</v>
      </c>
      <c r="U142" s="12">
        <f t="shared" si="22"/>
        <v>0</v>
      </c>
      <c r="V142" s="429">
        <f>U142*係数!$H$30</f>
        <v>0</v>
      </c>
      <c r="W142" s="12">
        <f t="shared" si="23"/>
        <v>0</v>
      </c>
      <c r="X142" s="431">
        <f t="shared" si="24"/>
        <v>0</v>
      </c>
    </row>
    <row r="143" spans="2:24" x14ac:dyDescent="0.45">
      <c r="B143" s="208" t="s">
        <v>740</v>
      </c>
      <c r="C143" s="36"/>
      <c r="D143" s="494"/>
      <c r="E143" s="28"/>
      <c r="F143" s="230"/>
      <c r="G143" s="230"/>
      <c r="H143" s="231"/>
      <c r="I143" s="28"/>
      <c r="J143" s="225">
        <f t="shared" si="17"/>
        <v>0</v>
      </c>
      <c r="K143" s="225">
        <f t="shared" si="18"/>
        <v>0</v>
      </c>
      <c r="L143" s="429">
        <f>K143*係数!$H$30</f>
        <v>0</v>
      </c>
      <c r="M143" s="36"/>
      <c r="N143" s="495"/>
      <c r="O143" s="28"/>
      <c r="P143" s="1">
        <f t="shared" si="19"/>
        <v>0</v>
      </c>
      <c r="Q143" s="1">
        <f t="shared" si="20"/>
        <v>0</v>
      </c>
      <c r="R143" s="231"/>
      <c r="S143" s="28"/>
      <c r="T143" s="504">
        <f t="shared" si="21"/>
        <v>0</v>
      </c>
      <c r="U143" s="12">
        <f t="shared" si="22"/>
        <v>0</v>
      </c>
      <c r="V143" s="429">
        <f>U143*係数!$H$30</f>
        <v>0</v>
      </c>
      <c r="W143" s="12">
        <f t="shared" si="23"/>
        <v>0</v>
      </c>
      <c r="X143" s="431">
        <f t="shared" si="24"/>
        <v>0</v>
      </c>
    </row>
    <row r="144" spans="2:24" x14ac:dyDescent="0.45">
      <c r="B144" s="208" t="s">
        <v>741</v>
      </c>
      <c r="C144" s="36"/>
      <c r="D144" s="494"/>
      <c r="E144" s="28"/>
      <c r="F144" s="230"/>
      <c r="G144" s="230"/>
      <c r="H144" s="231"/>
      <c r="I144" s="28"/>
      <c r="J144" s="225">
        <f t="shared" si="17"/>
        <v>0</v>
      </c>
      <c r="K144" s="225">
        <f t="shared" si="18"/>
        <v>0</v>
      </c>
      <c r="L144" s="429">
        <f>K144*係数!$H$30</f>
        <v>0</v>
      </c>
      <c r="M144" s="36"/>
      <c r="N144" s="495"/>
      <c r="O144" s="28"/>
      <c r="P144" s="1">
        <f t="shared" si="19"/>
        <v>0</v>
      </c>
      <c r="Q144" s="1">
        <f t="shared" si="20"/>
        <v>0</v>
      </c>
      <c r="R144" s="231"/>
      <c r="S144" s="28"/>
      <c r="T144" s="504">
        <f t="shared" si="21"/>
        <v>0</v>
      </c>
      <c r="U144" s="12">
        <f t="shared" si="22"/>
        <v>0</v>
      </c>
      <c r="V144" s="429">
        <f>U144*係数!$H$30</f>
        <v>0</v>
      </c>
      <c r="W144" s="12">
        <f t="shared" si="23"/>
        <v>0</v>
      </c>
      <c r="X144" s="431">
        <f t="shared" si="24"/>
        <v>0</v>
      </c>
    </row>
    <row r="145" spans="2:24" x14ac:dyDescent="0.45">
      <c r="B145" s="208" t="s">
        <v>742</v>
      </c>
      <c r="C145" s="36"/>
      <c r="D145" s="494"/>
      <c r="E145" s="28"/>
      <c r="F145" s="230"/>
      <c r="G145" s="230"/>
      <c r="H145" s="231"/>
      <c r="I145" s="28"/>
      <c r="J145" s="225">
        <f t="shared" si="17"/>
        <v>0</v>
      </c>
      <c r="K145" s="225">
        <f t="shared" si="18"/>
        <v>0</v>
      </c>
      <c r="L145" s="429">
        <f>K145*係数!$H$30</f>
        <v>0</v>
      </c>
      <c r="M145" s="36"/>
      <c r="N145" s="495"/>
      <c r="O145" s="28"/>
      <c r="P145" s="1">
        <f t="shared" si="19"/>
        <v>0</v>
      </c>
      <c r="Q145" s="1">
        <f t="shared" si="20"/>
        <v>0</v>
      </c>
      <c r="R145" s="231"/>
      <c r="S145" s="28"/>
      <c r="T145" s="504">
        <f t="shared" si="21"/>
        <v>0</v>
      </c>
      <c r="U145" s="12">
        <f t="shared" si="22"/>
        <v>0</v>
      </c>
      <c r="V145" s="429">
        <f>U145*係数!$H$30</f>
        <v>0</v>
      </c>
      <c r="W145" s="12">
        <f t="shared" si="23"/>
        <v>0</v>
      </c>
      <c r="X145" s="431">
        <f t="shared" si="24"/>
        <v>0</v>
      </c>
    </row>
    <row r="146" spans="2:24" x14ac:dyDescent="0.45">
      <c r="B146" s="208" t="s">
        <v>743</v>
      </c>
      <c r="C146" s="36"/>
      <c r="D146" s="494"/>
      <c r="E146" s="28"/>
      <c r="F146" s="230"/>
      <c r="G146" s="230"/>
      <c r="H146" s="231"/>
      <c r="I146" s="28"/>
      <c r="J146" s="225">
        <f t="shared" si="17"/>
        <v>0</v>
      </c>
      <c r="K146" s="225">
        <f t="shared" si="18"/>
        <v>0</v>
      </c>
      <c r="L146" s="429">
        <f>K146*係数!$H$30</f>
        <v>0</v>
      </c>
      <c r="M146" s="36"/>
      <c r="N146" s="495"/>
      <c r="O146" s="28"/>
      <c r="P146" s="1">
        <f t="shared" si="19"/>
        <v>0</v>
      </c>
      <c r="Q146" s="1">
        <f t="shared" si="20"/>
        <v>0</v>
      </c>
      <c r="R146" s="231"/>
      <c r="S146" s="28"/>
      <c r="T146" s="504">
        <f t="shared" si="21"/>
        <v>0</v>
      </c>
      <c r="U146" s="12">
        <f t="shared" si="22"/>
        <v>0</v>
      </c>
      <c r="V146" s="429">
        <f>U146*係数!$H$30</f>
        <v>0</v>
      </c>
      <c r="W146" s="12">
        <f t="shared" si="23"/>
        <v>0</v>
      </c>
      <c r="X146" s="431">
        <f t="shared" si="24"/>
        <v>0</v>
      </c>
    </row>
    <row r="147" spans="2:24" x14ac:dyDescent="0.45">
      <c r="B147" s="208" t="s">
        <v>744</v>
      </c>
      <c r="C147" s="36"/>
      <c r="D147" s="494"/>
      <c r="E147" s="28"/>
      <c r="F147" s="230"/>
      <c r="G147" s="230"/>
      <c r="H147" s="231"/>
      <c r="I147" s="28"/>
      <c r="J147" s="225">
        <f t="shared" si="17"/>
        <v>0</v>
      </c>
      <c r="K147" s="225">
        <f t="shared" si="18"/>
        <v>0</v>
      </c>
      <c r="L147" s="429">
        <f>K147*係数!$H$30</f>
        <v>0</v>
      </c>
      <c r="M147" s="36"/>
      <c r="N147" s="495"/>
      <c r="O147" s="28"/>
      <c r="P147" s="1">
        <f t="shared" si="19"/>
        <v>0</v>
      </c>
      <c r="Q147" s="1">
        <f t="shared" si="20"/>
        <v>0</v>
      </c>
      <c r="R147" s="231"/>
      <c r="S147" s="28"/>
      <c r="T147" s="504">
        <f t="shared" si="21"/>
        <v>0</v>
      </c>
      <c r="U147" s="12">
        <f t="shared" si="22"/>
        <v>0</v>
      </c>
      <c r="V147" s="429">
        <f>U147*係数!$H$30</f>
        <v>0</v>
      </c>
      <c r="W147" s="12">
        <f t="shared" si="23"/>
        <v>0</v>
      </c>
      <c r="X147" s="431">
        <f t="shared" si="24"/>
        <v>0</v>
      </c>
    </row>
    <row r="148" spans="2:24" x14ac:dyDescent="0.45">
      <c r="B148" s="208" t="s">
        <v>745</v>
      </c>
      <c r="C148" s="36"/>
      <c r="D148" s="494"/>
      <c r="E148" s="28"/>
      <c r="F148" s="230"/>
      <c r="G148" s="230"/>
      <c r="H148" s="231"/>
      <c r="I148" s="28"/>
      <c r="J148" s="225">
        <f t="shared" si="17"/>
        <v>0</v>
      </c>
      <c r="K148" s="225">
        <f t="shared" si="18"/>
        <v>0</v>
      </c>
      <c r="L148" s="429">
        <f>K148*係数!$H$30</f>
        <v>0</v>
      </c>
      <c r="M148" s="36"/>
      <c r="N148" s="495"/>
      <c r="O148" s="28"/>
      <c r="P148" s="1">
        <f t="shared" si="19"/>
        <v>0</v>
      </c>
      <c r="Q148" s="1">
        <f t="shared" si="20"/>
        <v>0</v>
      </c>
      <c r="R148" s="231"/>
      <c r="S148" s="28"/>
      <c r="T148" s="504">
        <f t="shared" si="21"/>
        <v>0</v>
      </c>
      <c r="U148" s="12">
        <f t="shared" si="22"/>
        <v>0</v>
      </c>
      <c r="V148" s="429">
        <f>U148*係数!$H$30</f>
        <v>0</v>
      </c>
      <c r="W148" s="12">
        <f t="shared" si="23"/>
        <v>0</v>
      </c>
      <c r="X148" s="431">
        <f t="shared" si="24"/>
        <v>0</v>
      </c>
    </row>
    <row r="149" spans="2:24" x14ac:dyDescent="0.45">
      <c r="B149" s="208" t="s">
        <v>746</v>
      </c>
      <c r="C149" s="36"/>
      <c r="D149" s="494"/>
      <c r="E149" s="28"/>
      <c r="F149" s="230"/>
      <c r="G149" s="230"/>
      <c r="H149" s="231"/>
      <c r="I149" s="28"/>
      <c r="J149" s="225">
        <f t="shared" si="17"/>
        <v>0</v>
      </c>
      <c r="K149" s="225">
        <f t="shared" si="18"/>
        <v>0</v>
      </c>
      <c r="L149" s="429">
        <f>K149*係数!$H$30</f>
        <v>0</v>
      </c>
      <c r="M149" s="36"/>
      <c r="N149" s="495"/>
      <c r="O149" s="28"/>
      <c r="P149" s="1">
        <f t="shared" si="19"/>
        <v>0</v>
      </c>
      <c r="Q149" s="1">
        <f t="shared" si="20"/>
        <v>0</v>
      </c>
      <c r="R149" s="231"/>
      <c r="S149" s="28"/>
      <c r="T149" s="504">
        <f t="shared" si="21"/>
        <v>0</v>
      </c>
      <c r="U149" s="12">
        <f t="shared" si="22"/>
        <v>0</v>
      </c>
      <c r="V149" s="429">
        <f>U149*係数!$H$30</f>
        <v>0</v>
      </c>
      <c r="W149" s="12">
        <f t="shared" si="23"/>
        <v>0</v>
      </c>
      <c r="X149" s="431">
        <f t="shared" si="24"/>
        <v>0</v>
      </c>
    </row>
    <row r="150" spans="2:24" x14ac:dyDescent="0.45">
      <c r="B150" s="208" t="s">
        <v>747</v>
      </c>
      <c r="C150" s="36"/>
      <c r="D150" s="494"/>
      <c r="E150" s="28"/>
      <c r="F150" s="230"/>
      <c r="G150" s="230"/>
      <c r="H150" s="231"/>
      <c r="I150" s="28"/>
      <c r="J150" s="225">
        <f t="shared" si="17"/>
        <v>0</v>
      </c>
      <c r="K150" s="225">
        <f t="shared" si="18"/>
        <v>0</v>
      </c>
      <c r="L150" s="429">
        <f>K150*係数!$H$30</f>
        <v>0</v>
      </c>
      <c r="M150" s="36"/>
      <c r="N150" s="495"/>
      <c r="O150" s="28"/>
      <c r="P150" s="1">
        <f t="shared" si="19"/>
        <v>0</v>
      </c>
      <c r="Q150" s="1">
        <f t="shared" si="20"/>
        <v>0</v>
      </c>
      <c r="R150" s="231"/>
      <c r="S150" s="28"/>
      <c r="T150" s="504">
        <f t="shared" si="21"/>
        <v>0</v>
      </c>
      <c r="U150" s="12">
        <f t="shared" si="22"/>
        <v>0</v>
      </c>
      <c r="V150" s="429">
        <f>U150*係数!$H$30</f>
        <v>0</v>
      </c>
      <c r="W150" s="12">
        <f t="shared" si="23"/>
        <v>0</v>
      </c>
      <c r="X150" s="431">
        <f t="shared" si="24"/>
        <v>0</v>
      </c>
    </row>
    <row r="151" spans="2:24" x14ac:dyDescent="0.45">
      <c r="B151" s="208" t="s">
        <v>748</v>
      </c>
      <c r="C151" s="36"/>
      <c r="D151" s="494"/>
      <c r="E151" s="28"/>
      <c r="F151" s="230"/>
      <c r="G151" s="230"/>
      <c r="H151" s="231"/>
      <c r="I151" s="28"/>
      <c r="J151" s="225">
        <f t="shared" si="17"/>
        <v>0</v>
      </c>
      <c r="K151" s="225">
        <f t="shared" si="18"/>
        <v>0</v>
      </c>
      <c r="L151" s="429">
        <f>K151*係数!$H$30</f>
        <v>0</v>
      </c>
      <c r="M151" s="36"/>
      <c r="N151" s="495"/>
      <c r="O151" s="28"/>
      <c r="P151" s="1">
        <f t="shared" si="19"/>
        <v>0</v>
      </c>
      <c r="Q151" s="1">
        <f t="shared" si="20"/>
        <v>0</v>
      </c>
      <c r="R151" s="231"/>
      <c r="S151" s="28"/>
      <c r="T151" s="504">
        <f t="shared" si="21"/>
        <v>0</v>
      </c>
      <c r="U151" s="12">
        <f t="shared" si="22"/>
        <v>0</v>
      </c>
      <c r="V151" s="429">
        <f>U151*係数!$H$30</f>
        <v>0</v>
      </c>
      <c r="W151" s="12">
        <f t="shared" si="23"/>
        <v>0</v>
      </c>
      <c r="X151" s="431">
        <f t="shared" si="24"/>
        <v>0</v>
      </c>
    </row>
    <row r="152" spans="2:24" x14ac:dyDescent="0.45">
      <c r="B152" s="208" t="s">
        <v>749</v>
      </c>
      <c r="C152" s="36"/>
      <c r="D152" s="494"/>
      <c r="E152" s="28"/>
      <c r="F152" s="230"/>
      <c r="G152" s="230"/>
      <c r="H152" s="231"/>
      <c r="I152" s="28"/>
      <c r="J152" s="225">
        <f t="shared" si="17"/>
        <v>0</v>
      </c>
      <c r="K152" s="225">
        <f t="shared" si="18"/>
        <v>0</v>
      </c>
      <c r="L152" s="429">
        <f>K152*係数!$H$30</f>
        <v>0</v>
      </c>
      <c r="M152" s="36"/>
      <c r="N152" s="495"/>
      <c r="O152" s="28"/>
      <c r="P152" s="1">
        <f t="shared" si="19"/>
        <v>0</v>
      </c>
      <c r="Q152" s="1">
        <f t="shared" si="20"/>
        <v>0</v>
      </c>
      <c r="R152" s="231"/>
      <c r="S152" s="28"/>
      <c r="T152" s="504">
        <f t="shared" si="21"/>
        <v>0</v>
      </c>
      <c r="U152" s="12">
        <f t="shared" si="22"/>
        <v>0</v>
      </c>
      <c r="V152" s="429">
        <f>U152*係数!$H$30</f>
        <v>0</v>
      </c>
      <c r="W152" s="12">
        <f t="shared" si="23"/>
        <v>0</v>
      </c>
      <c r="X152" s="431">
        <f t="shared" si="24"/>
        <v>0</v>
      </c>
    </row>
    <row r="153" spans="2:24" x14ac:dyDescent="0.45">
      <c r="B153" s="208" t="s">
        <v>750</v>
      </c>
      <c r="C153" s="36"/>
      <c r="D153" s="494"/>
      <c r="E153" s="28"/>
      <c r="F153" s="230"/>
      <c r="G153" s="230"/>
      <c r="H153" s="231"/>
      <c r="I153" s="28"/>
      <c r="J153" s="225">
        <f t="shared" si="17"/>
        <v>0</v>
      </c>
      <c r="K153" s="225">
        <f t="shared" si="18"/>
        <v>0</v>
      </c>
      <c r="L153" s="429">
        <f>K153*係数!$H$30</f>
        <v>0</v>
      </c>
      <c r="M153" s="36"/>
      <c r="N153" s="495"/>
      <c r="O153" s="28"/>
      <c r="P153" s="1">
        <f t="shared" si="19"/>
        <v>0</v>
      </c>
      <c r="Q153" s="1">
        <f t="shared" si="20"/>
        <v>0</v>
      </c>
      <c r="R153" s="231"/>
      <c r="S153" s="28"/>
      <c r="T153" s="504">
        <f t="shared" si="21"/>
        <v>0</v>
      </c>
      <c r="U153" s="12">
        <f t="shared" si="22"/>
        <v>0</v>
      </c>
      <c r="V153" s="429">
        <f>U153*係数!$H$30</f>
        <v>0</v>
      </c>
      <c r="W153" s="12">
        <f t="shared" si="23"/>
        <v>0</v>
      </c>
      <c r="X153" s="431">
        <f t="shared" si="24"/>
        <v>0</v>
      </c>
    </row>
    <row r="154" spans="2:24" x14ac:dyDescent="0.45">
      <c r="B154" s="208" t="s">
        <v>751</v>
      </c>
      <c r="C154" s="36"/>
      <c r="D154" s="494"/>
      <c r="E154" s="28"/>
      <c r="F154" s="230"/>
      <c r="G154" s="230"/>
      <c r="H154" s="231"/>
      <c r="I154" s="28"/>
      <c r="J154" s="225">
        <f t="shared" si="17"/>
        <v>0</v>
      </c>
      <c r="K154" s="225">
        <f t="shared" si="18"/>
        <v>0</v>
      </c>
      <c r="L154" s="429">
        <f>K154*係数!$H$30</f>
        <v>0</v>
      </c>
      <c r="M154" s="36"/>
      <c r="N154" s="495"/>
      <c r="O154" s="28"/>
      <c r="P154" s="1">
        <f t="shared" si="19"/>
        <v>0</v>
      </c>
      <c r="Q154" s="1">
        <f t="shared" si="20"/>
        <v>0</v>
      </c>
      <c r="R154" s="231"/>
      <c r="S154" s="28"/>
      <c r="T154" s="504">
        <f t="shared" si="21"/>
        <v>0</v>
      </c>
      <c r="U154" s="12">
        <f t="shared" si="22"/>
        <v>0</v>
      </c>
      <c r="V154" s="429">
        <f>U154*係数!$H$30</f>
        <v>0</v>
      </c>
      <c r="W154" s="12">
        <f t="shared" si="23"/>
        <v>0</v>
      </c>
      <c r="X154" s="431">
        <f t="shared" si="24"/>
        <v>0</v>
      </c>
    </row>
    <row r="155" spans="2:24" x14ac:dyDescent="0.45">
      <c r="B155" s="208" t="s">
        <v>752</v>
      </c>
      <c r="C155" s="36"/>
      <c r="D155" s="494"/>
      <c r="E155" s="28"/>
      <c r="F155" s="230"/>
      <c r="G155" s="230"/>
      <c r="H155" s="231"/>
      <c r="I155" s="28"/>
      <c r="J155" s="225">
        <f t="shared" si="17"/>
        <v>0</v>
      </c>
      <c r="K155" s="225">
        <f t="shared" si="18"/>
        <v>0</v>
      </c>
      <c r="L155" s="429">
        <f>K155*係数!$H$30</f>
        <v>0</v>
      </c>
      <c r="M155" s="36"/>
      <c r="N155" s="495"/>
      <c r="O155" s="28"/>
      <c r="P155" s="1">
        <f t="shared" si="19"/>
        <v>0</v>
      </c>
      <c r="Q155" s="1">
        <f t="shared" si="20"/>
        <v>0</v>
      </c>
      <c r="R155" s="231"/>
      <c r="S155" s="28"/>
      <c r="T155" s="504">
        <f t="shared" si="21"/>
        <v>0</v>
      </c>
      <c r="U155" s="12">
        <f t="shared" si="22"/>
        <v>0</v>
      </c>
      <c r="V155" s="429">
        <f>U155*係数!$H$30</f>
        <v>0</v>
      </c>
      <c r="W155" s="12">
        <f t="shared" si="23"/>
        <v>0</v>
      </c>
      <c r="X155" s="431">
        <f t="shared" si="24"/>
        <v>0</v>
      </c>
    </row>
    <row r="156" spans="2:24" x14ac:dyDescent="0.45">
      <c r="B156" s="208" t="s">
        <v>753</v>
      </c>
      <c r="C156" s="36"/>
      <c r="D156" s="494"/>
      <c r="E156" s="28"/>
      <c r="F156" s="230"/>
      <c r="G156" s="230"/>
      <c r="H156" s="231"/>
      <c r="I156" s="28"/>
      <c r="J156" s="225">
        <f t="shared" si="17"/>
        <v>0</v>
      </c>
      <c r="K156" s="225">
        <f t="shared" si="18"/>
        <v>0</v>
      </c>
      <c r="L156" s="429">
        <f>K156*係数!$H$30</f>
        <v>0</v>
      </c>
      <c r="M156" s="36"/>
      <c r="N156" s="495"/>
      <c r="O156" s="28"/>
      <c r="P156" s="1">
        <f t="shared" si="19"/>
        <v>0</v>
      </c>
      <c r="Q156" s="1">
        <f t="shared" si="20"/>
        <v>0</v>
      </c>
      <c r="R156" s="231"/>
      <c r="S156" s="28"/>
      <c r="T156" s="504">
        <f t="shared" si="21"/>
        <v>0</v>
      </c>
      <c r="U156" s="12">
        <f t="shared" si="22"/>
        <v>0</v>
      </c>
      <c r="V156" s="429">
        <f>U156*係数!$H$30</f>
        <v>0</v>
      </c>
      <c r="W156" s="12">
        <f t="shared" si="23"/>
        <v>0</v>
      </c>
      <c r="X156" s="431">
        <f t="shared" si="24"/>
        <v>0</v>
      </c>
    </row>
    <row r="157" spans="2:24" x14ac:dyDescent="0.45">
      <c r="B157" s="208" t="s">
        <v>754</v>
      </c>
      <c r="C157" s="36"/>
      <c r="D157" s="494"/>
      <c r="E157" s="28"/>
      <c r="F157" s="230"/>
      <c r="G157" s="230"/>
      <c r="H157" s="231"/>
      <c r="I157" s="28"/>
      <c r="J157" s="225">
        <f t="shared" si="17"/>
        <v>0</v>
      </c>
      <c r="K157" s="225">
        <f t="shared" si="18"/>
        <v>0</v>
      </c>
      <c r="L157" s="429">
        <f>K157*係数!$H$30</f>
        <v>0</v>
      </c>
      <c r="M157" s="36"/>
      <c r="N157" s="495"/>
      <c r="O157" s="28"/>
      <c r="P157" s="1">
        <f t="shared" si="19"/>
        <v>0</v>
      </c>
      <c r="Q157" s="1">
        <f t="shared" si="20"/>
        <v>0</v>
      </c>
      <c r="R157" s="231"/>
      <c r="S157" s="28"/>
      <c r="T157" s="504">
        <f t="shared" si="21"/>
        <v>0</v>
      </c>
      <c r="U157" s="12">
        <f t="shared" si="22"/>
        <v>0</v>
      </c>
      <c r="V157" s="429">
        <f>U157*係数!$H$30</f>
        <v>0</v>
      </c>
      <c r="W157" s="12">
        <f t="shared" si="23"/>
        <v>0</v>
      </c>
      <c r="X157" s="431">
        <f t="shared" si="24"/>
        <v>0</v>
      </c>
    </row>
    <row r="158" spans="2:24" x14ac:dyDescent="0.45">
      <c r="B158" s="208" t="s">
        <v>755</v>
      </c>
      <c r="C158" s="36"/>
      <c r="D158" s="494"/>
      <c r="E158" s="28"/>
      <c r="F158" s="230"/>
      <c r="G158" s="230"/>
      <c r="H158" s="231"/>
      <c r="I158" s="28"/>
      <c r="J158" s="225">
        <f t="shared" si="17"/>
        <v>0</v>
      </c>
      <c r="K158" s="225">
        <f t="shared" si="18"/>
        <v>0</v>
      </c>
      <c r="L158" s="429">
        <f>K158*係数!$H$30</f>
        <v>0</v>
      </c>
      <c r="M158" s="36"/>
      <c r="N158" s="495"/>
      <c r="O158" s="28"/>
      <c r="P158" s="1">
        <f t="shared" si="19"/>
        <v>0</v>
      </c>
      <c r="Q158" s="1">
        <f t="shared" si="20"/>
        <v>0</v>
      </c>
      <c r="R158" s="231"/>
      <c r="S158" s="28"/>
      <c r="T158" s="504">
        <f t="shared" si="21"/>
        <v>0</v>
      </c>
      <c r="U158" s="12">
        <f t="shared" si="22"/>
        <v>0</v>
      </c>
      <c r="V158" s="429">
        <f>U158*係数!$H$30</f>
        <v>0</v>
      </c>
      <c r="W158" s="12">
        <f t="shared" si="23"/>
        <v>0</v>
      </c>
      <c r="X158" s="431">
        <f t="shared" si="24"/>
        <v>0</v>
      </c>
    </row>
    <row r="159" spans="2:24" x14ac:dyDescent="0.45">
      <c r="B159" s="208" t="s">
        <v>756</v>
      </c>
      <c r="C159" s="36"/>
      <c r="D159" s="494"/>
      <c r="E159" s="28"/>
      <c r="F159" s="230"/>
      <c r="G159" s="230"/>
      <c r="H159" s="231"/>
      <c r="I159" s="28"/>
      <c r="J159" s="225">
        <f t="shared" si="17"/>
        <v>0</v>
      </c>
      <c r="K159" s="225">
        <f t="shared" si="18"/>
        <v>0</v>
      </c>
      <c r="L159" s="429">
        <f>K159*係数!$H$30</f>
        <v>0</v>
      </c>
      <c r="M159" s="36"/>
      <c r="N159" s="495"/>
      <c r="O159" s="28"/>
      <c r="P159" s="1">
        <f t="shared" si="19"/>
        <v>0</v>
      </c>
      <c r="Q159" s="1">
        <f t="shared" si="20"/>
        <v>0</v>
      </c>
      <c r="R159" s="231"/>
      <c r="S159" s="28"/>
      <c r="T159" s="504">
        <f t="shared" si="21"/>
        <v>0</v>
      </c>
      <c r="U159" s="12">
        <f t="shared" si="22"/>
        <v>0</v>
      </c>
      <c r="V159" s="429">
        <f>U159*係数!$H$30</f>
        <v>0</v>
      </c>
      <c r="W159" s="12">
        <f t="shared" si="23"/>
        <v>0</v>
      </c>
      <c r="X159" s="431">
        <f t="shared" si="24"/>
        <v>0</v>
      </c>
    </row>
    <row r="160" spans="2:24" x14ac:dyDescent="0.45">
      <c r="B160" s="208" t="s">
        <v>757</v>
      </c>
      <c r="C160" s="36"/>
      <c r="D160" s="494"/>
      <c r="E160" s="28"/>
      <c r="F160" s="230"/>
      <c r="G160" s="230"/>
      <c r="H160" s="231"/>
      <c r="I160" s="28"/>
      <c r="J160" s="225">
        <f t="shared" si="17"/>
        <v>0</v>
      </c>
      <c r="K160" s="225">
        <f t="shared" si="18"/>
        <v>0</v>
      </c>
      <c r="L160" s="429">
        <f>K160*係数!$H$30</f>
        <v>0</v>
      </c>
      <c r="M160" s="36"/>
      <c r="N160" s="495"/>
      <c r="O160" s="28"/>
      <c r="P160" s="1">
        <f t="shared" si="19"/>
        <v>0</v>
      </c>
      <c r="Q160" s="1">
        <f t="shared" si="20"/>
        <v>0</v>
      </c>
      <c r="R160" s="231"/>
      <c r="S160" s="28"/>
      <c r="T160" s="504">
        <f t="shared" si="21"/>
        <v>0</v>
      </c>
      <c r="U160" s="12">
        <f t="shared" si="22"/>
        <v>0</v>
      </c>
      <c r="V160" s="429">
        <f>U160*係数!$H$30</f>
        <v>0</v>
      </c>
      <c r="W160" s="12">
        <f t="shared" si="23"/>
        <v>0</v>
      </c>
      <c r="X160" s="431">
        <f t="shared" si="24"/>
        <v>0</v>
      </c>
    </row>
    <row r="161" spans="2:24" x14ac:dyDescent="0.45">
      <c r="B161" s="208" t="s">
        <v>758</v>
      </c>
      <c r="C161" s="36"/>
      <c r="D161" s="494"/>
      <c r="E161" s="28"/>
      <c r="F161" s="230"/>
      <c r="G161" s="230"/>
      <c r="H161" s="231"/>
      <c r="I161" s="28"/>
      <c r="J161" s="225">
        <f t="shared" si="17"/>
        <v>0</v>
      </c>
      <c r="K161" s="225">
        <f t="shared" si="18"/>
        <v>0</v>
      </c>
      <c r="L161" s="429">
        <f>K161*係数!$H$30</f>
        <v>0</v>
      </c>
      <c r="M161" s="36"/>
      <c r="N161" s="495"/>
      <c r="O161" s="28"/>
      <c r="P161" s="1">
        <f t="shared" si="19"/>
        <v>0</v>
      </c>
      <c r="Q161" s="1">
        <f t="shared" si="20"/>
        <v>0</v>
      </c>
      <c r="R161" s="231"/>
      <c r="S161" s="28"/>
      <c r="T161" s="504">
        <f t="shared" si="21"/>
        <v>0</v>
      </c>
      <c r="U161" s="12">
        <f t="shared" si="22"/>
        <v>0</v>
      </c>
      <c r="V161" s="429">
        <f>U161*係数!$H$30</f>
        <v>0</v>
      </c>
      <c r="W161" s="12">
        <f t="shared" si="23"/>
        <v>0</v>
      </c>
      <c r="X161" s="431">
        <f t="shared" si="24"/>
        <v>0</v>
      </c>
    </row>
    <row r="162" spans="2:24" x14ac:dyDescent="0.45">
      <c r="B162" s="208" t="s">
        <v>759</v>
      </c>
      <c r="C162" s="36"/>
      <c r="D162" s="494"/>
      <c r="E162" s="28"/>
      <c r="F162" s="230"/>
      <c r="G162" s="230"/>
      <c r="H162" s="231"/>
      <c r="I162" s="28"/>
      <c r="J162" s="225">
        <f t="shared" si="17"/>
        <v>0</v>
      </c>
      <c r="K162" s="225">
        <f t="shared" si="18"/>
        <v>0</v>
      </c>
      <c r="L162" s="429">
        <f>K162*係数!$H$30</f>
        <v>0</v>
      </c>
      <c r="M162" s="36"/>
      <c r="N162" s="495"/>
      <c r="O162" s="28"/>
      <c r="P162" s="1">
        <f t="shared" si="19"/>
        <v>0</v>
      </c>
      <c r="Q162" s="1">
        <f t="shared" si="20"/>
        <v>0</v>
      </c>
      <c r="R162" s="231"/>
      <c r="S162" s="28"/>
      <c r="T162" s="504">
        <f t="shared" si="21"/>
        <v>0</v>
      </c>
      <c r="U162" s="12">
        <f t="shared" si="22"/>
        <v>0</v>
      </c>
      <c r="V162" s="429">
        <f>U162*係数!$H$30</f>
        <v>0</v>
      </c>
      <c r="W162" s="12">
        <f t="shared" si="23"/>
        <v>0</v>
      </c>
      <c r="X162" s="431">
        <f t="shared" si="24"/>
        <v>0</v>
      </c>
    </row>
    <row r="163" spans="2:24" x14ac:dyDescent="0.45">
      <c r="B163" s="208" t="s">
        <v>760</v>
      </c>
      <c r="C163" s="36"/>
      <c r="D163" s="494"/>
      <c r="E163" s="28"/>
      <c r="F163" s="230"/>
      <c r="G163" s="230"/>
      <c r="H163" s="231"/>
      <c r="I163" s="28"/>
      <c r="J163" s="225">
        <f t="shared" si="17"/>
        <v>0</v>
      </c>
      <c r="K163" s="225">
        <f t="shared" si="18"/>
        <v>0</v>
      </c>
      <c r="L163" s="429">
        <f>K163*係数!$H$30</f>
        <v>0</v>
      </c>
      <c r="M163" s="36"/>
      <c r="N163" s="495"/>
      <c r="O163" s="28"/>
      <c r="P163" s="1">
        <f t="shared" si="19"/>
        <v>0</v>
      </c>
      <c r="Q163" s="1">
        <f t="shared" si="20"/>
        <v>0</v>
      </c>
      <c r="R163" s="231"/>
      <c r="S163" s="28"/>
      <c r="T163" s="504">
        <f t="shared" si="21"/>
        <v>0</v>
      </c>
      <c r="U163" s="12">
        <f t="shared" si="22"/>
        <v>0</v>
      </c>
      <c r="V163" s="429">
        <f>U163*係数!$H$30</f>
        <v>0</v>
      </c>
      <c r="W163" s="12">
        <f t="shared" si="23"/>
        <v>0</v>
      </c>
      <c r="X163" s="431">
        <f t="shared" si="24"/>
        <v>0</v>
      </c>
    </row>
    <row r="164" spans="2:24" x14ac:dyDescent="0.45">
      <c r="B164" s="208" t="s">
        <v>761</v>
      </c>
      <c r="C164" s="36"/>
      <c r="D164" s="494"/>
      <c r="E164" s="28"/>
      <c r="F164" s="230"/>
      <c r="G164" s="230"/>
      <c r="H164" s="231"/>
      <c r="I164" s="28"/>
      <c r="J164" s="225">
        <f t="shared" si="17"/>
        <v>0</v>
      </c>
      <c r="K164" s="225">
        <f t="shared" si="18"/>
        <v>0</v>
      </c>
      <c r="L164" s="429">
        <f>K164*係数!$H$30</f>
        <v>0</v>
      </c>
      <c r="M164" s="36"/>
      <c r="N164" s="495"/>
      <c r="O164" s="28"/>
      <c r="P164" s="1">
        <f t="shared" si="19"/>
        <v>0</v>
      </c>
      <c r="Q164" s="1">
        <f t="shared" si="20"/>
        <v>0</v>
      </c>
      <c r="R164" s="231"/>
      <c r="S164" s="28"/>
      <c r="T164" s="504">
        <f t="shared" si="21"/>
        <v>0</v>
      </c>
      <c r="U164" s="12">
        <f t="shared" si="22"/>
        <v>0</v>
      </c>
      <c r="V164" s="429">
        <f>U164*係数!$H$30</f>
        <v>0</v>
      </c>
      <c r="W164" s="12">
        <f t="shared" si="23"/>
        <v>0</v>
      </c>
      <c r="X164" s="431">
        <f t="shared" si="24"/>
        <v>0</v>
      </c>
    </row>
    <row r="165" spans="2:24" x14ac:dyDescent="0.45">
      <c r="B165" s="208" t="s">
        <v>762</v>
      </c>
      <c r="C165" s="36"/>
      <c r="D165" s="494"/>
      <c r="E165" s="28"/>
      <c r="F165" s="230"/>
      <c r="G165" s="230"/>
      <c r="H165" s="231"/>
      <c r="I165" s="28"/>
      <c r="J165" s="225">
        <f t="shared" si="17"/>
        <v>0</v>
      </c>
      <c r="K165" s="225">
        <f t="shared" si="18"/>
        <v>0</v>
      </c>
      <c r="L165" s="429">
        <f>K165*係数!$H$30</f>
        <v>0</v>
      </c>
      <c r="M165" s="36"/>
      <c r="N165" s="495"/>
      <c r="O165" s="28"/>
      <c r="P165" s="1">
        <f t="shared" si="19"/>
        <v>0</v>
      </c>
      <c r="Q165" s="1">
        <f t="shared" si="20"/>
        <v>0</v>
      </c>
      <c r="R165" s="231"/>
      <c r="S165" s="28"/>
      <c r="T165" s="504">
        <f t="shared" si="21"/>
        <v>0</v>
      </c>
      <c r="U165" s="12">
        <f t="shared" si="22"/>
        <v>0</v>
      </c>
      <c r="V165" s="429">
        <f>U165*係数!$H$30</f>
        <v>0</v>
      </c>
      <c r="W165" s="12">
        <f t="shared" si="23"/>
        <v>0</v>
      </c>
      <c r="X165" s="431">
        <f t="shared" si="24"/>
        <v>0</v>
      </c>
    </row>
    <row r="166" spans="2:24" x14ac:dyDescent="0.45">
      <c r="B166" s="208" t="s">
        <v>763</v>
      </c>
      <c r="C166" s="36"/>
      <c r="D166" s="494"/>
      <c r="E166" s="28"/>
      <c r="F166" s="230"/>
      <c r="G166" s="230"/>
      <c r="H166" s="231"/>
      <c r="I166" s="28"/>
      <c r="J166" s="225">
        <f t="shared" si="17"/>
        <v>0</v>
      </c>
      <c r="K166" s="225">
        <f t="shared" si="18"/>
        <v>0</v>
      </c>
      <c r="L166" s="429">
        <f>K166*係数!$H$30</f>
        <v>0</v>
      </c>
      <c r="M166" s="36"/>
      <c r="N166" s="495"/>
      <c r="O166" s="28"/>
      <c r="P166" s="1">
        <f t="shared" si="19"/>
        <v>0</v>
      </c>
      <c r="Q166" s="1">
        <f t="shared" si="20"/>
        <v>0</v>
      </c>
      <c r="R166" s="231"/>
      <c r="S166" s="28"/>
      <c r="T166" s="504">
        <f t="shared" si="21"/>
        <v>0</v>
      </c>
      <c r="U166" s="12">
        <f t="shared" si="22"/>
        <v>0</v>
      </c>
      <c r="V166" s="429">
        <f>U166*係数!$H$30</f>
        <v>0</v>
      </c>
      <c r="W166" s="12">
        <f t="shared" si="23"/>
        <v>0</v>
      </c>
      <c r="X166" s="431">
        <f t="shared" si="24"/>
        <v>0</v>
      </c>
    </row>
    <row r="167" spans="2:24" x14ac:dyDescent="0.45">
      <c r="B167" s="208" t="s">
        <v>764</v>
      </c>
      <c r="C167" s="36"/>
      <c r="D167" s="494"/>
      <c r="E167" s="28"/>
      <c r="F167" s="230"/>
      <c r="G167" s="230"/>
      <c r="H167" s="231"/>
      <c r="I167" s="28"/>
      <c r="J167" s="225">
        <f t="shared" si="17"/>
        <v>0</v>
      </c>
      <c r="K167" s="225">
        <f t="shared" si="18"/>
        <v>0</v>
      </c>
      <c r="L167" s="429">
        <f>K167*係数!$H$30</f>
        <v>0</v>
      </c>
      <c r="M167" s="36"/>
      <c r="N167" s="495"/>
      <c r="O167" s="28"/>
      <c r="P167" s="1">
        <f t="shared" si="19"/>
        <v>0</v>
      </c>
      <c r="Q167" s="1">
        <f t="shared" si="20"/>
        <v>0</v>
      </c>
      <c r="R167" s="231"/>
      <c r="S167" s="28"/>
      <c r="T167" s="504">
        <f t="shared" si="21"/>
        <v>0</v>
      </c>
      <c r="U167" s="12">
        <f t="shared" si="22"/>
        <v>0</v>
      </c>
      <c r="V167" s="429">
        <f>U167*係数!$H$30</f>
        <v>0</v>
      </c>
      <c r="W167" s="12">
        <f t="shared" si="23"/>
        <v>0</v>
      </c>
      <c r="X167" s="431">
        <f t="shared" si="24"/>
        <v>0</v>
      </c>
    </row>
    <row r="168" spans="2:24" x14ac:dyDescent="0.45">
      <c r="B168" s="208" t="s">
        <v>765</v>
      </c>
      <c r="C168" s="36"/>
      <c r="D168" s="494"/>
      <c r="E168" s="28"/>
      <c r="F168" s="230"/>
      <c r="G168" s="230"/>
      <c r="H168" s="231"/>
      <c r="I168" s="28"/>
      <c r="J168" s="225">
        <f t="shared" si="17"/>
        <v>0</v>
      </c>
      <c r="K168" s="225">
        <f t="shared" si="18"/>
        <v>0</v>
      </c>
      <c r="L168" s="429">
        <f>K168*係数!$H$30</f>
        <v>0</v>
      </c>
      <c r="M168" s="36"/>
      <c r="N168" s="495"/>
      <c r="O168" s="28"/>
      <c r="P168" s="1">
        <f t="shared" si="19"/>
        <v>0</v>
      </c>
      <c r="Q168" s="1">
        <f t="shared" si="20"/>
        <v>0</v>
      </c>
      <c r="R168" s="231"/>
      <c r="S168" s="28"/>
      <c r="T168" s="504">
        <f t="shared" si="21"/>
        <v>0</v>
      </c>
      <c r="U168" s="12">
        <f t="shared" si="22"/>
        <v>0</v>
      </c>
      <c r="V168" s="429">
        <f>U168*係数!$H$30</f>
        <v>0</v>
      </c>
      <c r="W168" s="12">
        <f t="shared" si="23"/>
        <v>0</v>
      </c>
      <c r="X168" s="431">
        <f t="shared" si="24"/>
        <v>0</v>
      </c>
    </row>
    <row r="169" spans="2:24" x14ac:dyDescent="0.45">
      <c r="B169" s="208" t="s">
        <v>766</v>
      </c>
      <c r="C169" s="36"/>
      <c r="D169" s="494"/>
      <c r="E169" s="28"/>
      <c r="F169" s="230"/>
      <c r="G169" s="230"/>
      <c r="H169" s="231"/>
      <c r="I169" s="28"/>
      <c r="J169" s="225">
        <f t="shared" si="17"/>
        <v>0</v>
      </c>
      <c r="K169" s="225">
        <f t="shared" si="18"/>
        <v>0</v>
      </c>
      <c r="L169" s="429">
        <f>K169*係数!$H$30</f>
        <v>0</v>
      </c>
      <c r="M169" s="36"/>
      <c r="N169" s="495"/>
      <c r="O169" s="28"/>
      <c r="P169" s="1">
        <f t="shared" si="19"/>
        <v>0</v>
      </c>
      <c r="Q169" s="1">
        <f t="shared" si="20"/>
        <v>0</v>
      </c>
      <c r="R169" s="231"/>
      <c r="S169" s="28"/>
      <c r="T169" s="504">
        <f t="shared" si="21"/>
        <v>0</v>
      </c>
      <c r="U169" s="12">
        <f t="shared" si="22"/>
        <v>0</v>
      </c>
      <c r="V169" s="429">
        <f>U169*係数!$H$30</f>
        <v>0</v>
      </c>
      <c r="W169" s="12">
        <f t="shared" si="23"/>
        <v>0</v>
      </c>
      <c r="X169" s="431">
        <f t="shared" si="24"/>
        <v>0</v>
      </c>
    </row>
    <row r="170" spans="2:24" x14ac:dyDescent="0.45">
      <c r="B170" s="208" t="s">
        <v>767</v>
      </c>
      <c r="C170" s="36"/>
      <c r="D170" s="494"/>
      <c r="E170" s="28"/>
      <c r="F170" s="230"/>
      <c r="G170" s="230"/>
      <c r="H170" s="231"/>
      <c r="I170" s="28"/>
      <c r="J170" s="225">
        <f t="shared" si="17"/>
        <v>0</v>
      </c>
      <c r="K170" s="225">
        <f t="shared" si="18"/>
        <v>0</v>
      </c>
      <c r="L170" s="429">
        <f>K170*係数!$H$30</f>
        <v>0</v>
      </c>
      <c r="M170" s="36"/>
      <c r="N170" s="495"/>
      <c r="O170" s="28"/>
      <c r="P170" s="1">
        <f t="shared" si="19"/>
        <v>0</v>
      </c>
      <c r="Q170" s="1">
        <f t="shared" si="20"/>
        <v>0</v>
      </c>
      <c r="R170" s="231"/>
      <c r="S170" s="28"/>
      <c r="T170" s="504">
        <f t="shared" si="21"/>
        <v>0</v>
      </c>
      <c r="U170" s="12">
        <f t="shared" si="22"/>
        <v>0</v>
      </c>
      <c r="V170" s="429">
        <f>U170*係数!$H$30</f>
        <v>0</v>
      </c>
      <c r="W170" s="12">
        <f t="shared" si="23"/>
        <v>0</v>
      </c>
      <c r="X170" s="431">
        <f t="shared" si="24"/>
        <v>0</v>
      </c>
    </row>
    <row r="171" spans="2:24" x14ac:dyDescent="0.45">
      <c r="B171" s="208" t="s">
        <v>768</v>
      </c>
      <c r="C171" s="36"/>
      <c r="D171" s="494"/>
      <c r="E171" s="28"/>
      <c r="F171" s="230"/>
      <c r="G171" s="230"/>
      <c r="H171" s="231"/>
      <c r="I171" s="28"/>
      <c r="J171" s="225">
        <f t="shared" si="17"/>
        <v>0</v>
      </c>
      <c r="K171" s="225">
        <f t="shared" si="18"/>
        <v>0</v>
      </c>
      <c r="L171" s="429">
        <f>K171*係数!$H$30</f>
        <v>0</v>
      </c>
      <c r="M171" s="36"/>
      <c r="N171" s="495"/>
      <c r="O171" s="28"/>
      <c r="P171" s="1">
        <f t="shared" si="19"/>
        <v>0</v>
      </c>
      <c r="Q171" s="1">
        <f t="shared" si="20"/>
        <v>0</v>
      </c>
      <c r="R171" s="231"/>
      <c r="S171" s="28"/>
      <c r="T171" s="504">
        <f t="shared" si="21"/>
        <v>0</v>
      </c>
      <c r="U171" s="12">
        <f t="shared" si="22"/>
        <v>0</v>
      </c>
      <c r="V171" s="429">
        <f>U171*係数!$H$30</f>
        <v>0</v>
      </c>
      <c r="W171" s="12">
        <f t="shared" si="23"/>
        <v>0</v>
      </c>
      <c r="X171" s="431">
        <f t="shared" si="24"/>
        <v>0</v>
      </c>
    </row>
    <row r="172" spans="2:24" x14ac:dyDescent="0.45">
      <c r="B172" s="208" t="s">
        <v>769</v>
      </c>
      <c r="C172" s="36"/>
      <c r="D172" s="494"/>
      <c r="E172" s="28"/>
      <c r="F172" s="230"/>
      <c r="G172" s="230"/>
      <c r="H172" s="231"/>
      <c r="I172" s="28"/>
      <c r="J172" s="225">
        <f t="shared" si="17"/>
        <v>0</v>
      </c>
      <c r="K172" s="225">
        <f t="shared" si="18"/>
        <v>0</v>
      </c>
      <c r="L172" s="429">
        <f>K172*係数!$H$30</f>
        <v>0</v>
      </c>
      <c r="M172" s="36"/>
      <c r="N172" s="495"/>
      <c r="O172" s="28"/>
      <c r="P172" s="1">
        <f t="shared" si="19"/>
        <v>0</v>
      </c>
      <c r="Q172" s="1">
        <f t="shared" si="20"/>
        <v>0</v>
      </c>
      <c r="R172" s="231"/>
      <c r="S172" s="28"/>
      <c r="T172" s="504">
        <f t="shared" si="21"/>
        <v>0</v>
      </c>
      <c r="U172" s="12">
        <f t="shared" si="22"/>
        <v>0</v>
      </c>
      <c r="V172" s="429">
        <f>U172*係数!$H$30</f>
        <v>0</v>
      </c>
      <c r="W172" s="12">
        <f t="shared" si="23"/>
        <v>0</v>
      </c>
      <c r="X172" s="431">
        <f t="shared" si="24"/>
        <v>0</v>
      </c>
    </row>
    <row r="173" spans="2:24" x14ac:dyDescent="0.45">
      <c r="B173" s="208" t="s">
        <v>770</v>
      </c>
      <c r="C173" s="36"/>
      <c r="D173" s="494"/>
      <c r="E173" s="28"/>
      <c r="F173" s="230"/>
      <c r="G173" s="230"/>
      <c r="H173" s="231"/>
      <c r="I173" s="28"/>
      <c r="J173" s="225">
        <f t="shared" si="17"/>
        <v>0</v>
      </c>
      <c r="K173" s="225">
        <f t="shared" si="18"/>
        <v>0</v>
      </c>
      <c r="L173" s="429">
        <f>K173*係数!$H$30</f>
        <v>0</v>
      </c>
      <c r="M173" s="36"/>
      <c r="N173" s="495"/>
      <c r="O173" s="28"/>
      <c r="P173" s="1">
        <f t="shared" si="19"/>
        <v>0</v>
      </c>
      <c r="Q173" s="1">
        <f t="shared" si="20"/>
        <v>0</v>
      </c>
      <c r="R173" s="231"/>
      <c r="S173" s="28"/>
      <c r="T173" s="504">
        <f t="shared" si="21"/>
        <v>0</v>
      </c>
      <c r="U173" s="12">
        <f t="shared" si="22"/>
        <v>0</v>
      </c>
      <c r="V173" s="429">
        <f>U173*係数!$H$30</f>
        <v>0</v>
      </c>
      <c r="W173" s="12">
        <f t="shared" si="23"/>
        <v>0</v>
      </c>
      <c r="X173" s="431">
        <f t="shared" si="24"/>
        <v>0</v>
      </c>
    </row>
    <row r="174" spans="2:24" x14ac:dyDescent="0.45">
      <c r="B174" s="208" t="s">
        <v>771</v>
      </c>
      <c r="C174" s="36"/>
      <c r="D174" s="494"/>
      <c r="E174" s="28"/>
      <c r="F174" s="230"/>
      <c r="G174" s="230"/>
      <c r="H174" s="231"/>
      <c r="I174" s="28"/>
      <c r="J174" s="225">
        <f t="shared" si="17"/>
        <v>0</v>
      </c>
      <c r="K174" s="225">
        <f t="shared" si="18"/>
        <v>0</v>
      </c>
      <c r="L174" s="429">
        <f>K174*係数!$H$30</f>
        <v>0</v>
      </c>
      <c r="M174" s="36"/>
      <c r="N174" s="495"/>
      <c r="O174" s="28"/>
      <c r="P174" s="1">
        <f t="shared" si="19"/>
        <v>0</v>
      </c>
      <c r="Q174" s="1">
        <f t="shared" si="20"/>
        <v>0</v>
      </c>
      <c r="R174" s="231"/>
      <c r="S174" s="28"/>
      <c r="T174" s="504">
        <f t="shared" si="21"/>
        <v>0</v>
      </c>
      <c r="U174" s="12">
        <f t="shared" si="22"/>
        <v>0</v>
      </c>
      <c r="V174" s="429">
        <f>U174*係数!$H$30</f>
        <v>0</v>
      </c>
      <c r="W174" s="12">
        <f t="shared" si="23"/>
        <v>0</v>
      </c>
      <c r="X174" s="431">
        <f t="shared" si="24"/>
        <v>0</v>
      </c>
    </row>
    <row r="175" spans="2:24" x14ac:dyDescent="0.45">
      <c r="B175" s="208" t="s">
        <v>772</v>
      </c>
      <c r="C175" s="36"/>
      <c r="D175" s="494"/>
      <c r="E175" s="28"/>
      <c r="F175" s="230"/>
      <c r="G175" s="230"/>
      <c r="H175" s="231"/>
      <c r="I175" s="28"/>
      <c r="J175" s="225">
        <f t="shared" si="17"/>
        <v>0</v>
      </c>
      <c r="K175" s="225">
        <f t="shared" si="18"/>
        <v>0</v>
      </c>
      <c r="L175" s="429">
        <f>K175*係数!$H$30</f>
        <v>0</v>
      </c>
      <c r="M175" s="36"/>
      <c r="N175" s="495"/>
      <c r="O175" s="28"/>
      <c r="P175" s="1">
        <f t="shared" si="19"/>
        <v>0</v>
      </c>
      <c r="Q175" s="1">
        <f t="shared" si="20"/>
        <v>0</v>
      </c>
      <c r="R175" s="231"/>
      <c r="S175" s="28"/>
      <c r="T175" s="504">
        <f t="shared" si="21"/>
        <v>0</v>
      </c>
      <c r="U175" s="12">
        <f t="shared" si="22"/>
        <v>0</v>
      </c>
      <c r="V175" s="429">
        <f>U175*係数!$H$30</f>
        <v>0</v>
      </c>
      <c r="W175" s="12">
        <f t="shared" si="23"/>
        <v>0</v>
      </c>
      <c r="X175" s="431">
        <f t="shared" si="24"/>
        <v>0</v>
      </c>
    </row>
    <row r="176" spans="2:24" x14ac:dyDescent="0.45">
      <c r="B176" s="208" t="s">
        <v>773</v>
      </c>
      <c r="C176" s="36"/>
      <c r="D176" s="494"/>
      <c r="E176" s="28"/>
      <c r="F176" s="230"/>
      <c r="G176" s="230"/>
      <c r="H176" s="231"/>
      <c r="I176" s="28"/>
      <c r="J176" s="225">
        <f t="shared" si="17"/>
        <v>0</v>
      </c>
      <c r="K176" s="225">
        <f t="shared" si="18"/>
        <v>0</v>
      </c>
      <c r="L176" s="429">
        <f>K176*係数!$H$30</f>
        <v>0</v>
      </c>
      <c r="M176" s="36"/>
      <c r="N176" s="495"/>
      <c r="O176" s="28"/>
      <c r="P176" s="1">
        <f t="shared" si="19"/>
        <v>0</v>
      </c>
      <c r="Q176" s="1">
        <f t="shared" si="20"/>
        <v>0</v>
      </c>
      <c r="R176" s="231"/>
      <c r="S176" s="28"/>
      <c r="T176" s="504">
        <f t="shared" si="21"/>
        <v>0</v>
      </c>
      <c r="U176" s="12">
        <f t="shared" si="22"/>
        <v>0</v>
      </c>
      <c r="V176" s="429">
        <f>U176*係数!$H$30</f>
        <v>0</v>
      </c>
      <c r="W176" s="12">
        <f t="shared" si="23"/>
        <v>0</v>
      </c>
      <c r="X176" s="431">
        <f t="shared" si="24"/>
        <v>0</v>
      </c>
    </row>
    <row r="177" spans="2:24" x14ac:dyDescent="0.45">
      <c r="B177" s="208" t="s">
        <v>774</v>
      </c>
      <c r="C177" s="36"/>
      <c r="D177" s="494"/>
      <c r="E177" s="28"/>
      <c r="F177" s="230"/>
      <c r="G177" s="230"/>
      <c r="H177" s="231"/>
      <c r="I177" s="28"/>
      <c r="J177" s="225">
        <f t="shared" si="17"/>
        <v>0</v>
      </c>
      <c r="K177" s="225">
        <f t="shared" si="18"/>
        <v>0</v>
      </c>
      <c r="L177" s="429">
        <f>K177*係数!$H$30</f>
        <v>0</v>
      </c>
      <c r="M177" s="36"/>
      <c r="N177" s="495"/>
      <c r="O177" s="28"/>
      <c r="P177" s="1">
        <f t="shared" si="19"/>
        <v>0</v>
      </c>
      <c r="Q177" s="1">
        <f t="shared" si="20"/>
        <v>0</v>
      </c>
      <c r="R177" s="231"/>
      <c r="S177" s="28"/>
      <c r="T177" s="504">
        <f t="shared" si="21"/>
        <v>0</v>
      </c>
      <c r="U177" s="12">
        <f t="shared" si="22"/>
        <v>0</v>
      </c>
      <c r="V177" s="429">
        <f>U177*係数!$H$30</f>
        <v>0</v>
      </c>
      <c r="W177" s="12">
        <f t="shared" si="23"/>
        <v>0</v>
      </c>
      <c r="X177" s="431">
        <f t="shared" si="24"/>
        <v>0</v>
      </c>
    </row>
    <row r="178" spans="2:24" x14ac:dyDescent="0.45">
      <c r="B178" s="208" t="s">
        <v>775</v>
      </c>
      <c r="C178" s="36"/>
      <c r="D178" s="494"/>
      <c r="E178" s="28"/>
      <c r="F178" s="230"/>
      <c r="G178" s="230"/>
      <c r="H178" s="231"/>
      <c r="I178" s="28"/>
      <c r="J178" s="225">
        <f t="shared" si="17"/>
        <v>0</v>
      </c>
      <c r="K178" s="225">
        <f t="shared" si="18"/>
        <v>0</v>
      </c>
      <c r="L178" s="429">
        <f>K178*係数!$H$30</f>
        <v>0</v>
      </c>
      <c r="M178" s="36"/>
      <c r="N178" s="495"/>
      <c r="O178" s="28"/>
      <c r="P178" s="1">
        <f t="shared" si="19"/>
        <v>0</v>
      </c>
      <c r="Q178" s="1">
        <f t="shared" si="20"/>
        <v>0</v>
      </c>
      <c r="R178" s="231"/>
      <c r="S178" s="28"/>
      <c r="T178" s="504">
        <f t="shared" si="21"/>
        <v>0</v>
      </c>
      <c r="U178" s="12">
        <f t="shared" si="22"/>
        <v>0</v>
      </c>
      <c r="V178" s="429">
        <f>U178*係数!$H$30</f>
        <v>0</v>
      </c>
      <c r="W178" s="12">
        <f t="shared" si="23"/>
        <v>0</v>
      </c>
      <c r="X178" s="431">
        <f t="shared" si="24"/>
        <v>0</v>
      </c>
    </row>
    <row r="179" spans="2:24" x14ac:dyDescent="0.45">
      <c r="B179" s="208" t="s">
        <v>776</v>
      </c>
      <c r="C179" s="36"/>
      <c r="D179" s="494"/>
      <c r="E179" s="28"/>
      <c r="F179" s="230"/>
      <c r="G179" s="230"/>
      <c r="H179" s="231"/>
      <c r="I179" s="28"/>
      <c r="J179" s="225">
        <f t="shared" si="17"/>
        <v>0</v>
      </c>
      <c r="K179" s="225">
        <f t="shared" si="18"/>
        <v>0</v>
      </c>
      <c r="L179" s="429">
        <f>K179*係数!$H$30</f>
        <v>0</v>
      </c>
      <c r="M179" s="36"/>
      <c r="N179" s="495"/>
      <c r="O179" s="28"/>
      <c r="P179" s="1">
        <f t="shared" si="19"/>
        <v>0</v>
      </c>
      <c r="Q179" s="1">
        <f t="shared" si="20"/>
        <v>0</v>
      </c>
      <c r="R179" s="231"/>
      <c r="S179" s="28"/>
      <c r="T179" s="504">
        <f t="shared" si="21"/>
        <v>0</v>
      </c>
      <c r="U179" s="12">
        <f t="shared" si="22"/>
        <v>0</v>
      </c>
      <c r="V179" s="429">
        <f>U179*係数!$H$30</f>
        <v>0</v>
      </c>
      <c r="W179" s="12">
        <f t="shared" si="23"/>
        <v>0</v>
      </c>
      <c r="X179" s="431">
        <f t="shared" si="24"/>
        <v>0</v>
      </c>
    </row>
    <row r="180" spans="2:24" x14ac:dyDescent="0.45">
      <c r="B180" s="208" t="s">
        <v>777</v>
      </c>
      <c r="C180" s="36"/>
      <c r="D180" s="494"/>
      <c r="E180" s="28"/>
      <c r="F180" s="230"/>
      <c r="G180" s="230"/>
      <c r="H180" s="231"/>
      <c r="I180" s="28"/>
      <c r="J180" s="225">
        <f t="shared" si="17"/>
        <v>0</v>
      </c>
      <c r="K180" s="225">
        <f t="shared" si="18"/>
        <v>0</v>
      </c>
      <c r="L180" s="429">
        <f>K180*係数!$H$30</f>
        <v>0</v>
      </c>
      <c r="M180" s="36"/>
      <c r="N180" s="495"/>
      <c r="O180" s="28"/>
      <c r="P180" s="1">
        <f t="shared" si="19"/>
        <v>0</v>
      </c>
      <c r="Q180" s="1">
        <f t="shared" si="20"/>
        <v>0</v>
      </c>
      <c r="R180" s="231"/>
      <c r="S180" s="28"/>
      <c r="T180" s="504">
        <f t="shared" si="21"/>
        <v>0</v>
      </c>
      <c r="U180" s="12">
        <f t="shared" si="22"/>
        <v>0</v>
      </c>
      <c r="V180" s="429">
        <f>U180*係数!$H$30</f>
        <v>0</v>
      </c>
      <c r="W180" s="12">
        <f t="shared" si="23"/>
        <v>0</v>
      </c>
      <c r="X180" s="431">
        <f t="shared" si="24"/>
        <v>0</v>
      </c>
    </row>
    <row r="181" spans="2:24" x14ac:dyDescent="0.45">
      <c r="B181" s="208" t="s">
        <v>778</v>
      </c>
      <c r="C181" s="36"/>
      <c r="D181" s="494"/>
      <c r="E181" s="28"/>
      <c r="F181" s="230"/>
      <c r="G181" s="230"/>
      <c r="H181" s="231"/>
      <c r="I181" s="28"/>
      <c r="J181" s="225">
        <f t="shared" si="17"/>
        <v>0</v>
      </c>
      <c r="K181" s="225">
        <f t="shared" si="18"/>
        <v>0</v>
      </c>
      <c r="L181" s="429">
        <f>K181*係数!$H$30</f>
        <v>0</v>
      </c>
      <c r="M181" s="36"/>
      <c r="N181" s="495"/>
      <c r="O181" s="28"/>
      <c r="P181" s="1">
        <f t="shared" si="19"/>
        <v>0</v>
      </c>
      <c r="Q181" s="1">
        <f t="shared" si="20"/>
        <v>0</v>
      </c>
      <c r="R181" s="231"/>
      <c r="S181" s="28"/>
      <c r="T181" s="504">
        <f t="shared" si="21"/>
        <v>0</v>
      </c>
      <c r="U181" s="12">
        <f t="shared" si="22"/>
        <v>0</v>
      </c>
      <c r="V181" s="429">
        <f>U181*係数!$H$30</f>
        <v>0</v>
      </c>
      <c r="W181" s="12">
        <f t="shared" si="23"/>
        <v>0</v>
      </c>
      <c r="X181" s="431">
        <f t="shared" si="24"/>
        <v>0</v>
      </c>
    </row>
    <row r="182" spans="2:24" x14ac:dyDescent="0.45">
      <c r="B182" s="208" t="s">
        <v>779</v>
      </c>
      <c r="C182" s="36"/>
      <c r="D182" s="494"/>
      <c r="E182" s="28"/>
      <c r="F182" s="230"/>
      <c r="G182" s="230"/>
      <c r="H182" s="231"/>
      <c r="I182" s="28"/>
      <c r="J182" s="225">
        <f t="shared" si="17"/>
        <v>0</v>
      </c>
      <c r="K182" s="225">
        <f t="shared" si="18"/>
        <v>0</v>
      </c>
      <c r="L182" s="429">
        <f>K182*係数!$H$30</f>
        <v>0</v>
      </c>
      <c r="M182" s="36"/>
      <c r="N182" s="495"/>
      <c r="O182" s="28"/>
      <c r="P182" s="1">
        <f t="shared" si="19"/>
        <v>0</v>
      </c>
      <c r="Q182" s="1">
        <f t="shared" si="20"/>
        <v>0</v>
      </c>
      <c r="R182" s="231"/>
      <c r="S182" s="28"/>
      <c r="T182" s="504">
        <f t="shared" si="21"/>
        <v>0</v>
      </c>
      <c r="U182" s="12">
        <f t="shared" si="22"/>
        <v>0</v>
      </c>
      <c r="V182" s="429">
        <f>U182*係数!$H$30</f>
        <v>0</v>
      </c>
      <c r="W182" s="12">
        <f t="shared" si="23"/>
        <v>0</v>
      </c>
      <c r="X182" s="431">
        <f t="shared" si="24"/>
        <v>0</v>
      </c>
    </row>
    <row r="183" spans="2:24" x14ac:dyDescent="0.45">
      <c r="B183" s="208" t="s">
        <v>780</v>
      </c>
      <c r="C183" s="36"/>
      <c r="D183" s="494"/>
      <c r="E183" s="28"/>
      <c r="F183" s="230"/>
      <c r="G183" s="230"/>
      <c r="H183" s="231"/>
      <c r="I183" s="28"/>
      <c r="J183" s="225">
        <f t="shared" si="17"/>
        <v>0</v>
      </c>
      <c r="K183" s="225">
        <f t="shared" si="18"/>
        <v>0</v>
      </c>
      <c r="L183" s="429">
        <f>K183*係数!$H$30</f>
        <v>0</v>
      </c>
      <c r="M183" s="36"/>
      <c r="N183" s="495"/>
      <c r="O183" s="28"/>
      <c r="P183" s="1">
        <f t="shared" si="19"/>
        <v>0</v>
      </c>
      <c r="Q183" s="1">
        <f t="shared" si="20"/>
        <v>0</v>
      </c>
      <c r="R183" s="231"/>
      <c r="S183" s="28"/>
      <c r="T183" s="504">
        <f t="shared" si="21"/>
        <v>0</v>
      </c>
      <c r="U183" s="12">
        <f t="shared" si="22"/>
        <v>0</v>
      </c>
      <c r="V183" s="429">
        <f>U183*係数!$H$30</f>
        <v>0</v>
      </c>
      <c r="W183" s="12">
        <f t="shared" si="23"/>
        <v>0</v>
      </c>
      <c r="X183" s="431">
        <f t="shared" si="24"/>
        <v>0</v>
      </c>
    </row>
    <row r="184" spans="2:24" x14ac:dyDescent="0.45">
      <c r="B184" s="208" t="s">
        <v>781</v>
      </c>
      <c r="C184" s="36"/>
      <c r="D184" s="494"/>
      <c r="E184" s="28"/>
      <c r="F184" s="230"/>
      <c r="G184" s="230"/>
      <c r="H184" s="231"/>
      <c r="I184" s="28"/>
      <c r="J184" s="225">
        <f t="shared" si="17"/>
        <v>0</v>
      </c>
      <c r="K184" s="225">
        <f t="shared" si="18"/>
        <v>0</v>
      </c>
      <c r="L184" s="429">
        <f>K184*係数!$H$30</f>
        <v>0</v>
      </c>
      <c r="M184" s="36"/>
      <c r="N184" s="495"/>
      <c r="O184" s="28"/>
      <c r="P184" s="1">
        <f t="shared" si="19"/>
        <v>0</v>
      </c>
      <c r="Q184" s="1">
        <f t="shared" si="20"/>
        <v>0</v>
      </c>
      <c r="R184" s="231"/>
      <c r="S184" s="28"/>
      <c r="T184" s="504">
        <f t="shared" si="21"/>
        <v>0</v>
      </c>
      <c r="U184" s="12">
        <f t="shared" si="22"/>
        <v>0</v>
      </c>
      <c r="V184" s="429">
        <f>U184*係数!$H$30</f>
        <v>0</v>
      </c>
      <c r="W184" s="12">
        <f t="shared" si="23"/>
        <v>0</v>
      </c>
      <c r="X184" s="431">
        <f t="shared" si="24"/>
        <v>0</v>
      </c>
    </row>
    <row r="185" spans="2:24" x14ac:dyDescent="0.45">
      <c r="B185" s="208" t="s">
        <v>782</v>
      </c>
      <c r="C185" s="36"/>
      <c r="D185" s="494"/>
      <c r="E185" s="28"/>
      <c r="F185" s="230"/>
      <c r="G185" s="230"/>
      <c r="H185" s="231"/>
      <c r="I185" s="28"/>
      <c r="J185" s="225">
        <f t="shared" si="17"/>
        <v>0</v>
      </c>
      <c r="K185" s="225">
        <f t="shared" si="18"/>
        <v>0</v>
      </c>
      <c r="L185" s="429">
        <f>K185*係数!$H$30</f>
        <v>0</v>
      </c>
      <c r="M185" s="36"/>
      <c r="N185" s="495"/>
      <c r="O185" s="28"/>
      <c r="P185" s="1">
        <f t="shared" si="19"/>
        <v>0</v>
      </c>
      <c r="Q185" s="1">
        <f t="shared" si="20"/>
        <v>0</v>
      </c>
      <c r="R185" s="231"/>
      <c r="S185" s="28"/>
      <c r="T185" s="504">
        <f t="shared" si="21"/>
        <v>0</v>
      </c>
      <c r="U185" s="12">
        <f t="shared" si="22"/>
        <v>0</v>
      </c>
      <c r="V185" s="429">
        <f>U185*係数!$H$30</f>
        <v>0</v>
      </c>
      <c r="W185" s="12">
        <f t="shared" si="23"/>
        <v>0</v>
      </c>
      <c r="X185" s="431">
        <f t="shared" si="24"/>
        <v>0</v>
      </c>
    </row>
    <row r="186" spans="2:24" x14ac:dyDescent="0.45">
      <c r="B186" s="208" t="s">
        <v>783</v>
      </c>
      <c r="C186" s="36"/>
      <c r="D186" s="494"/>
      <c r="E186" s="28"/>
      <c r="F186" s="230"/>
      <c r="G186" s="230"/>
      <c r="H186" s="231"/>
      <c r="I186" s="28"/>
      <c r="J186" s="225">
        <f t="shared" si="17"/>
        <v>0</v>
      </c>
      <c r="K186" s="225">
        <f t="shared" si="18"/>
        <v>0</v>
      </c>
      <c r="L186" s="429">
        <f>K186*係数!$H$30</f>
        <v>0</v>
      </c>
      <c r="M186" s="36"/>
      <c r="N186" s="495"/>
      <c r="O186" s="28"/>
      <c r="P186" s="1">
        <f t="shared" si="19"/>
        <v>0</v>
      </c>
      <c r="Q186" s="1">
        <f t="shared" si="20"/>
        <v>0</v>
      </c>
      <c r="R186" s="231"/>
      <c r="S186" s="28"/>
      <c r="T186" s="504">
        <f t="shared" si="21"/>
        <v>0</v>
      </c>
      <c r="U186" s="12">
        <f t="shared" si="22"/>
        <v>0</v>
      </c>
      <c r="V186" s="429">
        <f>U186*係数!$H$30</f>
        <v>0</v>
      </c>
      <c r="W186" s="12">
        <f t="shared" si="23"/>
        <v>0</v>
      </c>
      <c r="X186" s="431">
        <f t="shared" si="24"/>
        <v>0</v>
      </c>
    </row>
    <row r="187" spans="2:24" x14ac:dyDescent="0.45">
      <c r="B187" s="208" t="s">
        <v>784</v>
      </c>
      <c r="C187" s="36"/>
      <c r="D187" s="494"/>
      <c r="E187" s="28"/>
      <c r="F187" s="230"/>
      <c r="G187" s="230"/>
      <c r="H187" s="231"/>
      <c r="I187" s="28"/>
      <c r="J187" s="225">
        <f t="shared" si="17"/>
        <v>0</v>
      </c>
      <c r="K187" s="225">
        <f t="shared" si="18"/>
        <v>0</v>
      </c>
      <c r="L187" s="429">
        <f>K187*係数!$H$30</f>
        <v>0</v>
      </c>
      <c r="M187" s="36"/>
      <c r="N187" s="495"/>
      <c r="O187" s="28"/>
      <c r="P187" s="1">
        <f t="shared" si="19"/>
        <v>0</v>
      </c>
      <c r="Q187" s="1">
        <f t="shared" si="20"/>
        <v>0</v>
      </c>
      <c r="R187" s="231"/>
      <c r="S187" s="28"/>
      <c r="T187" s="504">
        <f t="shared" si="21"/>
        <v>0</v>
      </c>
      <c r="U187" s="12">
        <f t="shared" si="22"/>
        <v>0</v>
      </c>
      <c r="V187" s="429">
        <f>U187*係数!$H$30</f>
        <v>0</v>
      </c>
      <c r="W187" s="12">
        <f t="shared" si="23"/>
        <v>0</v>
      </c>
      <c r="X187" s="431">
        <f t="shared" si="24"/>
        <v>0</v>
      </c>
    </row>
    <row r="188" spans="2:24" x14ac:dyDescent="0.45">
      <c r="B188" s="208" t="s">
        <v>785</v>
      </c>
      <c r="C188" s="36"/>
      <c r="D188" s="494"/>
      <c r="E188" s="28"/>
      <c r="F188" s="230"/>
      <c r="G188" s="230"/>
      <c r="H188" s="231"/>
      <c r="I188" s="28"/>
      <c r="J188" s="225">
        <f t="shared" si="17"/>
        <v>0</v>
      </c>
      <c r="K188" s="225">
        <f t="shared" si="18"/>
        <v>0</v>
      </c>
      <c r="L188" s="429">
        <f>K188*係数!$H$30</f>
        <v>0</v>
      </c>
      <c r="M188" s="36"/>
      <c r="N188" s="495"/>
      <c r="O188" s="28"/>
      <c r="P188" s="1">
        <f t="shared" si="19"/>
        <v>0</v>
      </c>
      <c r="Q188" s="1">
        <f t="shared" si="20"/>
        <v>0</v>
      </c>
      <c r="R188" s="231"/>
      <c r="S188" s="28"/>
      <c r="T188" s="504">
        <f t="shared" si="21"/>
        <v>0</v>
      </c>
      <c r="U188" s="12">
        <f t="shared" si="22"/>
        <v>0</v>
      </c>
      <c r="V188" s="429">
        <f>U188*係数!$H$30</f>
        <v>0</v>
      </c>
      <c r="W188" s="12">
        <f t="shared" si="23"/>
        <v>0</v>
      </c>
      <c r="X188" s="431">
        <f t="shared" si="24"/>
        <v>0</v>
      </c>
    </row>
    <row r="189" spans="2:24" x14ac:dyDescent="0.45">
      <c r="B189" s="208" t="s">
        <v>786</v>
      </c>
      <c r="C189" s="36"/>
      <c r="D189" s="494"/>
      <c r="E189" s="28"/>
      <c r="F189" s="230"/>
      <c r="G189" s="230"/>
      <c r="H189" s="231"/>
      <c r="I189" s="28"/>
      <c r="J189" s="225">
        <f t="shared" si="17"/>
        <v>0</v>
      </c>
      <c r="K189" s="225">
        <f t="shared" si="18"/>
        <v>0</v>
      </c>
      <c r="L189" s="429">
        <f>K189*係数!$H$30</f>
        <v>0</v>
      </c>
      <c r="M189" s="36"/>
      <c r="N189" s="495"/>
      <c r="O189" s="28"/>
      <c r="P189" s="1">
        <f t="shared" si="19"/>
        <v>0</v>
      </c>
      <c r="Q189" s="1">
        <f t="shared" si="20"/>
        <v>0</v>
      </c>
      <c r="R189" s="231"/>
      <c r="S189" s="28"/>
      <c r="T189" s="504">
        <f t="shared" si="21"/>
        <v>0</v>
      </c>
      <c r="U189" s="12">
        <f t="shared" si="22"/>
        <v>0</v>
      </c>
      <c r="V189" s="429">
        <f>U189*係数!$H$30</f>
        <v>0</v>
      </c>
      <c r="W189" s="12">
        <f t="shared" si="23"/>
        <v>0</v>
      </c>
      <c r="X189" s="431">
        <f t="shared" si="24"/>
        <v>0</v>
      </c>
    </row>
    <row r="190" spans="2:24" x14ac:dyDescent="0.45">
      <c r="B190" s="208" t="s">
        <v>787</v>
      </c>
      <c r="C190" s="36"/>
      <c r="D190" s="494"/>
      <c r="E190" s="28"/>
      <c r="F190" s="230"/>
      <c r="G190" s="230"/>
      <c r="H190" s="231"/>
      <c r="I190" s="28"/>
      <c r="J190" s="225">
        <f t="shared" si="17"/>
        <v>0</v>
      </c>
      <c r="K190" s="225">
        <f t="shared" si="18"/>
        <v>0</v>
      </c>
      <c r="L190" s="429">
        <f>K190*係数!$H$30</f>
        <v>0</v>
      </c>
      <c r="M190" s="36"/>
      <c r="N190" s="495"/>
      <c r="O190" s="28"/>
      <c r="P190" s="1">
        <f t="shared" si="19"/>
        <v>0</v>
      </c>
      <c r="Q190" s="1">
        <f t="shared" si="20"/>
        <v>0</v>
      </c>
      <c r="R190" s="231"/>
      <c r="S190" s="28"/>
      <c r="T190" s="504">
        <f t="shared" si="21"/>
        <v>0</v>
      </c>
      <c r="U190" s="12">
        <f t="shared" si="22"/>
        <v>0</v>
      </c>
      <c r="V190" s="429">
        <f>U190*係数!$H$30</f>
        <v>0</v>
      </c>
      <c r="W190" s="12">
        <f t="shared" si="23"/>
        <v>0</v>
      </c>
      <c r="X190" s="431">
        <f t="shared" si="24"/>
        <v>0</v>
      </c>
    </row>
    <row r="191" spans="2:24" x14ac:dyDescent="0.45">
      <c r="B191" s="208" t="s">
        <v>788</v>
      </c>
      <c r="C191" s="36"/>
      <c r="D191" s="494"/>
      <c r="E191" s="28"/>
      <c r="F191" s="230"/>
      <c r="G191" s="230"/>
      <c r="H191" s="231"/>
      <c r="I191" s="28"/>
      <c r="J191" s="225">
        <f t="shared" si="17"/>
        <v>0</v>
      </c>
      <c r="K191" s="225">
        <f t="shared" si="18"/>
        <v>0</v>
      </c>
      <c r="L191" s="429">
        <f>K191*係数!$H$30</f>
        <v>0</v>
      </c>
      <c r="M191" s="36"/>
      <c r="N191" s="495"/>
      <c r="O191" s="28"/>
      <c r="P191" s="1">
        <f t="shared" si="19"/>
        <v>0</v>
      </c>
      <c r="Q191" s="1">
        <f t="shared" si="20"/>
        <v>0</v>
      </c>
      <c r="R191" s="231"/>
      <c r="S191" s="28"/>
      <c r="T191" s="504">
        <f t="shared" si="21"/>
        <v>0</v>
      </c>
      <c r="U191" s="12">
        <f t="shared" si="22"/>
        <v>0</v>
      </c>
      <c r="V191" s="429">
        <f>U191*係数!$H$30</f>
        <v>0</v>
      </c>
      <c r="W191" s="12">
        <f t="shared" si="23"/>
        <v>0</v>
      </c>
      <c r="X191" s="431">
        <f t="shared" si="24"/>
        <v>0</v>
      </c>
    </row>
    <row r="192" spans="2:24" x14ac:dyDescent="0.45">
      <c r="B192" s="208" t="s">
        <v>789</v>
      </c>
      <c r="C192" s="36"/>
      <c r="D192" s="494"/>
      <c r="E192" s="28"/>
      <c r="F192" s="230"/>
      <c r="G192" s="230"/>
      <c r="H192" s="231"/>
      <c r="I192" s="28"/>
      <c r="J192" s="225">
        <f t="shared" si="17"/>
        <v>0</v>
      </c>
      <c r="K192" s="225">
        <f t="shared" si="18"/>
        <v>0</v>
      </c>
      <c r="L192" s="429">
        <f>K192*係数!$H$30</f>
        <v>0</v>
      </c>
      <c r="M192" s="36"/>
      <c r="N192" s="495"/>
      <c r="O192" s="28"/>
      <c r="P192" s="1">
        <f t="shared" si="19"/>
        <v>0</v>
      </c>
      <c r="Q192" s="1">
        <f t="shared" si="20"/>
        <v>0</v>
      </c>
      <c r="R192" s="231"/>
      <c r="S192" s="28"/>
      <c r="T192" s="504">
        <f t="shared" si="21"/>
        <v>0</v>
      </c>
      <c r="U192" s="12">
        <f t="shared" si="22"/>
        <v>0</v>
      </c>
      <c r="V192" s="429">
        <f>U192*係数!$H$30</f>
        <v>0</v>
      </c>
      <c r="W192" s="12">
        <f t="shared" si="23"/>
        <v>0</v>
      </c>
      <c r="X192" s="431">
        <f t="shared" si="24"/>
        <v>0</v>
      </c>
    </row>
    <row r="193" spans="2:24" x14ac:dyDescent="0.45">
      <c r="B193" s="208" t="s">
        <v>790</v>
      </c>
      <c r="C193" s="36"/>
      <c r="D193" s="494"/>
      <c r="E193" s="28"/>
      <c r="F193" s="230"/>
      <c r="G193" s="230"/>
      <c r="H193" s="231"/>
      <c r="I193" s="28"/>
      <c r="J193" s="225">
        <f t="shared" si="17"/>
        <v>0</v>
      </c>
      <c r="K193" s="225">
        <f t="shared" si="18"/>
        <v>0</v>
      </c>
      <c r="L193" s="429">
        <f>K193*係数!$H$30</f>
        <v>0</v>
      </c>
      <c r="M193" s="36"/>
      <c r="N193" s="495"/>
      <c r="O193" s="28"/>
      <c r="P193" s="1">
        <f t="shared" si="19"/>
        <v>0</v>
      </c>
      <c r="Q193" s="1">
        <f t="shared" si="20"/>
        <v>0</v>
      </c>
      <c r="R193" s="231"/>
      <c r="S193" s="28"/>
      <c r="T193" s="504">
        <f t="shared" si="21"/>
        <v>0</v>
      </c>
      <c r="U193" s="12">
        <f t="shared" si="22"/>
        <v>0</v>
      </c>
      <c r="V193" s="429">
        <f>U193*係数!$H$30</f>
        <v>0</v>
      </c>
      <c r="W193" s="12">
        <f t="shared" si="23"/>
        <v>0</v>
      </c>
      <c r="X193" s="431">
        <f t="shared" si="24"/>
        <v>0</v>
      </c>
    </row>
    <row r="194" spans="2:24" x14ac:dyDescent="0.45">
      <c r="B194" s="208" t="s">
        <v>791</v>
      </c>
      <c r="C194" s="36"/>
      <c r="D194" s="494"/>
      <c r="E194" s="28"/>
      <c r="F194" s="230"/>
      <c r="G194" s="230"/>
      <c r="H194" s="231"/>
      <c r="I194" s="28"/>
      <c r="J194" s="225">
        <f t="shared" si="17"/>
        <v>0</v>
      </c>
      <c r="K194" s="225">
        <f t="shared" si="18"/>
        <v>0</v>
      </c>
      <c r="L194" s="429">
        <f>K194*係数!$H$30</f>
        <v>0</v>
      </c>
      <c r="M194" s="36"/>
      <c r="N194" s="495"/>
      <c r="O194" s="28"/>
      <c r="P194" s="1">
        <f t="shared" si="19"/>
        <v>0</v>
      </c>
      <c r="Q194" s="1">
        <f t="shared" si="20"/>
        <v>0</v>
      </c>
      <c r="R194" s="231"/>
      <c r="S194" s="28"/>
      <c r="T194" s="504">
        <f t="shared" si="21"/>
        <v>0</v>
      </c>
      <c r="U194" s="12">
        <f t="shared" si="22"/>
        <v>0</v>
      </c>
      <c r="V194" s="429">
        <f>U194*係数!$H$30</f>
        <v>0</v>
      </c>
      <c r="W194" s="12">
        <f t="shared" si="23"/>
        <v>0</v>
      </c>
      <c r="X194" s="431">
        <f t="shared" si="24"/>
        <v>0</v>
      </c>
    </row>
    <row r="195" spans="2:24" x14ac:dyDescent="0.45">
      <c r="B195" s="208" t="s">
        <v>792</v>
      </c>
      <c r="C195" s="36"/>
      <c r="D195" s="494"/>
      <c r="E195" s="28"/>
      <c r="F195" s="230"/>
      <c r="G195" s="230"/>
      <c r="H195" s="231"/>
      <c r="I195" s="28"/>
      <c r="J195" s="225">
        <f t="shared" si="17"/>
        <v>0</v>
      </c>
      <c r="K195" s="225">
        <f t="shared" si="18"/>
        <v>0</v>
      </c>
      <c r="L195" s="429">
        <f>K195*係数!$H$30</f>
        <v>0</v>
      </c>
      <c r="M195" s="36"/>
      <c r="N195" s="495"/>
      <c r="O195" s="28"/>
      <c r="P195" s="1">
        <f t="shared" si="19"/>
        <v>0</v>
      </c>
      <c r="Q195" s="1">
        <f t="shared" si="20"/>
        <v>0</v>
      </c>
      <c r="R195" s="231"/>
      <c r="S195" s="28"/>
      <c r="T195" s="504">
        <f t="shared" si="21"/>
        <v>0</v>
      </c>
      <c r="U195" s="12">
        <f t="shared" si="22"/>
        <v>0</v>
      </c>
      <c r="V195" s="429">
        <f>U195*係数!$H$30</f>
        <v>0</v>
      </c>
      <c r="W195" s="12">
        <f t="shared" si="23"/>
        <v>0</v>
      </c>
      <c r="X195" s="431">
        <f t="shared" si="24"/>
        <v>0</v>
      </c>
    </row>
    <row r="196" spans="2:24" x14ac:dyDescent="0.45">
      <c r="B196" s="208" t="s">
        <v>793</v>
      </c>
      <c r="C196" s="36"/>
      <c r="D196" s="494"/>
      <c r="E196" s="28"/>
      <c r="F196" s="230"/>
      <c r="G196" s="230"/>
      <c r="H196" s="231"/>
      <c r="I196" s="28"/>
      <c r="J196" s="225">
        <f t="shared" ref="J196:J217" si="25">IF(H196="",F196*G196,F196*G196*I196/100)</f>
        <v>0</v>
      </c>
      <c r="K196" s="225">
        <f t="shared" ref="K196:K217" si="26">D196*E196*J196/1000</f>
        <v>0</v>
      </c>
      <c r="L196" s="429">
        <f>K196*係数!$H$30</f>
        <v>0</v>
      </c>
      <c r="M196" s="36"/>
      <c r="N196" s="495"/>
      <c r="O196" s="28"/>
      <c r="P196" s="1">
        <f t="shared" ref="P196:P217" si="27">IF(F196=0,0,F196)</f>
        <v>0</v>
      </c>
      <c r="Q196" s="1">
        <f t="shared" ref="Q196:Q217" si="28">IF(G196=0,0,G196)</f>
        <v>0</v>
      </c>
      <c r="R196" s="231"/>
      <c r="S196" s="28"/>
      <c r="T196" s="504">
        <f t="shared" ref="T196:T217" si="29">IF(R196="",P196*Q196,P196*Q196*S196/100)</f>
        <v>0</v>
      </c>
      <c r="U196" s="12">
        <f t="shared" ref="U196:U217" si="30">N196*O196*T196/1000</f>
        <v>0</v>
      </c>
      <c r="V196" s="429">
        <f>U196*係数!$H$30</f>
        <v>0</v>
      </c>
      <c r="W196" s="12">
        <f t="shared" ref="W196:W217" si="31">K196-U196</f>
        <v>0</v>
      </c>
      <c r="X196" s="431">
        <f t="shared" ref="X196:X217" si="32">L196-V196</f>
        <v>0</v>
      </c>
    </row>
    <row r="197" spans="2:24" x14ac:dyDescent="0.45">
      <c r="B197" s="208" t="s">
        <v>794</v>
      </c>
      <c r="C197" s="36"/>
      <c r="D197" s="494"/>
      <c r="E197" s="28"/>
      <c r="F197" s="230"/>
      <c r="G197" s="230"/>
      <c r="H197" s="231"/>
      <c r="I197" s="28"/>
      <c r="J197" s="225">
        <f t="shared" si="25"/>
        <v>0</v>
      </c>
      <c r="K197" s="225">
        <f t="shared" si="26"/>
        <v>0</v>
      </c>
      <c r="L197" s="429">
        <f>K197*係数!$H$30</f>
        <v>0</v>
      </c>
      <c r="M197" s="36"/>
      <c r="N197" s="495"/>
      <c r="O197" s="28"/>
      <c r="P197" s="1">
        <f t="shared" si="27"/>
        <v>0</v>
      </c>
      <c r="Q197" s="1">
        <f t="shared" si="28"/>
        <v>0</v>
      </c>
      <c r="R197" s="231"/>
      <c r="S197" s="28"/>
      <c r="T197" s="504">
        <f t="shared" si="29"/>
        <v>0</v>
      </c>
      <c r="U197" s="12">
        <f t="shared" si="30"/>
        <v>0</v>
      </c>
      <c r="V197" s="429">
        <f>U197*係数!$H$30</f>
        <v>0</v>
      </c>
      <c r="W197" s="12">
        <f t="shared" si="31"/>
        <v>0</v>
      </c>
      <c r="X197" s="431">
        <f t="shared" si="32"/>
        <v>0</v>
      </c>
    </row>
    <row r="198" spans="2:24" x14ac:dyDescent="0.45">
      <c r="B198" s="208" t="s">
        <v>795</v>
      </c>
      <c r="C198" s="36"/>
      <c r="D198" s="494"/>
      <c r="E198" s="28"/>
      <c r="F198" s="230"/>
      <c r="G198" s="230"/>
      <c r="H198" s="231"/>
      <c r="I198" s="28"/>
      <c r="J198" s="225">
        <f t="shared" si="25"/>
        <v>0</v>
      </c>
      <c r="K198" s="225">
        <f t="shared" si="26"/>
        <v>0</v>
      </c>
      <c r="L198" s="429">
        <f>K198*係数!$H$30</f>
        <v>0</v>
      </c>
      <c r="M198" s="36"/>
      <c r="N198" s="495"/>
      <c r="O198" s="28"/>
      <c r="P198" s="1">
        <f t="shared" si="27"/>
        <v>0</v>
      </c>
      <c r="Q198" s="1">
        <f t="shared" si="28"/>
        <v>0</v>
      </c>
      <c r="R198" s="231"/>
      <c r="S198" s="28"/>
      <c r="T198" s="504">
        <f t="shared" si="29"/>
        <v>0</v>
      </c>
      <c r="U198" s="12">
        <f t="shared" si="30"/>
        <v>0</v>
      </c>
      <c r="V198" s="429">
        <f>U198*係数!$H$30</f>
        <v>0</v>
      </c>
      <c r="W198" s="12">
        <f t="shared" si="31"/>
        <v>0</v>
      </c>
      <c r="X198" s="431">
        <f t="shared" si="32"/>
        <v>0</v>
      </c>
    </row>
    <row r="199" spans="2:24" x14ac:dyDescent="0.45">
      <c r="B199" s="208" t="s">
        <v>796</v>
      </c>
      <c r="C199" s="36"/>
      <c r="D199" s="494"/>
      <c r="E199" s="28"/>
      <c r="F199" s="230"/>
      <c r="G199" s="230"/>
      <c r="H199" s="231"/>
      <c r="I199" s="28"/>
      <c r="J199" s="225">
        <f t="shared" si="25"/>
        <v>0</v>
      </c>
      <c r="K199" s="225">
        <f t="shared" si="26"/>
        <v>0</v>
      </c>
      <c r="L199" s="429">
        <f>K199*係数!$H$30</f>
        <v>0</v>
      </c>
      <c r="M199" s="36"/>
      <c r="N199" s="495"/>
      <c r="O199" s="28"/>
      <c r="P199" s="1">
        <f t="shared" si="27"/>
        <v>0</v>
      </c>
      <c r="Q199" s="1">
        <f t="shared" si="28"/>
        <v>0</v>
      </c>
      <c r="R199" s="231"/>
      <c r="S199" s="28"/>
      <c r="T199" s="504">
        <f t="shared" si="29"/>
        <v>0</v>
      </c>
      <c r="U199" s="12">
        <f t="shared" si="30"/>
        <v>0</v>
      </c>
      <c r="V199" s="429">
        <f>U199*係数!$H$30</f>
        <v>0</v>
      </c>
      <c r="W199" s="12">
        <f t="shared" si="31"/>
        <v>0</v>
      </c>
      <c r="X199" s="431">
        <f t="shared" si="32"/>
        <v>0</v>
      </c>
    </row>
    <row r="200" spans="2:24" x14ac:dyDescent="0.45">
      <c r="B200" s="208" t="s">
        <v>797</v>
      </c>
      <c r="C200" s="36"/>
      <c r="D200" s="494"/>
      <c r="E200" s="28"/>
      <c r="F200" s="230"/>
      <c r="G200" s="230"/>
      <c r="H200" s="231"/>
      <c r="I200" s="28"/>
      <c r="J200" s="225">
        <f t="shared" si="25"/>
        <v>0</v>
      </c>
      <c r="K200" s="225">
        <f t="shared" si="26"/>
        <v>0</v>
      </c>
      <c r="L200" s="429">
        <f>K200*係数!$H$30</f>
        <v>0</v>
      </c>
      <c r="M200" s="36"/>
      <c r="N200" s="495"/>
      <c r="O200" s="28"/>
      <c r="P200" s="1">
        <f t="shared" si="27"/>
        <v>0</v>
      </c>
      <c r="Q200" s="1">
        <f t="shared" si="28"/>
        <v>0</v>
      </c>
      <c r="R200" s="231"/>
      <c r="S200" s="28"/>
      <c r="T200" s="504">
        <f t="shared" si="29"/>
        <v>0</v>
      </c>
      <c r="U200" s="12">
        <f t="shared" si="30"/>
        <v>0</v>
      </c>
      <c r="V200" s="429">
        <f>U200*係数!$H$30</f>
        <v>0</v>
      </c>
      <c r="W200" s="12">
        <f t="shared" si="31"/>
        <v>0</v>
      </c>
      <c r="X200" s="431">
        <f t="shared" si="32"/>
        <v>0</v>
      </c>
    </row>
    <row r="201" spans="2:24" x14ac:dyDescent="0.45">
      <c r="B201" s="208" t="s">
        <v>798</v>
      </c>
      <c r="C201" s="36"/>
      <c r="D201" s="494"/>
      <c r="E201" s="28"/>
      <c r="F201" s="230"/>
      <c r="G201" s="230"/>
      <c r="H201" s="231"/>
      <c r="I201" s="28"/>
      <c r="J201" s="225">
        <f t="shared" si="25"/>
        <v>0</v>
      </c>
      <c r="K201" s="225">
        <f t="shared" si="26"/>
        <v>0</v>
      </c>
      <c r="L201" s="429">
        <f>K201*係数!$H$30</f>
        <v>0</v>
      </c>
      <c r="M201" s="36"/>
      <c r="N201" s="495"/>
      <c r="O201" s="28"/>
      <c r="P201" s="1">
        <f t="shared" si="27"/>
        <v>0</v>
      </c>
      <c r="Q201" s="1">
        <f t="shared" si="28"/>
        <v>0</v>
      </c>
      <c r="R201" s="231"/>
      <c r="S201" s="28"/>
      <c r="T201" s="504">
        <f t="shared" si="29"/>
        <v>0</v>
      </c>
      <c r="U201" s="12">
        <f t="shared" si="30"/>
        <v>0</v>
      </c>
      <c r="V201" s="429">
        <f>U201*係数!$H$30</f>
        <v>0</v>
      </c>
      <c r="W201" s="12">
        <f t="shared" si="31"/>
        <v>0</v>
      </c>
      <c r="X201" s="431">
        <f t="shared" si="32"/>
        <v>0</v>
      </c>
    </row>
    <row r="202" spans="2:24" x14ac:dyDescent="0.45">
      <c r="B202" s="208" t="s">
        <v>799</v>
      </c>
      <c r="C202" s="36"/>
      <c r="D202" s="494"/>
      <c r="E202" s="28"/>
      <c r="F202" s="230"/>
      <c r="G202" s="230"/>
      <c r="H202" s="231"/>
      <c r="I202" s="28"/>
      <c r="J202" s="225">
        <f t="shared" si="25"/>
        <v>0</v>
      </c>
      <c r="K202" s="225">
        <f t="shared" si="26"/>
        <v>0</v>
      </c>
      <c r="L202" s="429">
        <f>K202*係数!$H$30</f>
        <v>0</v>
      </c>
      <c r="M202" s="36"/>
      <c r="N202" s="495"/>
      <c r="O202" s="28"/>
      <c r="P202" s="1">
        <f t="shared" si="27"/>
        <v>0</v>
      </c>
      <c r="Q202" s="1">
        <f t="shared" si="28"/>
        <v>0</v>
      </c>
      <c r="R202" s="231"/>
      <c r="S202" s="28"/>
      <c r="T202" s="504">
        <f t="shared" si="29"/>
        <v>0</v>
      </c>
      <c r="U202" s="12">
        <f t="shared" si="30"/>
        <v>0</v>
      </c>
      <c r="V202" s="429">
        <f>U202*係数!$H$30</f>
        <v>0</v>
      </c>
      <c r="W202" s="12">
        <f t="shared" si="31"/>
        <v>0</v>
      </c>
      <c r="X202" s="431">
        <f t="shared" si="32"/>
        <v>0</v>
      </c>
    </row>
    <row r="203" spans="2:24" x14ac:dyDescent="0.45">
      <c r="B203" s="208" t="s">
        <v>800</v>
      </c>
      <c r="C203" s="36"/>
      <c r="D203" s="494"/>
      <c r="E203" s="28"/>
      <c r="F203" s="230"/>
      <c r="G203" s="230"/>
      <c r="H203" s="231"/>
      <c r="I203" s="28"/>
      <c r="J203" s="225">
        <f t="shared" si="25"/>
        <v>0</v>
      </c>
      <c r="K203" s="225">
        <f t="shared" si="26"/>
        <v>0</v>
      </c>
      <c r="L203" s="429">
        <f>K203*係数!$H$30</f>
        <v>0</v>
      </c>
      <c r="M203" s="36"/>
      <c r="N203" s="495"/>
      <c r="O203" s="28"/>
      <c r="P203" s="1">
        <f t="shared" si="27"/>
        <v>0</v>
      </c>
      <c r="Q203" s="1">
        <f t="shared" si="28"/>
        <v>0</v>
      </c>
      <c r="R203" s="231"/>
      <c r="S203" s="28"/>
      <c r="T203" s="504">
        <f t="shared" si="29"/>
        <v>0</v>
      </c>
      <c r="U203" s="12">
        <f t="shared" si="30"/>
        <v>0</v>
      </c>
      <c r="V203" s="429">
        <f>U203*係数!$H$30</f>
        <v>0</v>
      </c>
      <c r="W203" s="12">
        <f t="shared" si="31"/>
        <v>0</v>
      </c>
      <c r="X203" s="431">
        <f t="shared" si="32"/>
        <v>0</v>
      </c>
    </row>
    <row r="204" spans="2:24" x14ac:dyDescent="0.45">
      <c r="B204" s="208" t="s">
        <v>801</v>
      </c>
      <c r="C204" s="36"/>
      <c r="D204" s="494"/>
      <c r="E204" s="28"/>
      <c r="F204" s="230"/>
      <c r="G204" s="230"/>
      <c r="H204" s="231"/>
      <c r="I204" s="28"/>
      <c r="J204" s="225">
        <f t="shared" si="25"/>
        <v>0</v>
      </c>
      <c r="K204" s="225">
        <f t="shared" si="26"/>
        <v>0</v>
      </c>
      <c r="L204" s="429">
        <f>K204*係数!$H$30</f>
        <v>0</v>
      </c>
      <c r="M204" s="36"/>
      <c r="N204" s="495"/>
      <c r="O204" s="28"/>
      <c r="P204" s="1">
        <f t="shared" si="27"/>
        <v>0</v>
      </c>
      <c r="Q204" s="1">
        <f t="shared" si="28"/>
        <v>0</v>
      </c>
      <c r="R204" s="231"/>
      <c r="S204" s="28"/>
      <c r="T204" s="504">
        <f t="shared" si="29"/>
        <v>0</v>
      </c>
      <c r="U204" s="12">
        <f t="shared" si="30"/>
        <v>0</v>
      </c>
      <c r="V204" s="429">
        <f>U204*係数!$H$30</f>
        <v>0</v>
      </c>
      <c r="W204" s="12">
        <f t="shared" si="31"/>
        <v>0</v>
      </c>
      <c r="X204" s="431">
        <f t="shared" si="32"/>
        <v>0</v>
      </c>
    </row>
    <row r="205" spans="2:24" x14ac:dyDescent="0.45">
      <c r="B205" s="208" t="s">
        <v>802</v>
      </c>
      <c r="C205" s="36"/>
      <c r="D205" s="494"/>
      <c r="E205" s="28"/>
      <c r="F205" s="230"/>
      <c r="G205" s="230"/>
      <c r="H205" s="231"/>
      <c r="I205" s="28"/>
      <c r="J205" s="225">
        <f t="shared" si="25"/>
        <v>0</v>
      </c>
      <c r="K205" s="225">
        <f t="shared" si="26"/>
        <v>0</v>
      </c>
      <c r="L205" s="429">
        <f>K205*係数!$H$30</f>
        <v>0</v>
      </c>
      <c r="M205" s="36"/>
      <c r="N205" s="495"/>
      <c r="O205" s="28"/>
      <c r="P205" s="1">
        <f t="shared" si="27"/>
        <v>0</v>
      </c>
      <c r="Q205" s="1">
        <f t="shared" si="28"/>
        <v>0</v>
      </c>
      <c r="R205" s="231"/>
      <c r="S205" s="28"/>
      <c r="T205" s="504">
        <f t="shared" si="29"/>
        <v>0</v>
      </c>
      <c r="U205" s="12">
        <f t="shared" si="30"/>
        <v>0</v>
      </c>
      <c r="V205" s="429">
        <f>U205*係数!$H$30</f>
        <v>0</v>
      </c>
      <c r="W205" s="12">
        <f t="shared" si="31"/>
        <v>0</v>
      </c>
      <c r="X205" s="431">
        <f t="shared" si="32"/>
        <v>0</v>
      </c>
    </row>
    <row r="206" spans="2:24" x14ac:dyDescent="0.45">
      <c r="B206" s="208" t="s">
        <v>803</v>
      </c>
      <c r="C206" s="36"/>
      <c r="D206" s="494"/>
      <c r="E206" s="28"/>
      <c r="F206" s="230"/>
      <c r="G206" s="230"/>
      <c r="H206" s="231"/>
      <c r="I206" s="28"/>
      <c r="J206" s="225">
        <f t="shared" si="25"/>
        <v>0</v>
      </c>
      <c r="K206" s="225">
        <f t="shared" si="26"/>
        <v>0</v>
      </c>
      <c r="L206" s="429">
        <f>K206*係数!$H$30</f>
        <v>0</v>
      </c>
      <c r="M206" s="36"/>
      <c r="N206" s="495"/>
      <c r="O206" s="28"/>
      <c r="P206" s="1">
        <f t="shared" si="27"/>
        <v>0</v>
      </c>
      <c r="Q206" s="1">
        <f t="shared" si="28"/>
        <v>0</v>
      </c>
      <c r="R206" s="231"/>
      <c r="S206" s="28"/>
      <c r="T206" s="504">
        <f t="shared" si="29"/>
        <v>0</v>
      </c>
      <c r="U206" s="12">
        <f t="shared" si="30"/>
        <v>0</v>
      </c>
      <c r="V206" s="429">
        <f>U206*係数!$H$30</f>
        <v>0</v>
      </c>
      <c r="W206" s="12">
        <f t="shared" si="31"/>
        <v>0</v>
      </c>
      <c r="X206" s="431">
        <f t="shared" si="32"/>
        <v>0</v>
      </c>
    </row>
    <row r="207" spans="2:24" x14ac:dyDescent="0.45">
      <c r="B207" s="208" t="s">
        <v>804</v>
      </c>
      <c r="C207" s="36"/>
      <c r="D207" s="494"/>
      <c r="E207" s="28"/>
      <c r="F207" s="230"/>
      <c r="G207" s="230"/>
      <c r="H207" s="231"/>
      <c r="I207" s="28"/>
      <c r="J207" s="225">
        <f t="shared" si="25"/>
        <v>0</v>
      </c>
      <c r="K207" s="225">
        <f t="shared" si="26"/>
        <v>0</v>
      </c>
      <c r="L207" s="429">
        <f>K207*係数!$H$30</f>
        <v>0</v>
      </c>
      <c r="M207" s="36"/>
      <c r="N207" s="495"/>
      <c r="O207" s="28"/>
      <c r="P207" s="1">
        <f t="shared" si="27"/>
        <v>0</v>
      </c>
      <c r="Q207" s="1">
        <f t="shared" si="28"/>
        <v>0</v>
      </c>
      <c r="R207" s="231"/>
      <c r="S207" s="28"/>
      <c r="T207" s="504">
        <f t="shared" si="29"/>
        <v>0</v>
      </c>
      <c r="U207" s="12">
        <f t="shared" si="30"/>
        <v>0</v>
      </c>
      <c r="V207" s="429">
        <f>U207*係数!$H$30</f>
        <v>0</v>
      </c>
      <c r="W207" s="12">
        <f t="shared" si="31"/>
        <v>0</v>
      </c>
      <c r="X207" s="431">
        <f t="shared" si="32"/>
        <v>0</v>
      </c>
    </row>
    <row r="208" spans="2:24" x14ac:dyDescent="0.45">
      <c r="B208" s="208" t="s">
        <v>805</v>
      </c>
      <c r="C208" s="36"/>
      <c r="D208" s="494"/>
      <c r="E208" s="28"/>
      <c r="F208" s="230"/>
      <c r="G208" s="230"/>
      <c r="H208" s="231"/>
      <c r="I208" s="28"/>
      <c r="J208" s="225">
        <f t="shared" si="25"/>
        <v>0</v>
      </c>
      <c r="K208" s="225">
        <f t="shared" si="26"/>
        <v>0</v>
      </c>
      <c r="L208" s="429">
        <f>K208*係数!$H$30</f>
        <v>0</v>
      </c>
      <c r="M208" s="36"/>
      <c r="N208" s="495"/>
      <c r="O208" s="28"/>
      <c r="P208" s="1">
        <f t="shared" si="27"/>
        <v>0</v>
      </c>
      <c r="Q208" s="1">
        <f t="shared" si="28"/>
        <v>0</v>
      </c>
      <c r="R208" s="231"/>
      <c r="S208" s="28"/>
      <c r="T208" s="504">
        <f t="shared" si="29"/>
        <v>0</v>
      </c>
      <c r="U208" s="12">
        <f t="shared" si="30"/>
        <v>0</v>
      </c>
      <c r="V208" s="429">
        <f>U208*係数!$H$30</f>
        <v>0</v>
      </c>
      <c r="W208" s="12">
        <f t="shared" si="31"/>
        <v>0</v>
      </c>
      <c r="X208" s="431">
        <f t="shared" si="32"/>
        <v>0</v>
      </c>
    </row>
    <row r="209" spans="2:24" x14ac:dyDescent="0.45">
      <c r="B209" s="208" t="s">
        <v>806</v>
      </c>
      <c r="C209" s="36"/>
      <c r="D209" s="494"/>
      <c r="E209" s="28"/>
      <c r="F209" s="230"/>
      <c r="G209" s="230"/>
      <c r="H209" s="231"/>
      <c r="I209" s="28"/>
      <c r="J209" s="225">
        <f t="shared" si="25"/>
        <v>0</v>
      </c>
      <c r="K209" s="225">
        <f t="shared" si="26"/>
        <v>0</v>
      </c>
      <c r="L209" s="429">
        <f>K209*係数!$H$30</f>
        <v>0</v>
      </c>
      <c r="M209" s="36"/>
      <c r="N209" s="495"/>
      <c r="O209" s="28"/>
      <c r="P209" s="1">
        <f t="shared" si="27"/>
        <v>0</v>
      </c>
      <c r="Q209" s="1">
        <f t="shared" si="28"/>
        <v>0</v>
      </c>
      <c r="R209" s="231"/>
      <c r="S209" s="28"/>
      <c r="T209" s="504">
        <f t="shared" si="29"/>
        <v>0</v>
      </c>
      <c r="U209" s="12">
        <f t="shared" si="30"/>
        <v>0</v>
      </c>
      <c r="V209" s="429">
        <f>U209*係数!$H$30</f>
        <v>0</v>
      </c>
      <c r="W209" s="12">
        <f t="shared" si="31"/>
        <v>0</v>
      </c>
      <c r="X209" s="431">
        <f t="shared" si="32"/>
        <v>0</v>
      </c>
    </row>
    <row r="210" spans="2:24" x14ac:dyDescent="0.45">
      <c r="B210" s="208" t="s">
        <v>807</v>
      </c>
      <c r="C210" s="36"/>
      <c r="D210" s="494"/>
      <c r="E210" s="28"/>
      <c r="F210" s="230"/>
      <c r="G210" s="230"/>
      <c r="H210" s="231"/>
      <c r="I210" s="28"/>
      <c r="J210" s="225">
        <f t="shared" si="25"/>
        <v>0</v>
      </c>
      <c r="K210" s="225">
        <f t="shared" si="26"/>
        <v>0</v>
      </c>
      <c r="L210" s="429">
        <f>K210*係数!$H$30</f>
        <v>0</v>
      </c>
      <c r="M210" s="36"/>
      <c r="N210" s="495"/>
      <c r="O210" s="28"/>
      <c r="P210" s="1">
        <f t="shared" si="27"/>
        <v>0</v>
      </c>
      <c r="Q210" s="1">
        <f t="shared" si="28"/>
        <v>0</v>
      </c>
      <c r="R210" s="231"/>
      <c r="S210" s="28"/>
      <c r="T210" s="504">
        <f t="shared" si="29"/>
        <v>0</v>
      </c>
      <c r="U210" s="12">
        <f t="shared" si="30"/>
        <v>0</v>
      </c>
      <c r="V210" s="429">
        <f>U210*係数!$H$30</f>
        <v>0</v>
      </c>
      <c r="W210" s="12">
        <f t="shared" si="31"/>
        <v>0</v>
      </c>
      <c r="X210" s="431">
        <f t="shared" si="32"/>
        <v>0</v>
      </c>
    </row>
    <row r="211" spans="2:24" x14ac:dyDescent="0.45">
      <c r="B211" s="208" t="s">
        <v>808</v>
      </c>
      <c r="C211" s="36"/>
      <c r="D211" s="494"/>
      <c r="E211" s="28"/>
      <c r="F211" s="230"/>
      <c r="G211" s="230"/>
      <c r="H211" s="231"/>
      <c r="I211" s="28"/>
      <c r="J211" s="225">
        <f t="shared" si="25"/>
        <v>0</v>
      </c>
      <c r="K211" s="225">
        <f t="shared" si="26"/>
        <v>0</v>
      </c>
      <c r="L211" s="429">
        <f>K211*係数!$H$30</f>
        <v>0</v>
      </c>
      <c r="M211" s="36"/>
      <c r="N211" s="495"/>
      <c r="O211" s="28"/>
      <c r="P211" s="1">
        <f t="shared" si="27"/>
        <v>0</v>
      </c>
      <c r="Q211" s="1">
        <f t="shared" si="28"/>
        <v>0</v>
      </c>
      <c r="R211" s="231"/>
      <c r="S211" s="28"/>
      <c r="T211" s="504">
        <f t="shared" si="29"/>
        <v>0</v>
      </c>
      <c r="U211" s="12">
        <f t="shared" si="30"/>
        <v>0</v>
      </c>
      <c r="V211" s="429">
        <f>U211*係数!$H$30</f>
        <v>0</v>
      </c>
      <c r="W211" s="12">
        <f t="shared" si="31"/>
        <v>0</v>
      </c>
      <c r="X211" s="431">
        <f t="shared" si="32"/>
        <v>0</v>
      </c>
    </row>
    <row r="212" spans="2:24" x14ac:dyDescent="0.45">
      <c r="B212" s="208" t="s">
        <v>809</v>
      </c>
      <c r="C212" s="36"/>
      <c r="D212" s="494"/>
      <c r="E212" s="28"/>
      <c r="F212" s="230"/>
      <c r="G212" s="230"/>
      <c r="H212" s="231"/>
      <c r="I212" s="28"/>
      <c r="J212" s="225">
        <f t="shared" si="25"/>
        <v>0</v>
      </c>
      <c r="K212" s="225">
        <f t="shared" si="26"/>
        <v>0</v>
      </c>
      <c r="L212" s="429">
        <f>K212*係数!$H$30</f>
        <v>0</v>
      </c>
      <c r="M212" s="36"/>
      <c r="N212" s="495"/>
      <c r="O212" s="28"/>
      <c r="P212" s="1">
        <f t="shared" si="27"/>
        <v>0</v>
      </c>
      <c r="Q212" s="1">
        <f t="shared" si="28"/>
        <v>0</v>
      </c>
      <c r="R212" s="231"/>
      <c r="S212" s="28"/>
      <c r="T212" s="504">
        <f t="shared" si="29"/>
        <v>0</v>
      </c>
      <c r="U212" s="12">
        <f t="shared" si="30"/>
        <v>0</v>
      </c>
      <c r="V212" s="429">
        <f>U212*係数!$H$30</f>
        <v>0</v>
      </c>
      <c r="W212" s="12">
        <f t="shared" si="31"/>
        <v>0</v>
      </c>
      <c r="X212" s="431">
        <f t="shared" si="32"/>
        <v>0</v>
      </c>
    </row>
    <row r="213" spans="2:24" x14ac:dyDescent="0.45">
      <c r="B213" s="208" t="s">
        <v>810</v>
      </c>
      <c r="C213" s="36"/>
      <c r="D213" s="494"/>
      <c r="E213" s="28"/>
      <c r="F213" s="230"/>
      <c r="G213" s="230"/>
      <c r="H213" s="231"/>
      <c r="I213" s="28"/>
      <c r="J213" s="225">
        <f t="shared" si="25"/>
        <v>0</v>
      </c>
      <c r="K213" s="225">
        <f t="shared" si="26"/>
        <v>0</v>
      </c>
      <c r="L213" s="429">
        <f>K213*係数!$H$30</f>
        <v>0</v>
      </c>
      <c r="M213" s="36"/>
      <c r="N213" s="495"/>
      <c r="O213" s="28"/>
      <c r="P213" s="1">
        <f t="shared" si="27"/>
        <v>0</v>
      </c>
      <c r="Q213" s="1">
        <f t="shared" si="28"/>
        <v>0</v>
      </c>
      <c r="R213" s="231"/>
      <c r="S213" s="28"/>
      <c r="T213" s="504">
        <f t="shared" si="29"/>
        <v>0</v>
      </c>
      <c r="U213" s="12">
        <f t="shared" si="30"/>
        <v>0</v>
      </c>
      <c r="V213" s="429">
        <f>U213*係数!$H$30</f>
        <v>0</v>
      </c>
      <c r="W213" s="12">
        <f t="shared" si="31"/>
        <v>0</v>
      </c>
      <c r="X213" s="431">
        <f t="shared" si="32"/>
        <v>0</v>
      </c>
    </row>
    <row r="214" spans="2:24" x14ac:dyDescent="0.45">
      <c r="B214" s="208" t="s">
        <v>811</v>
      </c>
      <c r="C214" s="36"/>
      <c r="D214" s="494"/>
      <c r="E214" s="28"/>
      <c r="F214" s="230"/>
      <c r="G214" s="230"/>
      <c r="H214" s="231"/>
      <c r="I214" s="28"/>
      <c r="J214" s="225">
        <f t="shared" si="25"/>
        <v>0</v>
      </c>
      <c r="K214" s="225">
        <f t="shared" si="26"/>
        <v>0</v>
      </c>
      <c r="L214" s="429">
        <f>K214*係数!$H$30</f>
        <v>0</v>
      </c>
      <c r="M214" s="36"/>
      <c r="N214" s="495"/>
      <c r="O214" s="28"/>
      <c r="P214" s="1">
        <f t="shared" si="27"/>
        <v>0</v>
      </c>
      <c r="Q214" s="1">
        <f t="shared" si="28"/>
        <v>0</v>
      </c>
      <c r="R214" s="231"/>
      <c r="S214" s="28"/>
      <c r="T214" s="504">
        <f t="shared" si="29"/>
        <v>0</v>
      </c>
      <c r="U214" s="12">
        <f t="shared" si="30"/>
        <v>0</v>
      </c>
      <c r="V214" s="429">
        <f>U214*係数!$H$30</f>
        <v>0</v>
      </c>
      <c r="W214" s="12">
        <f t="shared" si="31"/>
        <v>0</v>
      </c>
      <c r="X214" s="431">
        <f t="shared" si="32"/>
        <v>0</v>
      </c>
    </row>
    <row r="215" spans="2:24" x14ac:dyDescent="0.45">
      <c r="B215" s="208" t="s">
        <v>812</v>
      </c>
      <c r="C215" s="36"/>
      <c r="D215" s="494"/>
      <c r="E215" s="28"/>
      <c r="F215" s="230"/>
      <c r="G215" s="230"/>
      <c r="H215" s="231"/>
      <c r="I215" s="28"/>
      <c r="J215" s="225">
        <f t="shared" si="25"/>
        <v>0</v>
      </c>
      <c r="K215" s="225">
        <f t="shared" si="26"/>
        <v>0</v>
      </c>
      <c r="L215" s="429">
        <f>K215*係数!$H$30</f>
        <v>0</v>
      </c>
      <c r="M215" s="36"/>
      <c r="N215" s="495"/>
      <c r="O215" s="28"/>
      <c r="P215" s="1">
        <f t="shared" si="27"/>
        <v>0</v>
      </c>
      <c r="Q215" s="1">
        <f t="shared" si="28"/>
        <v>0</v>
      </c>
      <c r="R215" s="231"/>
      <c r="S215" s="28"/>
      <c r="T215" s="504">
        <f t="shared" si="29"/>
        <v>0</v>
      </c>
      <c r="U215" s="12">
        <f t="shared" si="30"/>
        <v>0</v>
      </c>
      <c r="V215" s="429">
        <f>U215*係数!$H$30</f>
        <v>0</v>
      </c>
      <c r="W215" s="12">
        <f t="shared" si="31"/>
        <v>0</v>
      </c>
      <c r="X215" s="431">
        <f t="shared" si="32"/>
        <v>0</v>
      </c>
    </row>
    <row r="216" spans="2:24" x14ac:dyDescent="0.45">
      <c r="B216" s="208" t="s">
        <v>813</v>
      </c>
      <c r="C216" s="36"/>
      <c r="D216" s="494"/>
      <c r="E216" s="28"/>
      <c r="F216" s="230"/>
      <c r="G216" s="230"/>
      <c r="H216" s="231"/>
      <c r="I216" s="28"/>
      <c r="J216" s="225">
        <f t="shared" si="25"/>
        <v>0</v>
      </c>
      <c r="K216" s="225">
        <f t="shared" si="26"/>
        <v>0</v>
      </c>
      <c r="L216" s="429">
        <f>K216*係数!$H$30</f>
        <v>0</v>
      </c>
      <c r="M216" s="36"/>
      <c r="N216" s="495"/>
      <c r="O216" s="28"/>
      <c r="P216" s="1">
        <f t="shared" si="27"/>
        <v>0</v>
      </c>
      <c r="Q216" s="1">
        <f t="shared" si="28"/>
        <v>0</v>
      </c>
      <c r="R216" s="231"/>
      <c r="S216" s="28"/>
      <c r="T216" s="504">
        <f t="shared" si="29"/>
        <v>0</v>
      </c>
      <c r="U216" s="12">
        <f t="shared" si="30"/>
        <v>0</v>
      </c>
      <c r="V216" s="429">
        <f>U216*係数!$H$30</f>
        <v>0</v>
      </c>
      <c r="W216" s="12">
        <f t="shared" si="31"/>
        <v>0</v>
      </c>
      <c r="X216" s="431">
        <f t="shared" si="32"/>
        <v>0</v>
      </c>
    </row>
    <row r="217" spans="2:24" x14ac:dyDescent="0.45">
      <c r="B217" s="208" t="s">
        <v>814</v>
      </c>
      <c r="C217" s="36"/>
      <c r="D217" s="494"/>
      <c r="E217" s="28"/>
      <c r="F217" s="230"/>
      <c r="G217" s="230"/>
      <c r="H217" s="231"/>
      <c r="I217" s="28"/>
      <c r="J217" s="225">
        <f t="shared" si="25"/>
        <v>0</v>
      </c>
      <c r="K217" s="225">
        <f t="shared" si="26"/>
        <v>0</v>
      </c>
      <c r="L217" s="429">
        <f>K217*係数!$H$30</f>
        <v>0</v>
      </c>
      <c r="M217" s="36"/>
      <c r="N217" s="495"/>
      <c r="O217" s="28"/>
      <c r="P217" s="1">
        <f t="shared" si="27"/>
        <v>0</v>
      </c>
      <c r="Q217" s="1">
        <f t="shared" si="28"/>
        <v>0</v>
      </c>
      <c r="R217" s="231"/>
      <c r="S217" s="28"/>
      <c r="T217" s="504">
        <f t="shared" si="29"/>
        <v>0</v>
      </c>
      <c r="U217" s="12">
        <f t="shared" si="30"/>
        <v>0</v>
      </c>
      <c r="V217" s="429">
        <f>U217*係数!$H$30</f>
        <v>0</v>
      </c>
      <c r="W217" s="12">
        <f t="shared" si="31"/>
        <v>0</v>
      </c>
      <c r="X217" s="431">
        <f t="shared" si="32"/>
        <v>0</v>
      </c>
    </row>
    <row r="218" spans="2:24" x14ac:dyDescent="0.45">
      <c r="B218" s="208" t="s">
        <v>815</v>
      </c>
      <c r="C218" s="36"/>
      <c r="D218" s="494"/>
      <c r="E218" s="28"/>
      <c r="F218" s="230"/>
      <c r="G218" s="230"/>
      <c r="H218" s="231"/>
      <c r="I218" s="28"/>
      <c r="J218" s="225">
        <f t="shared" ref="J218:J281" si="33">IF(H218="",F218*G218,F218*G218*I218/100)</f>
        <v>0</v>
      </c>
      <c r="K218" s="225">
        <f t="shared" ref="K218:K281" si="34">D218*E218*J218/1000</f>
        <v>0</v>
      </c>
      <c r="L218" s="429">
        <f>K218*係数!$H$30</f>
        <v>0</v>
      </c>
      <c r="M218" s="36"/>
      <c r="N218" s="495"/>
      <c r="O218" s="28"/>
      <c r="P218" s="1">
        <f t="shared" ref="P218:P281" si="35">IF(F218=0,0,F218)</f>
        <v>0</v>
      </c>
      <c r="Q218" s="1">
        <f t="shared" ref="Q218:Q281" si="36">IF(G218=0,0,G218)</f>
        <v>0</v>
      </c>
      <c r="R218" s="231"/>
      <c r="S218" s="28"/>
      <c r="T218" s="504">
        <f t="shared" ref="T218:T281" si="37">IF(R218="",P218*Q218,P218*Q218*S218/100)</f>
        <v>0</v>
      </c>
      <c r="U218" s="12">
        <f t="shared" ref="U218:U281" si="38">N218*O218*T218/1000</f>
        <v>0</v>
      </c>
      <c r="V218" s="429">
        <f>U218*係数!$H$30</f>
        <v>0</v>
      </c>
      <c r="W218" s="12">
        <f t="shared" ref="W218:W281" si="39">K218-U218</f>
        <v>0</v>
      </c>
      <c r="X218" s="431">
        <f t="shared" ref="X218:X281" si="40">L218-V218</f>
        <v>0</v>
      </c>
    </row>
    <row r="219" spans="2:24" x14ac:dyDescent="0.45">
      <c r="B219" s="208" t="s">
        <v>816</v>
      </c>
      <c r="C219" s="36"/>
      <c r="D219" s="494"/>
      <c r="E219" s="28"/>
      <c r="F219" s="230"/>
      <c r="G219" s="230"/>
      <c r="H219" s="231"/>
      <c r="I219" s="28"/>
      <c r="J219" s="225">
        <f t="shared" si="33"/>
        <v>0</v>
      </c>
      <c r="K219" s="225">
        <f t="shared" si="34"/>
        <v>0</v>
      </c>
      <c r="L219" s="429">
        <f>K219*係数!$H$30</f>
        <v>0</v>
      </c>
      <c r="M219" s="36"/>
      <c r="N219" s="495"/>
      <c r="O219" s="28"/>
      <c r="P219" s="1">
        <f t="shared" si="35"/>
        <v>0</v>
      </c>
      <c r="Q219" s="1">
        <f t="shared" si="36"/>
        <v>0</v>
      </c>
      <c r="R219" s="231"/>
      <c r="S219" s="28"/>
      <c r="T219" s="504">
        <f t="shared" si="37"/>
        <v>0</v>
      </c>
      <c r="U219" s="12">
        <f t="shared" si="38"/>
        <v>0</v>
      </c>
      <c r="V219" s="429">
        <f>U219*係数!$H$30</f>
        <v>0</v>
      </c>
      <c r="W219" s="12">
        <f t="shared" si="39"/>
        <v>0</v>
      </c>
      <c r="X219" s="431">
        <f t="shared" si="40"/>
        <v>0</v>
      </c>
    </row>
    <row r="220" spans="2:24" x14ac:dyDescent="0.45">
      <c r="B220" s="208" t="s">
        <v>817</v>
      </c>
      <c r="C220" s="36"/>
      <c r="D220" s="494"/>
      <c r="E220" s="28"/>
      <c r="F220" s="230"/>
      <c r="G220" s="230"/>
      <c r="H220" s="231"/>
      <c r="I220" s="28"/>
      <c r="J220" s="225">
        <f t="shared" si="33"/>
        <v>0</v>
      </c>
      <c r="K220" s="225">
        <f t="shared" si="34"/>
        <v>0</v>
      </c>
      <c r="L220" s="429">
        <f>K220*係数!$H$30</f>
        <v>0</v>
      </c>
      <c r="M220" s="36"/>
      <c r="N220" s="495"/>
      <c r="O220" s="28"/>
      <c r="P220" s="1">
        <f t="shared" si="35"/>
        <v>0</v>
      </c>
      <c r="Q220" s="1">
        <f t="shared" si="36"/>
        <v>0</v>
      </c>
      <c r="R220" s="231"/>
      <c r="S220" s="28"/>
      <c r="T220" s="504">
        <f t="shared" si="37"/>
        <v>0</v>
      </c>
      <c r="U220" s="12">
        <f t="shared" si="38"/>
        <v>0</v>
      </c>
      <c r="V220" s="429">
        <f>U220*係数!$H$30</f>
        <v>0</v>
      </c>
      <c r="W220" s="12">
        <f t="shared" si="39"/>
        <v>0</v>
      </c>
      <c r="X220" s="431">
        <f t="shared" si="40"/>
        <v>0</v>
      </c>
    </row>
    <row r="221" spans="2:24" x14ac:dyDescent="0.45">
      <c r="B221" s="208" t="s">
        <v>818</v>
      </c>
      <c r="C221" s="36"/>
      <c r="D221" s="494"/>
      <c r="E221" s="28"/>
      <c r="F221" s="230"/>
      <c r="G221" s="230"/>
      <c r="H221" s="231"/>
      <c r="I221" s="28"/>
      <c r="J221" s="225">
        <f t="shared" si="33"/>
        <v>0</v>
      </c>
      <c r="K221" s="225">
        <f t="shared" si="34"/>
        <v>0</v>
      </c>
      <c r="L221" s="429">
        <f>K221*係数!$H$30</f>
        <v>0</v>
      </c>
      <c r="M221" s="36"/>
      <c r="N221" s="495"/>
      <c r="O221" s="28"/>
      <c r="P221" s="1">
        <f t="shared" si="35"/>
        <v>0</v>
      </c>
      <c r="Q221" s="1">
        <f t="shared" si="36"/>
        <v>0</v>
      </c>
      <c r="R221" s="231"/>
      <c r="S221" s="28"/>
      <c r="T221" s="504">
        <f t="shared" si="37"/>
        <v>0</v>
      </c>
      <c r="U221" s="12">
        <f t="shared" si="38"/>
        <v>0</v>
      </c>
      <c r="V221" s="429">
        <f>U221*係数!$H$30</f>
        <v>0</v>
      </c>
      <c r="W221" s="12">
        <f t="shared" si="39"/>
        <v>0</v>
      </c>
      <c r="X221" s="431">
        <f t="shared" si="40"/>
        <v>0</v>
      </c>
    </row>
    <row r="222" spans="2:24" x14ac:dyDescent="0.45">
      <c r="B222" s="208" t="s">
        <v>819</v>
      </c>
      <c r="C222" s="36"/>
      <c r="D222" s="494"/>
      <c r="E222" s="28"/>
      <c r="F222" s="230"/>
      <c r="G222" s="230"/>
      <c r="H222" s="231"/>
      <c r="I222" s="28"/>
      <c r="J222" s="225">
        <f t="shared" si="33"/>
        <v>0</v>
      </c>
      <c r="K222" s="225">
        <f t="shared" si="34"/>
        <v>0</v>
      </c>
      <c r="L222" s="429">
        <f>K222*係数!$H$30</f>
        <v>0</v>
      </c>
      <c r="M222" s="36"/>
      <c r="N222" s="495"/>
      <c r="O222" s="28"/>
      <c r="P222" s="1">
        <f t="shared" si="35"/>
        <v>0</v>
      </c>
      <c r="Q222" s="1">
        <f t="shared" si="36"/>
        <v>0</v>
      </c>
      <c r="R222" s="231"/>
      <c r="S222" s="28"/>
      <c r="T222" s="504">
        <f t="shared" si="37"/>
        <v>0</v>
      </c>
      <c r="U222" s="12">
        <f t="shared" si="38"/>
        <v>0</v>
      </c>
      <c r="V222" s="429">
        <f>U222*係数!$H$30</f>
        <v>0</v>
      </c>
      <c r="W222" s="12">
        <f t="shared" si="39"/>
        <v>0</v>
      </c>
      <c r="X222" s="431">
        <f t="shared" si="40"/>
        <v>0</v>
      </c>
    </row>
    <row r="223" spans="2:24" x14ac:dyDescent="0.45">
      <c r="B223" s="208" t="s">
        <v>820</v>
      </c>
      <c r="C223" s="36"/>
      <c r="D223" s="494"/>
      <c r="E223" s="28"/>
      <c r="F223" s="230"/>
      <c r="G223" s="230"/>
      <c r="H223" s="231"/>
      <c r="I223" s="28"/>
      <c r="J223" s="225">
        <f t="shared" si="33"/>
        <v>0</v>
      </c>
      <c r="K223" s="225">
        <f t="shared" si="34"/>
        <v>0</v>
      </c>
      <c r="L223" s="429">
        <f>K223*係数!$H$30</f>
        <v>0</v>
      </c>
      <c r="M223" s="36"/>
      <c r="N223" s="495"/>
      <c r="O223" s="28"/>
      <c r="P223" s="1">
        <f t="shared" si="35"/>
        <v>0</v>
      </c>
      <c r="Q223" s="1">
        <f t="shared" si="36"/>
        <v>0</v>
      </c>
      <c r="R223" s="231"/>
      <c r="S223" s="28"/>
      <c r="T223" s="504">
        <f t="shared" si="37"/>
        <v>0</v>
      </c>
      <c r="U223" s="12">
        <f t="shared" si="38"/>
        <v>0</v>
      </c>
      <c r="V223" s="429">
        <f>U223*係数!$H$30</f>
        <v>0</v>
      </c>
      <c r="W223" s="12">
        <f t="shared" si="39"/>
        <v>0</v>
      </c>
      <c r="X223" s="431">
        <f t="shared" si="40"/>
        <v>0</v>
      </c>
    </row>
    <row r="224" spans="2:24" x14ac:dyDescent="0.45">
      <c r="B224" s="208" t="s">
        <v>821</v>
      </c>
      <c r="C224" s="36"/>
      <c r="D224" s="494"/>
      <c r="E224" s="28"/>
      <c r="F224" s="230"/>
      <c r="G224" s="230"/>
      <c r="H224" s="231"/>
      <c r="I224" s="28"/>
      <c r="J224" s="225">
        <f t="shared" si="33"/>
        <v>0</v>
      </c>
      <c r="K224" s="225">
        <f t="shared" si="34"/>
        <v>0</v>
      </c>
      <c r="L224" s="429">
        <f>K224*係数!$H$30</f>
        <v>0</v>
      </c>
      <c r="M224" s="36"/>
      <c r="N224" s="495"/>
      <c r="O224" s="28"/>
      <c r="P224" s="1">
        <f t="shared" si="35"/>
        <v>0</v>
      </c>
      <c r="Q224" s="1">
        <f t="shared" si="36"/>
        <v>0</v>
      </c>
      <c r="R224" s="231"/>
      <c r="S224" s="28"/>
      <c r="T224" s="504">
        <f t="shared" si="37"/>
        <v>0</v>
      </c>
      <c r="U224" s="12">
        <f t="shared" si="38"/>
        <v>0</v>
      </c>
      <c r="V224" s="429">
        <f>U224*係数!$H$30</f>
        <v>0</v>
      </c>
      <c r="W224" s="12">
        <f t="shared" si="39"/>
        <v>0</v>
      </c>
      <c r="X224" s="431">
        <f t="shared" si="40"/>
        <v>0</v>
      </c>
    </row>
    <row r="225" spans="2:24" x14ac:dyDescent="0.45">
      <c r="B225" s="208" t="s">
        <v>822</v>
      </c>
      <c r="C225" s="36"/>
      <c r="D225" s="494"/>
      <c r="E225" s="28"/>
      <c r="F225" s="230"/>
      <c r="G225" s="230"/>
      <c r="H225" s="231"/>
      <c r="I225" s="28"/>
      <c r="J225" s="225">
        <f t="shared" si="33"/>
        <v>0</v>
      </c>
      <c r="K225" s="225">
        <f t="shared" si="34"/>
        <v>0</v>
      </c>
      <c r="L225" s="429">
        <f>K225*係数!$H$30</f>
        <v>0</v>
      </c>
      <c r="M225" s="36"/>
      <c r="N225" s="495"/>
      <c r="O225" s="28"/>
      <c r="P225" s="1">
        <f t="shared" si="35"/>
        <v>0</v>
      </c>
      <c r="Q225" s="1">
        <f t="shared" si="36"/>
        <v>0</v>
      </c>
      <c r="R225" s="231"/>
      <c r="S225" s="28"/>
      <c r="T225" s="504">
        <f t="shared" si="37"/>
        <v>0</v>
      </c>
      <c r="U225" s="12">
        <f t="shared" si="38"/>
        <v>0</v>
      </c>
      <c r="V225" s="429">
        <f>U225*係数!$H$30</f>
        <v>0</v>
      </c>
      <c r="W225" s="12">
        <f t="shared" si="39"/>
        <v>0</v>
      </c>
      <c r="X225" s="431">
        <f t="shared" si="40"/>
        <v>0</v>
      </c>
    </row>
    <row r="226" spans="2:24" x14ac:dyDescent="0.45">
      <c r="B226" s="208" t="s">
        <v>823</v>
      </c>
      <c r="C226" s="36"/>
      <c r="D226" s="494"/>
      <c r="E226" s="28"/>
      <c r="F226" s="230"/>
      <c r="G226" s="230"/>
      <c r="H226" s="231"/>
      <c r="I226" s="28"/>
      <c r="J226" s="225">
        <f t="shared" si="33"/>
        <v>0</v>
      </c>
      <c r="K226" s="225">
        <f t="shared" si="34"/>
        <v>0</v>
      </c>
      <c r="L226" s="429">
        <f>K226*係数!$H$30</f>
        <v>0</v>
      </c>
      <c r="M226" s="36"/>
      <c r="N226" s="495"/>
      <c r="O226" s="28"/>
      <c r="P226" s="1">
        <f t="shared" si="35"/>
        <v>0</v>
      </c>
      <c r="Q226" s="1">
        <f t="shared" si="36"/>
        <v>0</v>
      </c>
      <c r="R226" s="231"/>
      <c r="S226" s="28"/>
      <c r="T226" s="504">
        <f t="shared" si="37"/>
        <v>0</v>
      </c>
      <c r="U226" s="12">
        <f t="shared" si="38"/>
        <v>0</v>
      </c>
      <c r="V226" s="429">
        <f>U226*係数!$H$30</f>
        <v>0</v>
      </c>
      <c r="W226" s="12">
        <f t="shared" si="39"/>
        <v>0</v>
      </c>
      <c r="X226" s="431">
        <f t="shared" si="40"/>
        <v>0</v>
      </c>
    </row>
    <row r="227" spans="2:24" x14ac:dyDescent="0.45">
      <c r="B227" s="208" t="s">
        <v>824</v>
      </c>
      <c r="C227" s="36"/>
      <c r="D227" s="494"/>
      <c r="E227" s="28"/>
      <c r="F227" s="230"/>
      <c r="G227" s="230"/>
      <c r="H227" s="231"/>
      <c r="I227" s="28"/>
      <c r="J227" s="225">
        <f t="shared" si="33"/>
        <v>0</v>
      </c>
      <c r="K227" s="225">
        <f t="shared" si="34"/>
        <v>0</v>
      </c>
      <c r="L227" s="429">
        <f>K227*係数!$H$30</f>
        <v>0</v>
      </c>
      <c r="M227" s="36"/>
      <c r="N227" s="495"/>
      <c r="O227" s="28"/>
      <c r="P227" s="1">
        <f t="shared" si="35"/>
        <v>0</v>
      </c>
      <c r="Q227" s="1">
        <f t="shared" si="36"/>
        <v>0</v>
      </c>
      <c r="R227" s="231"/>
      <c r="S227" s="28"/>
      <c r="T227" s="504">
        <f t="shared" si="37"/>
        <v>0</v>
      </c>
      <c r="U227" s="12">
        <f t="shared" si="38"/>
        <v>0</v>
      </c>
      <c r="V227" s="429">
        <f>U227*係数!$H$30</f>
        <v>0</v>
      </c>
      <c r="W227" s="12">
        <f t="shared" si="39"/>
        <v>0</v>
      </c>
      <c r="X227" s="431">
        <f t="shared" si="40"/>
        <v>0</v>
      </c>
    </row>
    <row r="228" spans="2:24" x14ac:dyDescent="0.45">
      <c r="B228" s="208" t="s">
        <v>825</v>
      </c>
      <c r="C228" s="36"/>
      <c r="D228" s="494"/>
      <c r="E228" s="28"/>
      <c r="F228" s="230"/>
      <c r="G228" s="230"/>
      <c r="H228" s="231"/>
      <c r="I228" s="28"/>
      <c r="J228" s="225">
        <f t="shared" si="33"/>
        <v>0</v>
      </c>
      <c r="K228" s="225">
        <f t="shared" si="34"/>
        <v>0</v>
      </c>
      <c r="L228" s="429">
        <f>K228*係数!$H$30</f>
        <v>0</v>
      </c>
      <c r="M228" s="36"/>
      <c r="N228" s="495"/>
      <c r="O228" s="28"/>
      <c r="P228" s="1">
        <f t="shared" si="35"/>
        <v>0</v>
      </c>
      <c r="Q228" s="1">
        <f t="shared" si="36"/>
        <v>0</v>
      </c>
      <c r="R228" s="231"/>
      <c r="S228" s="28"/>
      <c r="T228" s="504">
        <f t="shared" si="37"/>
        <v>0</v>
      </c>
      <c r="U228" s="12">
        <f t="shared" si="38"/>
        <v>0</v>
      </c>
      <c r="V228" s="429">
        <f>U228*係数!$H$30</f>
        <v>0</v>
      </c>
      <c r="W228" s="12">
        <f t="shared" si="39"/>
        <v>0</v>
      </c>
      <c r="X228" s="431">
        <f t="shared" si="40"/>
        <v>0</v>
      </c>
    </row>
    <row r="229" spans="2:24" x14ac:dyDescent="0.45">
      <c r="B229" s="208" t="s">
        <v>826</v>
      </c>
      <c r="C229" s="36"/>
      <c r="D229" s="494"/>
      <c r="E229" s="28"/>
      <c r="F229" s="230"/>
      <c r="G229" s="230"/>
      <c r="H229" s="231"/>
      <c r="I229" s="28"/>
      <c r="J229" s="225">
        <f t="shared" si="33"/>
        <v>0</v>
      </c>
      <c r="K229" s="225">
        <f t="shared" si="34"/>
        <v>0</v>
      </c>
      <c r="L229" s="429">
        <f>K229*係数!$H$30</f>
        <v>0</v>
      </c>
      <c r="M229" s="36"/>
      <c r="N229" s="495"/>
      <c r="O229" s="28"/>
      <c r="P229" s="1">
        <f t="shared" si="35"/>
        <v>0</v>
      </c>
      <c r="Q229" s="1">
        <f t="shared" si="36"/>
        <v>0</v>
      </c>
      <c r="R229" s="231"/>
      <c r="S229" s="28"/>
      <c r="T229" s="504">
        <f t="shared" si="37"/>
        <v>0</v>
      </c>
      <c r="U229" s="12">
        <f t="shared" si="38"/>
        <v>0</v>
      </c>
      <c r="V229" s="429">
        <f>U229*係数!$H$30</f>
        <v>0</v>
      </c>
      <c r="W229" s="12">
        <f t="shared" si="39"/>
        <v>0</v>
      </c>
      <c r="X229" s="431">
        <f t="shared" si="40"/>
        <v>0</v>
      </c>
    </row>
    <row r="230" spans="2:24" x14ac:dyDescent="0.45">
      <c r="B230" s="208" t="s">
        <v>827</v>
      </c>
      <c r="C230" s="36"/>
      <c r="D230" s="494"/>
      <c r="E230" s="28"/>
      <c r="F230" s="230"/>
      <c r="G230" s="230"/>
      <c r="H230" s="231"/>
      <c r="I230" s="28"/>
      <c r="J230" s="225">
        <f t="shared" si="33"/>
        <v>0</v>
      </c>
      <c r="K230" s="225">
        <f t="shared" si="34"/>
        <v>0</v>
      </c>
      <c r="L230" s="429">
        <f>K230*係数!$H$30</f>
        <v>0</v>
      </c>
      <c r="M230" s="36"/>
      <c r="N230" s="495"/>
      <c r="O230" s="28"/>
      <c r="P230" s="1">
        <f t="shared" si="35"/>
        <v>0</v>
      </c>
      <c r="Q230" s="1">
        <f t="shared" si="36"/>
        <v>0</v>
      </c>
      <c r="R230" s="231"/>
      <c r="S230" s="28"/>
      <c r="T230" s="504">
        <f t="shared" si="37"/>
        <v>0</v>
      </c>
      <c r="U230" s="12">
        <f t="shared" si="38"/>
        <v>0</v>
      </c>
      <c r="V230" s="429">
        <f>U230*係数!$H$30</f>
        <v>0</v>
      </c>
      <c r="W230" s="12">
        <f t="shared" si="39"/>
        <v>0</v>
      </c>
      <c r="X230" s="431">
        <f t="shared" si="40"/>
        <v>0</v>
      </c>
    </row>
    <row r="231" spans="2:24" x14ac:dyDescent="0.45">
      <c r="B231" s="208" t="s">
        <v>828</v>
      </c>
      <c r="C231" s="36"/>
      <c r="D231" s="494"/>
      <c r="E231" s="28"/>
      <c r="F231" s="230"/>
      <c r="G231" s="230"/>
      <c r="H231" s="231"/>
      <c r="I231" s="28"/>
      <c r="J231" s="225">
        <f t="shared" si="33"/>
        <v>0</v>
      </c>
      <c r="K231" s="225">
        <f t="shared" si="34"/>
        <v>0</v>
      </c>
      <c r="L231" s="429">
        <f>K231*係数!$H$30</f>
        <v>0</v>
      </c>
      <c r="M231" s="36"/>
      <c r="N231" s="495"/>
      <c r="O231" s="28"/>
      <c r="P231" s="1">
        <f t="shared" si="35"/>
        <v>0</v>
      </c>
      <c r="Q231" s="1">
        <f t="shared" si="36"/>
        <v>0</v>
      </c>
      <c r="R231" s="231"/>
      <c r="S231" s="28"/>
      <c r="T231" s="504">
        <f t="shared" si="37"/>
        <v>0</v>
      </c>
      <c r="U231" s="12">
        <f t="shared" si="38"/>
        <v>0</v>
      </c>
      <c r="V231" s="429">
        <f>U231*係数!$H$30</f>
        <v>0</v>
      </c>
      <c r="W231" s="12">
        <f t="shared" si="39"/>
        <v>0</v>
      </c>
      <c r="X231" s="431">
        <f t="shared" si="40"/>
        <v>0</v>
      </c>
    </row>
    <row r="232" spans="2:24" x14ac:dyDescent="0.45">
      <c r="B232" s="208" t="s">
        <v>829</v>
      </c>
      <c r="C232" s="36"/>
      <c r="D232" s="494"/>
      <c r="E232" s="28"/>
      <c r="F232" s="230"/>
      <c r="G232" s="230"/>
      <c r="H232" s="231"/>
      <c r="I232" s="28"/>
      <c r="J232" s="225">
        <f t="shared" si="33"/>
        <v>0</v>
      </c>
      <c r="K232" s="225">
        <f t="shared" si="34"/>
        <v>0</v>
      </c>
      <c r="L232" s="429">
        <f>K232*係数!$H$30</f>
        <v>0</v>
      </c>
      <c r="M232" s="36"/>
      <c r="N232" s="495"/>
      <c r="O232" s="28"/>
      <c r="P232" s="1">
        <f t="shared" si="35"/>
        <v>0</v>
      </c>
      <c r="Q232" s="1">
        <f t="shared" si="36"/>
        <v>0</v>
      </c>
      <c r="R232" s="231"/>
      <c r="S232" s="28"/>
      <c r="T232" s="504">
        <f t="shared" si="37"/>
        <v>0</v>
      </c>
      <c r="U232" s="12">
        <f t="shared" si="38"/>
        <v>0</v>
      </c>
      <c r="V232" s="429">
        <f>U232*係数!$H$30</f>
        <v>0</v>
      </c>
      <c r="W232" s="12">
        <f t="shared" si="39"/>
        <v>0</v>
      </c>
      <c r="X232" s="431">
        <f t="shared" si="40"/>
        <v>0</v>
      </c>
    </row>
    <row r="233" spans="2:24" x14ac:dyDescent="0.45">
      <c r="B233" s="208" t="s">
        <v>830</v>
      </c>
      <c r="C233" s="36"/>
      <c r="D233" s="494"/>
      <c r="E233" s="28"/>
      <c r="F233" s="230"/>
      <c r="G233" s="230"/>
      <c r="H233" s="231"/>
      <c r="I233" s="28"/>
      <c r="J233" s="225">
        <f t="shared" si="33"/>
        <v>0</v>
      </c>
      <c r="K233" s="225">
        <f t="shared" si="34"/>
        <v>0</v>
      </c>
      <c r="L233" s="429">
        <f>K233*係数!$H$30</f>
        <v>0</v>
      </c>
      <c r="M233" s="36"/>
      <c r="N233" s="495"/>
      <c r="O233" s="28"/>
      <c r="P233" s="1">
        <f t="shared" si="35"/>
        <v>0</v>
      </c>
      <c r="Q233" s="1">
        <f t="shared" si="36"/>
        <v>0</v>
      </c>
      <c r="R233" s="231"/>
      <c r="S233" s="28"/>
      <c r="T233" s="504">
        <f t="shared" si="37"/>
        <v>0</v>
      </c>
      <c r="U233" s="12">
        <f t="shared" si="38"/>
        <v>0</v>
      </c>
      <c r="V233" s="429">
        <f>U233*係数!$H$30</f>
        <v>0</v>
      </c>
      <c r="W233" s="12">
        <f t="shared" si="39"/>
        <v>0</v>
      </c>
      <c r="X233" s="431">
        <f t="shared" si="40"/>
        <v>0</v>
      </c>
    </row>
    <row r="234" spans="2:24" x14ac:dyDescent="0.45">
      <c r="B234" s="208" t="s">
        <v>831</v>
      </c>
      <c r="C234" s="36"/>
      <c r="D234" s="494"/>
      <c r="E234" s="28"/>
      <c r="F234" s="230"/>
      <c r="G234" s="230"/>
      <c r="H234" s="231"/>
      <c r="I234" s="28"/>
      <c r="J234" s="225">
        <f t="shared" si="33"/>
        <v>0</v>
      </c>
      <c r="K234" s="225">
        <f t="shared" si="34"/>
        <v>0</v>
      </c>
      <c r="L234" s="429">
        <f>K234*係数!$H$30</f>
        <v>0</v>
      </c>
      <c r="M234" s="36"/>
      <c r="N234" s="495"/>
      <c r="O234" s="28"/>
      <c r="P234" s="1">
        <f t="shared" si="35"/>
        <v>0</v>
      </c>
      <c r="Q234" s="1">
        <f t="shared" si="36"/>
        <v>0</v>
      </c>
      <c r="R234" s="231"/>
      <c r="S234" s="28"/>
      <c r="T234" s="504">
        <f t="shared" si="37"/>
        <v>0</v>
      </c>
      <c r="U234" s="12">
        <f t="shared" si="38"/>
        <v>0</v>
      </c>
      <c r="V234" s="429">
        <f>U234*係数!$H$30</f>
        <v>0</v>
      </c>
      <c r="W234" s="12">
        <f t="shared" si="39"/>
        <v>0</v>
      </c>
      <c r="X234" s="431">
        <f t="shared" si="40"/>
        <v>0</v>
      </c>
    </row>
    <row r="235" spans="2:24" x14ac:dyDescent="0.45">
      <c r="B235" s="208" t="s">
        <v>832</v>
      </c>
      <c r="C235" s="36"/>
      <c r="D235" s="494"/>
      <c r="E235" s="28"/>
      <c r="F235" s="230"/>
      <c r="G235" s="230"/>
      <c r="H235" s="231"/>
      <c r="I235" s="28"/>
      <c r="J235" s="225">
        <f t="shared" si="33"/>
        <v>0</v>
      </c>
      <c r="K235" s="225">
        <f t="shared" si="34"/>
        <v>0</v>
      </c>
      <c r="L235" s="429">
        <f>K235*係数!$H$30</f>
        <v>0</v>
      </c>
      <c r="M235" s="36"/>
      <c r="N235" s="495"/>
      <c r="O235" s="28"/>
      <c r="P235" s="1">
        <f t="shared" si="35"/>
        <v>0</v>
      </c>
      <c r="Q235" s="1">
        <f t="shared" si="36"/>
        <v>0</v>
      </c>
      <c r="R235" s="231"/>
      <c r="S235" s="28"/>
      <c r="T235" s="504">
        <f t="shared" si="37"/>
        <v>0</v>
      </c>
      <c r="U235" s="12">
        <f t="shared" si="38"/>
        <v>0</v>
      </c>
      <c r="V235" s="429">
        <f>U235*係数!$H$30</f>
        <v>0</v>
      </c>
      <c r="W235" s="12">
        <f t="shared" si="39"/>
        <v>0</v>
      </c>
      <c r="X235" s="431">
        <f t="shared" si="40"/>
        <v>0</v>
      </c>
    </row>
    <row r="236" spans="2:24" x14ac:dyDescent="0.45">
      <c r="B236" s="208" t="s">
        <v>833</v>
      </c>
      <c r="C236" s="36"/>
      <c r="D236" s="494"/>
      <c r="E236" s="28"/>
      <c r="F236" s="230"/>
      <c r="G236" s="230"/>
      <c r="H236" s="231"/>
      <c r="I236" s="28"/>
      <c r="J236" s="225">
        <f t="shared" si="33"/>
        <v>0</v>
      </c>
      <c r="K236" s="225">
        <f t="shared" si="34"/>
        <v>0</v>
      </c>
      <c r="L236" s="429">
        <f>K236*係数!$H$30</f>
        <v>0</v>
      </c>
      <c r="M236" s="36"/>
      <c r="N236" s="495"/>
      <c r="O236" s="28"/>
      <c r="P236" s="1">
        <f t="shared" si="35"/>
        <v>0</v>
      </c>
      <c r="Q236" s="1">
        <f t="shared" si="36"/>
        <v>0</v>
      </c>
      <c r="R236" s="231"/>
      <c r="S236" s="28"/>
      <c r="T236" s="504">
        <f t="shared" si="37"/>
        <v>0</v>
      </c>
      <c r="U236" s="12">
        <f t="shared" si="38"/>
        <v>0</v>
      </c>
      <c r="V236" s="429">
        <f>U236*係数!$H$30</f>
        <v>0</v>
      </c>
      <c r="W236" s="12">
        <f t="shared" si="39"/>
        <v>0</v>
      </c>
      <c r="X236" s="431">
        <f t="shared" si="40"/>
        <v>0</v>
      </c>
    </row>
    <row r="237" spans="2:24" x14ac:dyDescent="0.45">
      <c r="B237" s="208" t="s">
        <v>834</v>
      </c>
      <c r="C237" s="36"/>
      <c r="D237" s="494"/>
      <c r="E237" s="28"/>
      <c r="F237" s="230"/>
      <c r="G237" s="230"/>
      <c r="H237" s="231"/>
      <c r="I237" s="28"/>
      <c r="J237" s="225">
        <f t="shared" si="33"/>
        <v>0</v>
      </c>
      <c r="K237" s="225">
        <f t="shared" si="34"/>
        <v>0</v>
      </c>
      <c r="L237" s="429">
        <f>K237*係数!$H$30</f>
        <v>0</v>
      </c>
      <c r="M237" s="36"/>
      <c r="N237" s="495"/>
      <c r="O237" s="28"/>
      <c r="P237" s="1">
        <f t="shared" si="35"/>
        <v>0</v>
      </c>
      <c r="Q237" s="1">
        <f t="shared" si="36"/>
        <v>0</v>
      </c>
      <c r="R237" s="231"/>
      <c r="S237" s="28"/>
      <c r="T237" s="504">
        <f t="shared" si="37"/>
        <v>0</v>
      </c>
      <c r="U237" s="12">
        <f t="shared" si="38"/>
        <v>0</v>
      </c>
      <c r="V237" s="429">
        <f>U237*係数!$H$30</f>
        <v>0</v>
      </c>
      <c r="W237" s="12">
        <f t="shared" si="39"/>
        <v>0</v>
      </c>
      <c r="X237" s="431">
        <f t="shared" si="40"/>
        <v>0</v>
      </c>
    </row>
    <row r="238" spans="2:24" x14ac:dyDescent="0.45">
      <c r="B238" s="208" t="s">
        <v>835</v>
      </c>
      <c r="C238" s="36"/>
      <c r="D238" s="494"/>
      <c r="E238" s="28"/>
      <c r="F238" s="230"/>
      <c r="G238" s="230"/>
      <c r="H238" s="231"/>
      <c r="I238" s="28"/>
      <c r="J238" s="225">
        <f t="shared" si="33"/>
        <v>0</v>
      </c>
      <c r="K238" s="225">
        <f t="shared" si="34"/>
        <v>0</v>
      </c>
      <c r="L238" s="429">
        <f>K238*係数!$H$30</f>
        <v>0</v>
      </c>
      <c r="M238" s="36"/>
      <c r="N238" s="495"/>
      <c r="O238" s="28"/>
      <c r="P238" s="1">
        <f t="shared" si="35"/>
        <v>0</v>
      </c>
      <c r="Q238" s="1">
        <f t="shared" si="36"/>
        <v>0</v>
      </c>
      <c r="R238" s="231"/>
      <c r="S238" s="28"/>
      <c r="T238" s="504">
        <f t="shared" si="37"/>
        <v>0</v>
      </c>
      <c r="U238" s="12">
        <f t="shared" si="38"/>
        <v>0</v>
      </c>
      <c r="V238" s="429">
        <f>U238*係数!$H$30</f>
        <v>0</v>
      </c>
      <c r="W238" s="12">
        <f t="shared" si="39"/>
        <v>0</v>
      </c>
      <c r="X238" s="431">
        <f t="shared" si="40"/>
        <v>0</v>
      </c>
    </row>
    <row r="239" spans="2:24" x14ac:dyDescent="0.45">
      <c r="B239" s="208" t="s">
        <v>836</v>
      </c>
      <c r="C239" s="36"/>
      <c r="D239" s="494"/>
      <c r="E239" s="28"/>
      <c r="F239" s="230"/>
      <c r="G239" s="230"/>
      <c r="H239" s="231"/>
      <c r="I239" s="28"/>
      <c r="J239" s="225">
        <f t="shared" si="33"/>
        <v>0</v>
      </c>
      <c r="K239" s="225">
        <f t="shared" si="34"/>
        <v>0</v>
      </c>
      <c r="L239" s="429">
        <f>K239*係数!$H$30</f>
        <v>0</v>
      </c>
      <c r="M239" s="36"/>
      <c r="N239" s="495"/>
      <c r="O239" s="28"/>
      <c r="P239" s="1">
        <f t="shared" si="35"/>
        <v>0</v>
      </c>
      <c r="Q239" s="1">
        <f t="shared" si="36"/>
        <v>0</v>
      </c>
      <c r="R239" s="231"/>
      <c r="S239" s="28"/>
      <c r="T239" s="504">
        <f t="shared" si="37"/>
        <v>0</v>
      </c>
      <c r="U239" s="12">
        <f t="shared" si="38"/>
        <v>0</v>
      </c>
      <c r="V239" s="429">
        <f>U239*係数!$H$30</f>
        <v>0</v>
      </c>
      <c r="W239" s="12">
        <f t="shared" si="39"/>
        <v>0</v>
      </c>
      <c r="X239" s="431">
        <f t="shared" si="40"/>
        <v>0</v>
      </c>
    </row>
    <row r="240" spans="2:24" x14ac:dyDescent="0.45">
      <c r="B240" s="208" t="s">
        <v>837</v>
      </c>
      <c r="C240" s="36"/>
      <c r="D240" s="494"/>
      <c r="E240" s="28"/>
      <c r="F240" s="230"/>
      <c r="G240" s="230"/>
      <c r="H240" s="231"/>
      <c r="I240" s="28"/>
      <c r="J240" s="225">
        <f t="shared" si="33"/>
        <v>0</v>
      </c>
      <c r="K240" s="225">
        <f t="shared" si="34"/>
        <v>0</v>
      </c>
      <c r="L240" s="429">
        <f>K240*係数!$H$30</f>
        <v>0</v>
      </c>
      <c r="M240" s="36"/>
      <c r="N240" s="495"/>
      <c r="O240" s="28"/>
      <c r="P240" s="1">
        <f t="shared" si="35"/>
        <v>0</v>
      </c>
      <c r="Q240" s="1">
        <f t="shared" si="36"/>
        <v>0</v>
      </c>
      <c r="R240" s="231"/>
      <c r="S240" s="28"/>
      <c r="T240" s="504">
        <f t="shared" si="37"/>
        <v>0</v>
      </c>
      <c r="U240" s="12">
        <f t="shared" si="38"/>
        <v>0</v>
      </c>
      <c r="V240" s="429">
        <f>U240*係数!$H$30</f>
        <v>0</v>
      </c>
      <c r="W240" s="12">
        <f t="shared" si="39"/>
        <v>0</v>
      </c>
      <c r="X240" s="431">
        <f t="shared" si="40"/>
        <v>0</v>
      </c>
    </row>
    <row r="241" spans="2:24" x14ac:dyDescent="0.45">
      <c r="B241" s="208" t="s">
        <v>838</v>
      </c>
      <c r="C241" s="36"/>
      <c r="D241" s="494"/>
      <c r="E241" s="28"/>
      <c r="F241" s="230"/>
      <c r="G241" s="230"/>
      <c r="H241" s="231"/>
      <c r="I241" s="28"/>
      <c r="J241" s="225">
        <f t="shared" si="33"/>
        <v>0</v>
      </c>
      <c r="K241" s="225">
        <f t="shared" si="34"/>
        <v>0</v>
      </c>
      <c r="L241" s="429">
        <f>K241*係数!$H$30</f>
        <v>0</v>
      </c>
      <c r="M241" s="36"/>
      <c r="N241" s="495"/>
      <c r="O241" s="28"/>
      <c r="P241" s="1">
        <f t="shared" si="35"/>
        <v>0</v>
      </c>
      <c r="Q241" s="1">
        <f t="shared" si="36"/>
        <v>0</v>
      </c>
      <c r="R241" s="231"/>
      <c r="S241" s="28"/>
      <c r="T241" s="504">
        <f t="shared" si="37"/>
        <v>0</v>
      </c>
      <c r="U241" s="12">
        <f t="shared" si="38"/>
        <v>0</v>
      </c>
      <c r="V241" s="429">
        <f>U241*係数!$H$30</f>
        <v>0</v>
      </c>
      <c r="W241" s="12">
        <f t="shared" si="39"/>
        <v>0</v>
      </c>
      <c r="X241" s="431">
        <f t="shared" si="40"/>
        <v>0</v>
      </c>
    </row>
    <row r="242" spans="2:24" x14ac:dyDescent="0.45">
      <c r="B242" s="208" t="s">
        <v>839</v>
      </c>
      <c r="C242" s="36"/>
      <c r="D242" s="494"/>
      <c r="E242" s="28"/>
      <c r="F242" s="230"/>
      <c r="G242" s="230"/>
      <c r="H242" s="231"/>
      <c r="I242" s="28"/>
      <c r="J242" s="225">
        <f t="shared" si="33"/>
        <v>0</v>
      </c>
      <c r="K242" s="225">
        <f t="shared" si="34"/>
        <v>0</v>
      </c>
      <c r="L242" s="429">
        <f>K242*係数!$H$30</f>
        <v>0</v>
      </c>
      <c r="M242" s="36"/>
      <c r="N242" s="495"/>
      <c r="O242" s="28"/>
      <c r="P242" s="1">
        <f t="shared" si="35"/>
        <v>0</v>
      </c>
      <c r="Q242" s="1">
        <f t="shared" si="36"/>
        <v>0</v>
      </c>
      <c r="R242" s="231"/>
      <c r="S242" s="28"/>
      <c r="T242" s="504">
        <f t="shared" si="37"/>
        <v>0</v>
      </c>
      <c r="U242" s="12">
        <f t="shared" si="38"/>
        <v>0</v>
      </c>
      <c r="V242" s="429">
        <f>U242*係数!$H$30</f>
        <v>0</v>
      </c>
      <c r="W242" s="12">
        <f t="shared" si="39"/>
        <v>0</v>
      </c>
      <c r="X242" s="431">
        <f t="shared" si="40"/>
        <v>0</v>
      </c>
    </row>
    <row r="243" spans="2:24" x14ac:dyDescent="0.45">
      <c r="B243" s="208" t="s">
        <v>840</v>
      </c>
      <c r="C243" s="36"/>
      <c r="D243" s="494"/>
      <c r="E243" s="28"/>
      <c r="F243" s="230"/>
      <c r="G243" s="230"/>
      <c r="H243" s="231"/>
      <c r="I243" s="28"/>
      <c r="J243" s="225">
        <f t="shared" si="33"/>
        <v>0</v>
      </c>
      <c r="K243" s="225">
        <f t="shared" si="34"/>
        <v>0</v>
      </c>
      <c r="L243" s="429">
        <f>K243*係数!$H$30</f>
        <v>0</v>
      </c>
      <c r="M243" s="36"/>
      <c r="N243" s="495"/>
      <c r="O243" s="28"/>
      <c r="P243" s="1">
        <f t="shared" si="35"/>
        <v>0</v>
      </c>
      <c r="Q243" s="1">
        <f t="shared" si="36"/>
        <v>0</v>
      </c>
      <c r="R243" s="231"/>
      <c r="S243" s="28"/>
      <c r="T243" s="504">
        <f t="shared" si="37"/>
        <v>0</v>
      </c>
      <c r="U243" s="12">
        <f t="shared" si="38"/>
        <v>0</v>
      </c>
      <c r="V243" s="429">
        <f>U243*係数!$H$30</f>
        <v>0</v>
      </c>
      <c r="W243" s="12">
        <f t="shared" si="39"/>
        <v>0</v>
      </c>
      <c r="X243" s="431">
        <f t="shared" si="40"/>
        <v>0</v>
      </c>
    </row>
    <row r="244" spans="2:24" x14ac:dyDescent="0.45">
      <c r="B244" s="208" t="s">
        <v>841</v>
      </c>
      <c r="C244" s="36"/>
      <c r="D244" s="494"/>
      <c r="E244" s="28"/>
      <c r="F244" s="230"/>
      <c r="G244" s="230"/>
      <c r="H244" s="231"/>
      <c r="I244" s="28"/>
      <c r="J244" s="225">
        <f t="shared" si="33"/>
        <v>0</v>
      </c>
      <c r="K244" s="225">
        <f t="shared" si="34"/>
        <v>0</v>
      </c>
      <c r="L244" s="429">
        <f>K244*係数!$H$30</f>
        <v>0</v>
      </c>
      <c r="M244" s="36"/>
      <c r="N244" s="495"/>
      <c r="O244" s="28"/>
      <c r="P244" s="1">
        <f t="shared" si="35"/>
        <v>0</v>
      </c>
      <c r="Q244" s="1">
        <f t="shared" si="36"/>
        <v>0</v>
      </c>
      <c r="R244" s="231"/>
      <c r="S244" s="28"/>
      <c r="T244" s="504">
        <f t="shared" si="37"/>
        <v>0</v>
      </c>
      <c r="U244" s="12">
        <f t="shared" si="38"/>
        <v>0</v>
      </c>
      <c r="V244" s="429">
        <f>U244*係数!$H$30</f>
        <v>0</v>
      </c>
      <c r="W244" s="12">
        <f t="shared" si="39"/>
        <v>0</v>
      </c>
      <c r="X244" s="431">
        <f t="shared" si="40"/>
        <v>0</v>
      </c>
    </row>
    <row r="245" spans="2:24" x14ac:dyDescent="0.45">
      <c r="B245" s="208" t="s">
        <v>842</v>
      </c>
      <c r="C245" s="36"/>
      <c r="D245" s="494"/>
      <c r="E245" s="28"/>
      <c r="F245" s="230"/>
      <c r="G245" s="230"/>
      <c r="H245" s="231"/>
      <c r="I245" s="28"/>
      <c r="J245" s="225">
        <f t="shared" si="33"/>
        <v>0</v>
      </c>
      <c r="K245" s="225">
        <f t="shared" si="34"/>
        <v>0</v>
      </c>
      <c r="L245" s="429">
        <f>K245*係数!$H$30</f>
        <v>0</v>
      </c>
      <c r="M245" s="36"/>
      <c r="N245" s="495"/>
      <c r="O245" s="28"/>
      <c r="P245" s="1">
        <f t="shared" si="35"/>
        <v>0</v>
      </c>
      <c r="Q245" s="1">
        <f t="shared" si="36"/>
        <v>0</v>
      </c>
      <c r="R245" s="231"/>
      <c r="S245" s="28"/>
      <c r="T245" s="504">
        <f t="shared" si="37"/>
        <v>0</v>
      </c>
      <c r="U245" s="12">
        <f t="shared" si="38"/>
        <v>0</v>
      </c>
      <c r="V245" s="429">
        <f>U245*係数!$H$30</f>
        <v>0</v>
      </c>
      <c r="W245" s="12">
        <f t="shared" si="39"/>
        <v>0</v>
      </c>
      <c r="X245" s="431">
        <f t="shared" si="40"/>
        <v>0</v>
      </c>
    </row>
    <row r="246" spans="2:24" x14ac:dyDescent="0.45">
      <c r="B246" s="208" t="s">
        <v>843</v>
      </c>
      <c r="C246" s="36"/>
      <c r="D246" s="494"/>
      <c r="E246" s="28"/>
      <c r="F246" s="230"/>
      <c r="G246" s="230"/>
      <c r="H246" s="231"/>
      <c r="I246" s="28"/>
      <c r="J246" s="225">
        <f t="shared" si="33"/>
        <v>0</v>
      </c>
      <c r="K246" s="225">
        <f t="shared" si="34"/>
        <v>0</v>
      </c>
      <c r="L246" s="429">
        <f>K246*係数!$H$30</f>
        <v>0</v>
      </c>
      <c r="M246" s="36"/>
      <c r="N246" s="495"/>
      <c r="O246" s="28"/>
      <c r="P246" s="1">
        <f t="shared" si="35"/>
        <v>0</v>
      </c>
      <c r="Q246" s="1">
        <f t="shared" si="36"/>
        <v>0</v>
      </c>
      <c r="R246" s="231"/>
      <c r="S246" s="28"/>
      <c r="T246" s="504">
        <f t="shared" si="37"/>
        <v>0</v>
      </c>
      <c r="U246" s="12">
        <f t="shared" si="38"/>
        <v>0</v>
      </c>
      <c r="V246" s="429">
        <f>U246*係数!$H$30</f>
        <v>0</v>
      </c>
      <c r="W246" s="12">
        <f t="shared" si="39"/>
        <v>0</v>
      </c>
      <c r="X246" s="431">
        <f t="shared" si="40"/>
        <v>0</v>
      </c>
    </row>
    <row r="247" spans="2:24" x14ac:dyDescent="0.45">
      <c r="B247" s="208" t="s">
        <v>844</v>
      </c>
      <c r="C247" s="36"/>
      <c r="D247" s="494"/>
      <c r="E247" s="28"/>
      <c r="F247" s="230"/>
      <c r="G247" s="230"/>
      <c r="H247" s="231"/>
      <c r="I247" s="28"/>
      <c r="J247" s="225">
        <f t="shared" si="33"/>
        <v>0</v>
      </c>
      <c r="K247" s="225">
        <f t="shared" si="34"/>
        <v>0</v>
      </c>
      <c r="L247" s="429">
        <f>K247*係数!$H$30</f>
        <v>0</v>
      </c>
      <c r="M247" s="36"/>
      <c r="N247" s="495"/>
      <c r="O247" s="28"/>
      <c r="P247" s="1">
        <f t="shared" si="35"/>
        <v>0</v>
      </c>
      <c r="Q247" s="1">
        <f t="shared" si="36"/>
        <v>0</v>
      </c>
      <c r="R247" s="231"/>
      <c r="S247" s="28"/>
      <c r="T247" s="504">
        <f t="shared" si="37"/>
        <v>0</v>
      </c>
      <c r="U247" s="12">
        <f t="shared" si="38"/>
        <v>0</v>
      </c>
      <c r="V247" s="429">
        <f>U247*係数!$H$30</f>
        <v>0</v>
      </c>
      <c r="W247" s="12">
        <f t="shared" si="39"/>
        <v>0</v>
      </c>
      <c r="X247" s="431">
        <f t="shared" si="40"/>
        <v>0</v>
      </c>
    </row>
    <row r="248" spans="2:24" x14ac:dyDescent="0.45">
      <c r="B248" s="208" t="s">
        <v>845</v>
      </c>
      <c r="C248" s="36"/>
      <c r="D248" s="494"/>
      <c r="E248" s="28"/>
      <c r="F248" s="230"/>
      <c r="G248" s="230"/>
      <c r="H248" s="231"/>
      <c r="I248" s="28"/>
      <c r="J248" s="225">
        <f t="shared" si="33"/>
        <v>0</v>
      </c>
      <c r="K248" s="225">
        <f t="shared" si="34"/>
        <v>0</v>
      </c>
      <c r="L248" s="429">
        <f>K248*係数!$H$30</f>
        <v>0</v>
      </c>
      <c r="M248" s="36"/>
      <c r="N248" s="495"/>
      <c r="O248" s="28"/>
      <c r="P248" s="1">
        <f t="shared" si="35"/>
        <v>0</v>
      </c>
      <c r="Q248" s="1">
        <f t="shared" si="36"/>
        <v>0</v>
      </c>
      <c r="R248" s="231"/>
      <c r="S248" s="28"/>
      <c r="T248" s="504">
        <f t="shared" si="37"/>
        <v>0</v>
      </c>
      <c r="U248" s="12">
        <f t="shared" si="38"/>
        <v>0</v>
      </c>
      <c r="V248" s="429">
        <f>U248*係数!$H$30</f>
        <v>0</v>
      </c>
      <c r="W248" s="12">
        <f t="shared" si="39"/>
        <v>0</v>
      </c>
      <c r="X248" s="431">
        <f t="shared" si="40"/>
        <v>0</v>
      </c>
    </row>
    <row r="249" spans="2:24" x14ac:dyDescent="0.45">
      <c r="B249" s="208" t="s">
        <v>846</v>
      </c>
      <c r="C249" s="36"/>
      <c r="D249" s="494"/>
      <c r="E249" s="28"/>
      <c r="F249" s="230"/>
      <c r="G249" s="230"/>
      <c r="H249" s="231"/>
      <c r="I249" s="28"/>
      <c r="J249" s="225">
        <f t="shared" si="33"/>
        <v>0</v>
      </c>
      <c r="K249" s="225">
        <f t="shared" si="34"/>
        <v>0</v>
      </c>
      <c r="L249" s="429">
        <f>K249*係数!$H$30</f>
        <v>0</v>
      </c>
      <c r="M249" s="36"/>
      <c r="N249" s="495"/>
      <c r="O249" s="28"/>
      <c r="P249" s="1">
        <f t="shared" si="35"/>
        <v>0</v>
      </c>
      <c r="Q249" s="1">
        <f t="shared" si="36"/>
        <v>0</v>
      </c>
      <c r="R249" s="231"/>
      <c r="S249" s="28"/>
      <c r="T249" s="504">
        <f t="shared" si="37"/>
        <v>0</v>
      </c>
      <c r="U249" s="12">
        <f t="shared" si="38"/>
        <v>0</v>
      </c>
      <c r="V249" s="429">
        <f>U249*係数!$H$30</f>
        <v>0</v>
      </c>
      <c r="W249" s="12">
        <f t="shared" si="39"/>
        <v>0</v>
      </c>
      <c r="X249" s="431">
        <f t="shared" si="40"/>
        <v>0</v>
      </c>
    </row>
    <row r="250" spans="2:24" x14ac:dyDescent="0.45">
      <c r="B250" s="208" t="s">
        <v>847</v>
      </c>
      <c r="C250" s="36"/>
      <c r="D250" s="494"/>
      <c r="E250" s="28"/>
      <c r="F250" s="230"/>
      <c r="G250" s="230"/>
      <c r="H250" s="231"/>
      <c r="I250" s="28"/>
      <c r="J250" s="225">
        <f t="shared" si="33"/>
        <v>0</v>
      </c>
      <c r="K250" s="225">
        <f t="shared" si="34"/>
        <v>0</v>
      </c>
      <c r="L250" s="429">
        <f>K250*係数!$H$30</f>
        <v>0</v>
      </c>
      <c r="M250" s="36"/>
      <c r="N250" s="495"/>
      <c r="O250" s="28"/>
      <c r="P250" s="1">
        <f t="shared" si="35"/>
        <v>0</v>
      </c>
      <c r="Q250" s="1">
        <f t="shared" si="36"/>
        <v>0</v>
      </c>
      <c r="R250" s="231"/>
      <c r="S250" s="28"/>
      <c r="T250" s="504">
        <f t="shared" si="37"/>
        <v>0</v>
      </c>
      <c r="U250" s="12">
        <f t="shared" si="38"/>
        <v>0</v>
      </c>
      <c r="V250" s="429">
        <f>U250*係数!$H$30</f>
        <v>0</v>
      </c>
      <c r="W250" s="12">
        <f t="shared" si="39"/>
        <v>0</v>
      </c>
      <c r="X250" s="431">
        <f t="shared" si="40"/>
        <v>0</v>
      </c>
    </row>
    <row r="251" spans="2:24" x14ac:dyDescent="0.45">
      <c r="B251" s="208" t="s">
        <v>848</v>
      </c>
      <c r="C251" s="36"/>
      <c r="D251" s="494"/>
      <c r="E251" s="28"/>
      <c r="F251" s="230"/>
      <c r="G251" s="230"/>
      <c r="H251" s="231"/>
      <c r="I251" s="28"/>
      <c r="J251" s="225">
        <f t="shared" si="33"/>
        <v>0</v>
      </c>
      <c r="K251" s="225">
        <f t="shared" si="34"/>
        <v>0</v>
      </c>
      <c r="L251" s="429">
        <f>K251*係数!$H$30</f>
        <v>0</v>
      </c>
      <c r="M251" s="36"/>
      <c r="N251" s="495"/>
      <c r="O251" s="28"/>
      <c r="P251" s="1">
        <f t="shared" si="35"/>
        <v>0</v>
      </c>
      <c r="Q251" s="1">
        <f t="shared" si="36"/>
        <v>0</v>
      </c>
      <c r="R251" s="231"/>
      <c r="S251" s="28"/>
      <c r="T251" s="504">
        <f t="shared" si="37"/>
        <v>0</v>
      </c>
      <c r="U251" s="12">
        <f t="shared" si="38"/>
        <v>0</v>
      </c>
      <c r="V251" s="429">
        <f>U251*係数!$H$30</f>
        <v>0</v>
      </c>
      <c r="W251" s="12">
        <f t="shared" si="39"/>
        <v>0</v>
      </c>
      <c r="X251" s="431">
        <f t="shared" si="40"/>
        <v>0</v>
      </c>
    </row>
    <row r="252" spans="2:24" x14ac:dyDescent="0.45">
      <c r="B252" s="208" t="s">
        <v>849</v>
      </c>
      <c r="C252" s="36"/>
      <c r="D252" s="494"/>
      <c r="E252" s="28"/>
      <c r="F252" s="230"/>
      <c r="G252" s="230"/>
      <c r="H252" s="231"/>
      <c r="I252" s="28"/>
      <c r="J252" s="225">
        <f t="shared" si="33"/>
        <v>0</v>
      </c>
      <c r="K252" s="225">
        <f t="shared" si="34"/>
        <v>0</v>
      </c>
      <c r="L252" s="429">
        <f>K252*係数!$H$30</f>
        <v>0</v>
      </c>
      <c r="M252" s="36"/>
      <c r="N252" s="495"/>
      <c r="O252" s="28"/>
      <c r="P252" s="1">
        <f t="shared" si="35"/>
        <v>0</v>
      </c>
      <c r="Q252" s="1">
        <f t="shared" si="36"/>
        <v>0</v>
      </c>
      <c r="R252" s="231"/>
      <c r="S252" s="28"/>
      <c r="T252" s="504">
        <f t="shared" si="37"/>
        <v>0</v>
      </c>
      <c r="U252" s="12">
        <f t="shared" si="38"/>
        <v>0</v>
      </c>
      <c r="V252" s="429">
        <f>U252*係数!$H$30</f>
        <v>0</v>
      </c>
      <c r="W252" s="12">
        <f t="shared" si="39"/>
        <v>0</v>
      </c>
      <c r="X252" s="431">
        <f t="shared" si="40"/>
        <v>0</v>
      </c>
    </row>
    <row r="253" spans="2:24" x14ac:dyDescent="0.45">
      <c r="B253" s="208" t="s">
        <v>850</v>
      </c>
      <c r="C253" s="36"/>
      <c r="D253" s="494"/>
      <c r="E253" s="28"/>
      <c r="F253" s="230"/>
      <c r="G253" s="230"/>
      <c r="H253" s="231"/>
      <c r="I253" s="28"/>
      <c r="J253" s="225">
        <f t="shared" si="33"/>
        <v>0</v>
      </c>
      <c r="K253" s="225">
        <f t="shared" si="34"/>
        <v>0</v>
      </c>
      <c r="L253" s="429">
        <f>K253*係数!$H$30</f>
        <v>0</v>
      </c>
      <c r="M253" s="36"/>
      <c r="N253" s="495"/>
      <c r="O253" s="28"/>
      <c r="P253" s="1">
        <f t="shared" si="35"/>
        <v>0</v>
      </c>
      <c r="Q253" s="1">
        <f t="shared" si="36"/>
        <v>0</v>
      </c>
      <c r="R253" s="231"/>
      <c r="S253" s="28"/>
      <c r="T253" s="504">
        <f t="shared" si="37"/>
        <v>0</v>
      </c>
      <c r="U253" s="12">
        <f t="shared" si="38"/>
        <v>0</v>
      </c>
      <c r="V253" s="429">
        <f>U253*係数!$H$30</f>
        <v>0</v>
      </c>
      <c r="W253" s="12">
        <f t="shared" si="39"/>
        <v>0</v>
      </c>
      <c r="X253" s="431">
        <f t="shared" si="40"/>
        <v>0</v>
      </c>
    </row>
    <row r="254" spans="2:24" x14ac:dyDescent="0.45">
      <c r="B254" s="208" t="s">
        <v>851</v>
      </c>
      <c r="C254" s="36"/>
      <c r="D254" s="494"/>
      <c r="E254" s="28"/>
      <c r="F254" s="230"/>
      <c r="G254" s="230"/>
      <c r="H254" s="231"/>
      <c r="I254" s="28"/>
      <c r="J254" s="225">
        <f t="shared" si="33"/>
        <v>0</v>
      </c>
      <c r="K254" s="225">
        <f t="shared" si="34"/>
        <v>0</v>
      </c>
      <c r="L254" s="429">
        <f>K254*係数!$H$30</f>
        <v>0</v>
      </c>
      <c r="M254" s="36"/>
      <c r="N254" s="495"/>
      <c r="O254" s="28"/>
      <c r="P254" s="1">
        <f t="shared" si="35"/>
        <v>0</v>
      </c>
      <c r="Q254" s="1">
        <f t="shared" si="36"/>
        <v>0</v>
      </c>
      <c r="R254" s="231"/>
      <c r="S254" s="28"/>
      <c r="T254" s="504">
        <f t="shared" si="37"/>
        <v>0</v>
      </c>
      <c r="U254" s="12">
        <f t="shared" si="38"/>
        <v>0</v>
      </c>
      <c r="V254" s="429">
        <f>U254*係数!$H$30</f>
        <v>0</v>
      </c>
      <c r="W254" s="12">
        <f t="shared" si="39"/>
        <v>0</v>
      </c>
      <c r="X254" s="431">
        <f t="shared" si="40"/>
        <v>0</v>
      </c>
    </row>
    <row r="255" spans="2:24" x14ac:dyDescent="0.45">
      <c r="B255" s="208" t="s">
        <v>852</v>
      </c>
      <c r="C255" s="36"/>
      <c r="D255" s="494"/>
      <c r="E255" s="28"/>
      <c r="F255" s="230"/>
      <c r="G255" s="230"/>
      <c r="H255" s="231"/>
      <c r="I255" s="28"/>
      <c r="J255" s="225">
        <f t="shared" si="33"/>
        <v>0</v>
      </c>
      <c r="K255" s="225">
        <f t="shared" si="34"/>
        <v>0</v>
      </c>
      <c r="L255" s="429">
        <f>K255*係数!$H$30</f>
        <v>0</v>
      </c>
      <c r="M255" s="36"/>
      <c r="N255" s="495"/>
      <c r="O255" s="28"/>
      <c r="P255" s="1">
        <f t="shared" si="35"/>
        <v>0</v>
      </c>
      <c r="Q255" s="1">
        <f t="shared" si="36"/>
        <v>0</v>
      </c>
      <c r="R255" s="231"/>
      <c r="S255" s="28"/>
      <c r="T255" s="504">
        <f t="shared" si="37"/>
        <v>0</v>
      </c>
      <c r="U255" s="12">
        <f t="shared" si="38"/>
        <v>0</v>
      </c>
      <c r="V255" s="429">
        <f>U255*係数!$H$30</f>
        <v>0</v>
      </c>
      <c r="W255" s="12">
        <f t="shared" si="39"/>
        <v>0</v>
      </c>
      <c r="X255" s="431">
        <f t="shared" si="40"/>
        <v>0</v>
      </c>
    </row>
    <row r="256" spans="2:24" x14ac:dyDescent="0.45">
      <c r="B256" s="208" t="s">
        <v>853</v>
      </c>
      <c r="C256" s="36"/>
      <c r="D256" s="494"/>
      <c r="E256" s="28"/>
      <c r="F256" s="230"/>
      <c r="G256" s="230"/>
      <c r="H256" s="231"/>
      <c r="I256" s="28"/>
      <c r="J256" s="225">
        <f t="shared" si="33"/>
        <v>0</v>
      </c>
      <c r="K256" s="225">
        <f t="shared" si="34"/>
        <v>0</v>
      </c>
      <c r="L256" s="429">
        <f>K256*係数!$H$30</f>
        <v>0</v>
      </c>
      <c r="M256" s="36"/>
      <c r="N256" s="495"/>
      <c r="O256" s="28"/>
      <c r="P256" s="1">
        <f t="shared" si="35"/>
        <v>0</v>
      </c>
      <c r="Q256" s="1">
        <f t="shared" si="36"/>
        <v>0</v>
      </c>
      <c r="R256" s="231"/>
      <c r="S256" s="28"/>
      <c r="T256" s="504">
        <f t="shared" si="37"/>
        <v>0</v>
      </c>
      <c r="U256" s="12">
        <f t="shared" si="38"/>
        <v>0</v>
      </c>
      <c r="V256" s="429">
        <f>U256*係数!$H$30</f>
        <v>0</v>
      </c>
      <c r="W256" s="12">
        <f t="shared" si="39"/>
        <v>0</v>
      </c>
      <c r="X256" s="431">
        <f t="shared" si="40"/>
        <v>0</v>
      </c>
    </row>
    <row r="257" spans="2:24" x14ac:dyDescent="0.45">
      <c r="B257" s="208" t="s">
        <v>854</v>
      </c>
      <c r="C257" s="36"/>
      <c r="D257" s="494"/>
      <c r="E257" s="28"/>
      <c r="F257" s="230"/>
      <c r="G257" s="230"/>
      <c r="H257" s="231"/>
      <c r="I257" s="28"/>
      <c r="J257" s="225">
        <f t="shared" si="33"/>
        <v>0</v>
      </c>
      <c r="K257" s="225">
        <f t="shared" si="34"/>
        <v>0</v>
      </c>
      <c r="L257" s="429">
        <f>K257*係数!$H$30</f>
        <v>0</v>
      </c>
      <c r="M257" s="36"/>
      <c r="N257" s="495"/>
      <c r="O257" s="28"/>
      <c r="P257" s="1">
        <f t="shared" si="35"/>
        <v>0</v>
      </c>
      <c r="Q257" s="1">
        <f t="shared" si="36"/>
        <v>0</v>
      </c>
      <c r="R257" s="231"/>
      <c r="S257" s="28"/>
      <c r="T257" s="504">
        <f t="shared" si="37"/>
        <v>0</v>
      </c>
      <c r="U257" s="12">
        <f t="shared" si="38"/>
        <v>0</v>
      </c>
      <c r="V257" s="429">
        <f>U257*係数!$H$30</f>
        <v>0</v>
      </c>
      <c r="W257" s="12">
        <f t="shared" si="39"/>
        <v>0</v>
      </c>
      <c r="X257" s="431">
        <f t="shared" si="40"/>
        <v>0</v>
      </c>
    </row>
    <row r="258" spans="2:24" x14ac:dyDescent="0.45">
      <c r="B258" s="208" t="s">
        <v>855</v>
      </c>
      <c r="C258" s="36"/>
      <c r="D258" s="494"/>
      <c r="E258" s="28"/>
      <c r="F258" s="230"/>
      <c r="G258" s="230"/>
      <c r="H258" s="231"/>
      <c r="I258" s="28"/>
      <c r="J258" s="225">
        <f t="shared" si="33"/>
        <v>0</v>
      </c>
      <c r="K258" s="225">
        <f t="shared" si="34"/>
        <v>0</v>
      </c>
      <c r="L258" s="429">
        <f>K258*係数!$H$30</f>
        <v>0</v>
      </c>
      <c r="M258" s="36"/>
      <c r="N258" s="495"/>
      <c r="O258" s="28"/>
      <c r="P258" s="1">
        <f t="shared" si="35"/>
        <v>0</v>
      </c>
      <c r="Q258" s="1">
        <f t="shared" si="36"/>
        <v>0</v>
      </c>
      <c r="R258" s="231"/>
      <c r="S258" s="28"/>
      <c r="T258" s="504">
        <f t="shared" si="37"/>
        <v>0</v>
      </c>
      <c r="U258" s="12">
        <f t="shared" si="38"/>
        <v>0</v>
      </c>
      <c r="V258" s="429">
        <f>U258*係数!$H$30</f>
        <v>0</v>
      </c>
      <c r="W258" s="12">
        <f t="shared" si="39"/>
        <v>0</v>
      </c>
      <c r="X258" s="431">
        <f t="shared" si="40"/>
        <v>0</v>
      </c>
    </row>
    <row r="259" spans="2:24" x14ac:dyDescent="0.45">
      <c r="B259" s="208" t="s">
        <v>856</v>
      </c>
      <c r="C259" s="36"/>
      <c r="D259" s="494"/>
      <c r="E259" s="28"/>
      <c r="F259" s="230"/>
      <c r="G259" s="230"/>
      <c r="H259" s="231"/>
      <c r="I259" s="28"/>
      <c r="J259" s="225">
        <f t="shared" si="33"/>
        <v>0</v>
      </c>
      <c r="K259" s="225">
        <f t="shared" si="34"/>
        <v>0</v>
      </c>
      <c r="L259" s="429">
        <f>K259*係数!$H$30</f>
        <v>0</v>
      </c>
      <c r="M259" s="36"/>
      <c r="N259" s="495"/>
      <c r="O259" s="28"/>
      <c r="P259" s="1">
        <f t="shared" si="35"/>
        <v>0</v>
      </c>
      <c r="Q259" s="1">
        <f t="shared" si="36"/>
        <v>0</v>
      </c>
      <c r="R259" s="231"/>
      <c r="S259" s="28"/>
      <c r="T259" s="504">
        <f t="shared" si="37"/>
        <v>0</v>
      </c>
      <c r="U259" s="12">
        <f t="shared" si="38"/>
        <v>0</v>
      </c>
      <c r="V259" s="429">
        <f>U259*係数!$H$30</f>
        <v>0</v>
      </c>
      <c r="W259" s="12">
        <f t="shared" si="39"/>
        <v>0</v>
      </c>
      <c r="X259" s="431">
        <f t="shared" si="40"/>
        <v>0</v>
      </c>
    </row>
    <row r="260" spans="2:24" x14ac:dyDescent="0.45">
      <c r="B260" s="208" t="s">
        <v>857</v>
      </c>
      <c r="C260" s="36"/>
      <c r="D260" s="494"/>
      <c r="E260" s="28"/>
      <c r="F260" s="230"/>
      <c r="G260" s="230"/>
      <c r="H260" s="231"/>
      <c r="I260" s="28"/>
      <c r="J260" s="225">
        <f t="shared" si="33"/>
        <v>0</v>
      </c>
      <c r="K260" s="225">
        <f t="shared" si="34"/>
        <v>0</v>
      </c>
      <c r="L260" s="429">
        <f>K260*係数!$H$30</f>
        <v>0</v>
      </c>
      <c r="M260" s="36"/>
      <c r="N260" s="495"/>
      <c r="O260" s="28"/>
      <c r="P260" s="1">
        <f t="shared" si="35"/>
        <v>0</v>
      </c>
      <c r="Q260" s="1">
        <f t="shared" si="36"/>
        <v>0</v>
      </c>
      <c r="R260" s="231"/>
      <c r="S260" s="28"/>
      <c r="T260" s="504">
        <f t="shared" si="37"/>
        <v>0</v>
      </c>
      <c r="U260" s="12">
        <f t="shared" si="38"/>
        <v>0</v>
      </c>
      <c r="V260" s="429">
        <f>U260*係数!$H$30</f>
        <v>0</v>
      </c>
      <c r="W260" s="12">
        <f t="shared" si="39"/>
        <v>0</v>
      </c>
      <c r="X260" s="431">
        <f t="shared" si="40"/>
        <v>0</v>
      </c>
    </row>
    <row r="261" spans="2:24" x14ac:dyDescent="0.45">
      <c r="B261" s="208" t="s">
        <v>858</v>
      </c>
      <c r="C261" s="36"/>
      <c r="D261" s="494"/>
      <c r="E261" s="28"/>
      <c r="F261" s="230"/>
      <c r="G261" s="230"/>
      <c r="H261" s="231"/>
      <c r="I261" s="28"/>
      <c r="J261" s="225">
        <f t="shared" si="33"/>
        <v>0</v>
      </c>
      <c r="K261" s="225">
        <f t="shared" si="34"/>
        <v>0</v>
      </c>
      <c r="L261" s="429">
        <f>K261*係数!$H$30</f>
        <v>0</v>
      </c>
      <c r="M261" s="36"/>
      <c r="N261" s="495"/>
      <c r="O261" s="28"/>
      <c r="P261" s="1">
        <f t="shared" si="35"/>
        <v>0</v>
      </c>
      <c r="Q261" s="1">
        <f t="shared" si="36"/>
        <v>0</v>
      </c>
      <c r="R261" s="231"/>
      <c r="S261" s="28"/>
      <c r="T261" s="504">
        <f t="shared" si="37"/>
        <v>0</v>
      </c>
      <c r="U261" s="12">
        <f t="shared" si="38"/>
        <v>0</v>
      </c>
      <c r="V261" s="429">
        <f>U261*係数!$H$30</f>
        <v>0</v>
      </c>
      <c r="W261" s="12">
        <f t="shared" si="39"/>
        <v>0</v>
      </c>
      <c r="X261" s="431">
        <f t="shared" si="40"/>
        <v>0</v>
      </c>
    </row>
    <row r="262" spans="2:24" x14ac:dyDescent="0.45">
      <c r="B262" s="208" t="s">
        <v>859</v>
      </c>
      <c r="C262" s="36"/>
      <c r="D262" s="494"/>
      <c r="E262" s="28"/>
      <c r="F262" s="230"/>
      <c r="G262" s="230"/>
      <c r="H262" s="231"/>
      <c r="I262" s="28"/>
      <c r="J262" s="225">
        <f t="shared" si="33"/>
        <v>0</v>
      </c>
      <c r="K262" s="225">
        <f t="shared" si="34"/>
        <v>0</v>
      </c>
      <c r="L262" s="429">
        <f>K262*係数!$H$30</f>
        <v>0</v>
      </c>
      <c r="M262" s="36"/>
      <c r="N262" s="495"/>
      <c r="O262" s="28"/>
      <c r="P262" s="1">
        <f t="shared" si="35"/>
        <v>0</v>
      </c>
      <c r="Q262" s="1">
        <f t="shared" si="36"/>
        <v>0</v>
      </c>
      <c r="R262" s="231"/>
      <c r="S262" s="28"/>
      <c r="T262" s="504">
        <f t="shared" si="37"/>
        <v>0</v>
      </c>
      <c r="U262" s="12">
        <f t="shared" si="38"/>
        <v>0</v>
      </c>
      <c r="V262" s="429">
        <f>U262*係数!$H$30</f>
        <v>0</v>
      </c>
      <c r="W262" s="12">
        <f t="shared" si="39"/>
        <v>0</v>
      </c>
      <c r="X262" s="431">
        <f t="shared" si="40"/>
        <v>0</v>
      </c>
    </row>
    <row r="263" spans="2:24" x14ac:dyDescent="0.45">
      <c r="B263" s="208" t="s">
        <v>860</v>
      </c>
      <c r="C263" s="36"/>
      <c r="D263" s="494"/>
      <c r="E263" s="28"/>
      <c r="F263" s="230"/>
      <c r="G263" s="230"/>
      <c r="H263" s="231"/>
      <c r="I263" s="28"/>
      <c r="J263" s="225">
        <f t="shared" si="33"/>
        <v>0</v>
      </c>
      <c r="K263" s="225">
        <f t="shared" si="34"/>
        <v>0</v>
      </c>
      <c r="L263" s="429">
        <f>K263*係数!$H$30</f>
        <v>0</v>
      </c>
      <c r="M263" s="36"/>
      <c r="N263" s="495"/>
      <c r="O263" s="28"/>
      <c r="P263" s="1">
        <f t="shared" si="35"/>
        <v>0</v>
      </c>
      <c r="Q263" s="1">
        <f t="shared" si="36"/>
        <v>0</v>
      </c>
      <c r="R263" s="231"/>
      <c r="S263" s="28"/>
      <c r="T263" s="504">
        <f t="shared" si="37"/>
        <v>0</v>
      </c>
      <c r="U263" s="12">
        <f t="shared" si="38"/>
        <v>0</v>
      </c>
      <c r="V263" s="429">
        <f>U263*係数!$H$30</f>
        <v>0</v>
      </c>
      <c r="W263" s="12">
        <f t="shared" si="39"/>
        <v>0</v>
      </c>
      <c r="X263" s="431">
        <f t="shared" si="40"/>
        <v>0</v>
      </c>
    </row>
    <row r="264" spans="2:24" x14ac:dyDescent="0.45">
      <c r="B264" s="208" t="s">
        <v>861</v>
      </c>
      <c r="C264" s="36"/>
      <c r="D264" s="494"/>
      <c r="E264" s="28"/>
      <c r="F264" s="230"/>
      <c r="G264" s="230"/>
      <c r="H264" s="231"/>
      <c r="I264" s="28"/>
      <c r="J264" s="225">
        <f t="shared" si="33"/>
        <v>0</v>
      </c>
      <c r="K264" s="225">
        <f t="shared" si="34"/>
        <v>0</v>
      </c>
      <c r="L264" s="429">
        <f>K264*係数!$H$30</f>
        <v>0</v>
      </c>
      <c r="M264" s="36"/>
      <c r="N264" s="495"/>
      <c r="O264" s="28"/>
      <c r="P264" s="1">
        <f t="shared" si="35"/>
        <v>0</v>
      </c>
      <c r="Q264" s="1">
        <f t="shared" si="36"/>
        <v>0</v>
      </c>
      <c r="R264" s="231"/>
      <c r="S264" s="28"/>
      <c r="T264" s="504">
        <f t="shared" si="37"/>
        <v>0</v>
      </c>
      <c r="U264" s="12">
        <f t="shared" si="38"/>
        <v>0</v>
      </c>
      <c r="V264" s="429">
        <f>U264*係数!$H$30</f>
        <v>0</v>
      </c>
      <c r="W264" s="12">
        <f t="shared" si="39"/>
        <v>0</v>
      </c>
      <c r="X264" s="431">
        <f t="shared" si="40"/>
        <v>0</v>
      </c>
    </row>
    <row r="265" spans="2:24" x14ac:dyDescent="0.45">
      <c r="B265" s="208" t="s">
        <v>862</v>
      </c>
      <c r="C265" s="36"/>
      <c r="D265" s="494"/>
      <c r="E265" s="28"/>
      <c r="F265" s="230"/>
      <c r="G265" s="230"/>
      <c r="H265" s="231"/>
      <c r="I265" s="28"/>
      <c r="J265" s="225">
        <f t="shared" si="33"/>
        <v>0</v>
      </c>
      <c r="K265" s="225">
        <f t="shared" si="34"/>
        <v>0</v>
      </c>
      <c r="L265" s="429">
        <f>K265*係数!$H$30</f>
        <v>0</v>
      </c>
      <c r="M265" s="36"/>
      <c r="N265" s="495"/>
      <c r="O265" s="28"/>
      <c r="P265" s="1">
        <f t="shared" si="35"/>
        <v>0</v>
      </c>
      <c r="Q265" s="1">
        <f t="shared" si="36"/>
        <v>0</v>
      </c>
      <c r="R265" s="231"/>
      <c r="S265" s="28"/>
      <c r="T265" s="504">
        <f t="shared" si="37"/>
        <v>0</v>
      </c>
      <c r="U265" s="12">
        <f t="shared" si="38"/>
        <v>0</v>
      </c>
      <c r="V265" s="429">
        <f>U265*係数!$H$30</f>
        <v>0</v>
      </c>
      <c r="W265" s="12">
        <f t="shared" si="39"/>
        <v>0</v>
      </c>
      <c r="X265" s="431">
        <f t="shared" si="40"/>
        <v>0</v>
      </c>
    </row>
    <row r="266" spans="2:24" x14ac:dyDescent="0.45">
      <c r="B266" s="208" t="s">
        <v>863</v>
      </c>
      <c r="C266" s="36"/>
      <c r="D266" s="494"/>
      <c r="E266" s="28"/>
      <c r="F266" s="230"/>
      <c r="G266" s="230"/>
      <c r="H266" s="231"/>
      <c r="I266" s="28"/>
      <c r="J266" s="225">
        <f t="shared" si="33"/>
        <v>0</v>
      </c>
      <c r="K266" s="225">
        <f t="shared" si="34"/>
        <v>0</v>
      </c>
      <c r="L266" s="429">
        <f>K266*係数!$H$30</f>
        <v>0</v>
      </c>
      <c r="M266" s="36"/>
      <c r="N266" s="495"/>
      <c r="O266" s="28"/>
      <c r="P266" s="1">
        <f t="shared" si="35"/>
        <v>0</v>
      </c>
      <c r="Q266" s="1">
        <f t="shared" si="36"/>
        <v>0</v>
      </c>
      <c r="R266" s="231"/>
      <c r="S266" s="28"/>
      <c r="T266" s="504">
        <f t="shared" si="37"/>
        <v>0</v>
      </c>
      <c r="U266" s="12">
        <f t="shared" si="38"/>
        <v>0</v>
      </c>
      <c r="V266" s="429">
        <f>U266*係数!$H$30</f>
        <v>0</v>
      </c>
      <c r="W266" s="12">
        <f t="shared" si="39"/>
        <v>0</v>
      </c>
      <c r="X266" s="431">
        <f t="shared" si="40"/>
        <v>0</v>
      </c>
    </row>
    <row r="267" spans="2:24" x14ac:dyDescent="0.45">
      <c r="B267" s="208" t="s">
        <v>864</v>
      </c>
      <c r="C267" s="36"/>
      <c r="D267" s="494"/>
      <c r="E267" s="28"/>
      <c r="F267" s="230"/>
      <c r="G267" s="230"/>
      <c r="H267" s="231"/>
      <c r="I267" s="28"/>
      <c r="J267" s="225">
        <f t="shared" si="33"/>
        <v>0</v>
      </c>
      <c r="K267" s="225">
        <f t="shared" si="34"/>
        <v>0</v>
      </c>
      <c r="L267" s="429">
        <f>K267*係数!$H$30</f>
        <v>0</v>
      </c>
      <c r="M267" s="36"/>
      <c r="N267" s="495"/>
      <c r="O267" s="28"/>
      <c r="P267" s="1">
        <f t="shared" si="35"/>
        <v>0</v>
      </c>
      <c r="Q267" s="1">
        <f t="shared" si="36"/>
        <v>0</v>
      </c>
      <c r="R267" s="231"/>
      <c r="S267" s="28"/>
      <c r="T267" s="504">
        <f t="shared" si="37"/>
        <v>0</v>
      </c>
      <c r="U267" s="12">
        <f t="shared" si="38"/>
        <v>0</v>
      </c>
      <c r="V267" s="429">
        <f>U267*係数!$H$30</f>
        <v>0</v>
      </c>
      <c r="W267" s="12">
        <f t="shared" si="39"/>
        <v>0</v>
      </c>
      <c r="X267" s="431">
        <f t="shared" si="40"/>
        <v>0</v>
      </c>
    </row>
    <row r="268" spans="2:24" x14ac:dyDescent="0.45">
      <c r="B268" s="208" t="s">
        <v>865</v>
      </c>
      <c r="C268" s="36"/>
      <c r="D268" s="494"/>
      <c r="E268" s="28"/>
      <c r="F268" s="230"/>
      <c r="G268" s="230"/>
      <c r="H268" s="231"/>
      <c r="I268" s="28"/>
      <c r="J268" s="225">
        <f t="shared" si="33"/>
        <v>0</v>
      </c>
      <c r="K268" s="225">
        <f t="shared" si="34"/>
        <v>0</v>
      </c>
      <c r="L268" s="429">
        <f>K268*係数!$H$30</f>
        <v>0</v>
      </c>
      <c r="M268" s="36"/>
      <c r="N268" s="495"/>
      <c r="O268" s="28"/>
      <c r="P268" s="1">
        <f t="shared" si="35"/>
        <v>0</v>
      </c>
      <c r="Q268" s="1">
        <f t="shared" si="36"/>
        <v>0</v>
      </c>
      <c r="R268" s="231"/>
      <c r="S268" s="28"/>
      <c r="T268" s="504">
        <f t="shared" si="37"/>
        <v>0</v>
      </c>
      <c r="U268" s="12">
        <f t="shared" si="38"/>
        <v>0</v>
      </c>
      <c r="V268" s="429">
        <f>U268*係数!$H$30</f>
        <v>0</v>
      </c>
      <c r="W268" s="12">
        <f t="shared" si="39"/>
        <v>0</v>
      </c>
      <c r="X268" s="431">
        <f t="shared" si="40"/>
        <v>0</v>
      </c>
    </row>
    <row r="269" spans="2:24" x14ac:dyDescent="0.45">
      <c r="B269" s="208" t="s">
        <v>866</v>
      </c>
      <c r="C269" s="36"/>
      <c r="D269" s="494"/>
      <c r="E269" s="28"/>
      <c r="F269" s="230"/>
      <c r="G269" s="230"/>
      <c r="H269" s="231"/>
      <c r="I269" s="28"/>
      <c r="J269" s="225">
        <f t="shared" si="33"/>
        <v>0</v>
      </c>
      <c r="K269" s="225">
        <f t="shared" si="34"/>
        <v>0</v>
      </c>
      <c r="L269" s="429">
        <f>K269*係数!$H$30</f>
        <v>0</v>
      </c>
      <c r="M269" s="36"/>
      <c r="N269" s="495"/>
      <c r="O269" s="28"/>
      <c r="P269" s="1">
        <f t="shared" si="35"/>
        <v>0</v>
      </c>
      <c r="Q269" s="1">
        <f t="shared" si="36"/>
        <v>0</v>
      </c>
      <c r="R269" s="231"/>
      <c r="S269" s="28"/>
      <c r="T269" s="504">
        <f t="shared" si="37"/>
        <v>0</v>
      </c>
      <c r="U269" s="12">
        <f t="shared" si="38"/>
        <v>0</v>
      </c>
      <c r="V269" s="429">
        <f>U269*係数!$H$30</f>
        <v>0</v>
      </c>
      <c r="W269" s="12">
        <f t="shared" si="39"/>
        <v>0</v>
      </c>
      <c r="X269" s="431">
        <f t="shared" si="40"/>
        <v>0</v>
      </c>
    </row>
    <row r="270" spans="2:24" x14ac:dyDescent="0.45">
      <c r="B270" s="208" t="s">
        <v>867</v>
      </c>
      <c r="C270" s="36"/>
      <c r="D270" s="494"/>
      <c r="E270" s="28"/>
      <c r="F270" s="230"/>
      <c r="G270" s="230"/>
      <c r="H270" s="231"/>
      <c r="I270" s="28"/>
      <c r="J270" s="225">
        <f t="shared" si="33"/>
        <v>0</v>
      </c>
      <c r="K270" s="225">
        <f t="shared" si="34"/>
        <v>0</v>
      </c>
      <c r="L270" s="429">
        <f>K270*係数!$H$30</f>
        <v>0</v>
      </c>
      <c r="M270" s="36"/>
      <c r="N270" s="495"/>
      <c r="O270" s="28"/>
      <c r="P270" s="1">
        <f t="shared" si="35"/>
        <v>0</v>
      </c>
      <c r="Q270" s="1">
        <f t="shared" si="36"/>
        <v>0</v>
      </c>
      <c r="R270" s="231"/>
      <c r="S270" s="28"/>
      <c r="T270" s="504">
        <f t="shared" si="37"/>
        <v>0</v>
      </c>
      <c r="U270" s="12">
        <f t="shared" si="38"/>
        <v>0</v>
      </c>
      <c r="V270" s="429">
        <f>U270*係数!$H$30</f>
        <v>0</v>
      </c>
      <c r="W270" s="12">
        <f t="shared" si="39"/>
        <v>0</v>
      </c>
      <c r="X270" s="431">
        <f t="shared" si="40"/>
        <v>0</v>
      </c>
    </row>
    <row r="271" spans="2:24" x14ac:dyDescent="0.45">
      <c r="B271" s="208" t="s">
        <v>868</v>
      </c>
      <c r="C271" s="36"/>
      <c r="D271" s="494"/>
      <c r="E271" s="28"/>
      <c r="F271" s="230"/>
      <c r="G271" s="230"/>
      <c r="H271" s="231"/>
      <c r="I271" s="28"/>
      <c r="J271" s="225">
        <f t="shared" si="33"/>
        <v>0</v>
      </c>
      <c r="K271" s="225">
        <f t="shared" si="34"/>
        <v>0</v>
      </c>
      <c r="L271" s="429">
        <f>K271*係数!$H$30</f>
        <v>0</v>
      </c>
      <c r="M271" s="36"/>
      <c r="N271" s="495"/>
      <c r="O271" s="28"/>
      <c r="P271" s="1">
        <f t="shared" si="35"/>
        <v>0</v>
      </c>
      <c r="Q271" s="1">
        <f t="shared" si="36"/>
        <v>0</v>
      </c>
      <c r="R271" s="231"/>
      <c r="S271" s="28"/>
      <c r="T271" s="504">
        <f t="shared" si="37"/>
        <v>0</v>
      </c>
      <c r="U271" s="12">
        <f t="shared" si="38"/>
        <v>0</v>
      </c>
      <c r="V271" s="429">
        <f>U271*係数!$H$30</f>
        <v>0</v>
      </c>
      <c r="W271" s="12">
        <f t="shared" si="39"/>
        <v>0</v>
      </c>
      <c r="X271" s="431">
        <f t="shared" si="40"/>
        <v>0</v>
      </c>
    </row>
    <row r="272" spans="2:24" x14ac:dyDescent="0.45">
      <c r="B272" s="208" t="s">
        <v>869</v>
      </c>
      <c r="C272" s="36"/>
      <c r="D272" s="494"/>
      <c r="E272" s="28"/>
      <c r="F272" s="230"/>
      <c r="G272" s="230"/>
      <c r="H272" s="231"/>
      <c r="I272" s="28"/>
      <c r="J272" s="225">
        <f t="shared" si="33"/>
        <v>0</v>
      </c>
      <c r="K272" s="225">
        <f t="shared" si="34"/>
        <v>0</v>
      </c>
      <c r="L272" s="429">
        <f>K272*係数!$H$30</f>
        <v>0</v>
      </c>
      <c r="M272" s="36"/>
      <c r="N272" s="495"/>
      <c r="O272" s="28"/>
      <c r="P272" s="1">
        <f t="shared" si="35"/>
        <v>0</v>
      </c>
      <c r="Q272" s="1">
        <f t="shared" si="36"/>
        <v>0</v>
      </c>
      <c r="R272" s="231"/>
      <c r="S272" s="28"/>
      <c r="T272" s="504">
        <f t="shared" si="37"/>
        <v>0</v>
      </c>
      <c r="U272" s="12">
        <f t="shared" si="38"/>
        <v>0</v>
      </c>
      <c r="V272" s="429">
        <f>U272*係数!$H$30</f>
        <v>0</v>
      </c>
      <c r="W272" s="12">
        <f t="shared" si="39"/>
        <v>0</v>
      </c>
      <c r="X272" s="431">
        <f t="shared" si="40"/>
        <v>0</v>
      </c>
    </row>
    <row r="273" spans="2:24" x14ac:dyDescent="0.45">
      <c r="B273" s="208" t="s">
        <v>870</v>
      </c>
      <c r="C273" s="36"/>
      <c r="D273" s="494"/>
      <c r="E273" s="28"/>
      <c r="F273" s="230"/>
      <c r="G273" s="230"/>
      <c r="H273" s="231"/>
      <c r="I273" s="28"/>
      <c r="J273" s="225">
        <f t="shared" si="33"/>
        <v>0</v>
      </c>
      <c r="K273" s="225">
        <f t="shared" si="34"/>
        <v>0</v>
      </c>
      <c r="L273" s="429">
        <f>K273*係数!$H$30</f>
        <v>0</v>
      </c>
      <c r="M273" s="36"/>
      <c r="N273" s="495"/>
      <c r="O273" s="28"/>
      <c r="P273" s="1">
        <f t="shared" si="35"/>
        <v>0</v>
      </c>
      <c r="Q273" s="1">
        <f t="shared" si="36"/>
        <v>0</v>
      </c>
      <c r="R273" s="231"/>
      <c r="S273" s="28"/>
      <c r="T273" s="504">
        <f t="shared" si="37"/>
        <v>0</v>
      </c>
      <c r="U273" s="12">
        <f t="shared" si="38"/>
        <v>0</v>
      </c>
      <c r="V273" s="429">
        <f>U273*係数!$H$30</f>
        <v>0</v>
      </c>
      <c r="W273" s="12">
        <f t="shared" si="39"/>
        <v>0</v>
      </c>
      <c r="X273" s="431">
        <f t="shared" si="40"/>
        <v>0</v>
      </c>
    </row>
    <row r="274" spans="2:24" x14ac:dyDescent="0.45">
      <c r="B274" s="208" t="s">
        <v>871</v>
      </c>
      <c r="C274" s="36"/>
      <c r="D274" s="494"/>
      <c r="E274" s="28"/>
      <c r="F274" s="230"/>
      <c r="G274" s="230"/>
      <c r="H274" s="231"/>
      <c r="I274" s="28"/>
      <c r="J274" s="225">
        <f t="shared" si="33"/>
        <v>0</v>
      </c>
      <c r="K274" s="225">
        <f t="shared" si="34"/>
        <v>0</v>
      </c>
      <c r="L274" s="429">
        <f>K274*係数!$H$30</f>
        <v>0</v>
      </c>
      <c r="M274" s="36"/>
      <c r="N274" s="495"/>
      <c r="O274" s="28"/>
      <c r="P274" s="1">
        <f t="shared" si="35"/>
        <v>0</v>
      </c>
      <c r="Q274" s="1">
        <f t="shared" si="36"/>
        <v>0</v>
      </c>
      <c r="R274" s="231"/>
      <c r="S274" s="28"/>
      <c r="T274" s="504">
        <f t="shared" si="37"/>
        <v>0</v>
      </c>
      <c r="U274" s="12">
        <f t="shared" si="38"/>
        <v>0</v>
      </c>
      <c r="V274" s="429">
        <f>U274*係数!$H$30</f>
        <v>0</v>
      </c>
      <c r="W274" s="12">
        <f t="shared" si="39"/>
        <v>0</v>
      </c>
      <c r="X274" s="431">
        <f t="shared" si="40"/>
        <v>0</v>
      </c>
    </row>
    <row r="275" spans="2:24" x14ac:dyDescent="0.45">
      <c r="B275" s="208" t="s">
        <v>872</v>
      </c>
      <c r="C275" s="36"/>
      <c r="D275" s="494"/>
      <c r="E275" s="28"/>
      <c r="F275" s="230"/>
      <c r="G275" s="230"/>
      <c r="H275" s="231"/>
      <c r="I275" s="28"/>
      <c r="J275" s="225">
        <f t="shared" si="33"/>
        <v>0</v>
      </c>
      <c r="K275" s="225">
        <f t="shared" si="34"/>
        <v>0</v>
      </c>
      <c r="L275" s="429">
        <f>K275*係数!$H$30</f>
        <v>0</v>
      </c>
      <c r="M275" s="36"/>
      <c r="N275" s="495"/>
      <c r="O275" s="28"/>
      <c r="P275" s="1">
        <f t="shared" si="35"/>
        <v>0</v>
      </c>
      <c r="Q275" s="1">
        <f t="shared" si="36"/>
        <v>0</v>
      </c>
      <c r="R275" s="231"/>
      <c r="S275" s="28"/>
      <c r="T275" s="504">
        <f t="shared" si="37"/>
        <v>0</v>
      </c>
      <c r="U275" s="12">
        <f t="shared" si="38"/>
        <v>0</v>
      </c>
      <c r="V275" s="429">
        <f>U275*係数!$H$30</f>
        <v>0</v>
      </c>
      <c r="W275" s="12">
        <f t="shared" si="39"/>
        <v>0</v>
      </c>
      <c r="X275" s="431">
        <f t="shared" si="40"/>
        <v>0</v>
      </c>
    </row>
    <row r="276" spans="2:24" x14ac:dyDescent="0.45">
      <c r="B276" s="208" t="s">
        <v>873</v>
      </c>
      <c r="C276" s="36"/>
      <c r="D276" s="494"/>
      <c r="E276" s="28"/>
      <c r="F276" s="230"/>
      <c r="G276" s="230"/>
      <c r="H276" s="231"/>
      <c r="I276" s="28"/>
      <c r="J276" s="225">
        <f t="shared" si="33"/>
        <v>0</v>
      </c>
      <c r="K276" s="225">
        <f t="shared" si="34"/>
        <v>0</v>
      </c>
      <c r="L276" s="429">
        <f>K276*係数!$H$30</f>
        <v>0</v>
      </c>
      <c r="M276" s="36"/>
      <c r="N276" s="495"/>
      <c r="O276" s="28"/>
      <c r="P276" s="1">
        <f t="shared" si="35"/>
        <v>0</v>
      </c>
      <c r="Q276" s="1">
        <f t="shared" si="36"/>
        <v>0</v>
      </c>
      <c r="R276" s="231"/>
      <c r="S276" s="28"/>
      <c r="T276" s="504">
        <f t="shared" si="37"/>
        <v>0</v>
      </c>
      <c r="U276" s="12">
        <f t="shared" si="38"/>
        <v>0</v>
      </c>
      <c r="V276" s="429">
        <f>U276*係数!$H$30</f>
        <v>0</v>
      </c>
      <c r="W276" s="12">
        <f t="shared" si="39"/>
        <v>0</v>
      </c>
      <c r="X276" s="431">
        <f t="shared" si="40"/>
        <v>0</v>
      </c>
    </row>
    <row r="277" spans="2:24" x14ac:dyDescent="0.45">
      <c r="B277" s="208" t="s">
        <v>874</v>
      </c>
      <c r="C277" s="36"/>
      <c r="D277" s="494"/>
      <c r="E277" s="28"/>
      <c r="F277" s="230"/>
      <c r="G277" s="230"/>
      <c r="H277" s="231"/>
      <c r="I277" s="28"/>
      <c r="J277" s="225">
        <f t="shared" si="33"/>
        <v>0</v>
      </c>
      <c r="K277" s="225">
        <f t="shared" si="34"/>
        <v>0</v>
      </c>
      <c r="L277" s="429">
        <f>K277*係数!$H$30</f>
        <v>0</v>
      </c>
      <c r="M277" s="36"/>
      <c r="N277" s="495"/>
      <c r="O277" s="28"/>
      <c r="P277" s="1">
        <f t="shared" si="35"/>
        <v>0</v>
      </c>
      <c r="Q277" s="1">
        <f t="shared" si="36"/>
        <v>0</v>
      </c>
      <c r="R277" s="231"/>
      <c r="S277" s="28"/>
      <c r="T277" s="504">
        <f t="shared" si="37"/>
        <v>0</v>
      </c>
      <c r="U277" s="12">
        <f t="shared" si="38"/>
        <v>0</v>
      </c>
      <c r="V277" s="429">
        <f>U277*係数!$H$30</f>
        <v>0</v>
      </c>
      <c r="W277" s="12">
        <f t="shared" si="39"/>
        <v>0</v>
      </c>
      <c r="X277" s="431">
        <f t="shared" si="40"/>
        <v>0</v>
      </c>
    </row>
    <row r="278" spans="2:24" x14ac:dyDescent="0.45">
      <c r="B278" s="208" t="s">
        <v>875</v>
      </c>
      <c r="C278" s="36"/>
      <c r="D278" s="494"/>
      <c r="E278" s="28"/>
      <c r="F278" s="230"/>
      <c r="G278" s="230"/>
      <c r="H278" s="231"/>
      <c r="I278" s="28"/>
      <c r="J278" s="225">
        <f t="shared" si="33"/>
        <v>0</v>
      </c>
      <c r="K278" s="225">
        <f t="shared" si="34"/>
        <v>0</v>
      </c>
      <c r="L278" s="429">
        <f>K278*係数!$H$30</f>
        <v>0</v>
      </c>
      <c r="M278" s="36"/>
      <c r="N278" s="495"/>
      <c r="O278" s="28"/>
      <c r="P278" s="1">
        <f t="shared" si="35"/>
        <v>0</v>
      </c>
      <c r="Q278" s="1">
        <f t="shared" si="36"/>
        <v>0</v>
      </c>
      <c r="R278" s="231"/>
      <c r="S278" s="28"/>
      <c r="T278" s="504">
        <f t="shared" si="37"/>
        <v>0</v>
      </c>
      <c r="U278" s="12">
        <f t="shared" si="38"/>
        <v>0</v>
      </c>
      <c r="V278" s="429">
        <f>U278*係数!$H$30</f>
        <v>0</v>
      </c>
      <c r="W278" s="12">
        <f t="shared" si="39"/>
        <v>0</v>
      </c>
      <c r="X278" s="431">
        <f t="shared" si="40"/>
        <v>0</v>
      </c>
    </row>
    <row r="279" spans="2:24" x14ac:dyDescent="0.45">
      <c r="B279" s="208" t="s">
        <v>876</v>
      </c>
      <c r="C279" s="36"/>
      <c r="D279" s="494"/>
      <c r="E279" s="28"/>
      <c r="F279" s="230"/>
      <c r="G279" s="230"/>
      <c r="H279" s="231"/>
      <c r="I279" s="28"/>
      <c r="J279" s="225">
        <f t="shared" si="33"/>
        <v>0</v>
      </c>
      <c r="K279" s="225">
        <f t="shared" si="34"/>
        <v>0</v>
      </c>
      <c r="L279" s="429">
        <f>K279*係数!$H$30</f>
        <v>0</v>
      </c>
      <c r="M279" s="36"/>
      <c r="N279" s="495"/>
      <c r="O279" s="28"/>
      <c r="P279" s="1">
        <f t="shared" si="35"/>
        <v>0</v>
      </c>
      <c r="Q279" s="1">
        <f t="shared" si="36"/>
        <v>0</v>
      </c>
      <c r="R279" s="231"/>
      <c r="S279" s="28"/>
      <c r="T279" s="504">
        <f t="shared" si="37"/>
        <v>0</v>
      </c>
      <c r="U279" s="12">
        <f t="shared" si="38"/>
        <v>0</v>
      </c>
      <c r="V279" s="429">
        <f>U279*係数!$H$30</f>
        <v>0</v>
      </c>
      <c r="W279" s="12">
        <f t="shared" si="39"/>
        <v>0</v>
      </c>
      <c r="X279" s="431">
        <f t="shared" si="40"/>
        <v>0</v>
      </c>
    </row>
    <row r="280" spans="2:24" x14ac:dyDescent="0.45">
      <c r="B280" s="208" t="s">
        <v>877</v>
      </c>
      <c r="C280" s="36"/>
      <c r="D280" s="494"/>
      <c r="E280" s="28"/>
      <c r="F280" s="230"/>
      <c r="G280" s="230"/>
      <c r="H280" s="231"/>
      <c r="I280" s="28"/>
      <c r="J280" s="225">
        <f t="shared" si="33"/>
        <v>0</v>
      </c>
      <c r="K280" s="225">
        <f t="shared" si="34"/>
        <v>0</v>
      </c>
      <c r="L280" s="429">
        <f>K280*係数!$H$30</f>
        <v>0</v>
      </c>
      <c r="M280" s="36"/>
      <c r="N280" s="495"/>
      <c r="O280" s="28"/>
      <c r="P280" s="1">
        <f t="shared" si="35"/>
        <v>0</v>
      </c>
      <c r="Q280" s="1">
        <f t="shared" si="36"/>
        <v>0</v>
      </c>
      <c r="R280" s="231"/>
      <c r="S280" s="28"/>
      <c r="T280" s="504">
        <f t="shared" si="37"/>
        <v>0</v>
      </c>
      <c r="U280" s="12">
        <f t="shared" si="38"/>
        <v>0</v>
      </c>
      <c r="V280" s="429">
        <f>U280*係数!$H$30</f>
        <v>0</v>
      </c>
      <c r="W280" s="12">
        <f t="shared" si="39"/>
        <v>0</v>
      </c>
      <c r="X280" s="431">
        <f t="shared" si="40"/>
        <v>0</v>
      </c>
    </row>
    <row r="281" spans="2:24" x14ac:dyDescent="0.45">
      <c r="B281" s="208" t="s">
        <v>878</v>
      </c>
      <c r="C281" s="36"/>
      <c r="D281" s="494"/>
      <c r="E281" s="28"/>
      <c r="F281" s="230"/>
      <c r="G281" s="230"/>
      <c r="H281" s="231"/>
      <c r="I281" s="28"/>
      <c r="J281" s="225">
        <f t="shared" si="33"/>
        <v>0</v>
      </c>
      <c r="K281" s="225">
        <f t="shared" si="34"/>
        <v>0</v>
      </c>
      <c r="L281" s="429">
        <f>K281*係数!$H$30</f>
        <v>0</v>
      </c>
      <c r="M281" s="36"/>
      <c r="N281" s="495"/>
      <c r="O281" s="28"/>
      <c r="P281" s="1">
        <f t="shared" si="35"/>
        <v>0</v>
      </c>
      <c r="Q281" s="1">
        <f t="shared" si="36"/>
        <v>0</v>
      </c>
      <c r="R281" s="231"/>
      <c r="S281" s="28"/>
      <c r="T281" s="504">
        <f t="shared" si="37"/>
        <v>0</v>
      </c>
      <c r="U281" s="12">
        <f t="shared" si="38"/>
        <v>0</v>
      </c>
      <c r="V281" s="429">
        <f>U281*係数!$H$30</f>
        <v>0</v>
      </c>
      <c r="W281" s="12">
        <f t="shared" si="39"/>
        <v>0</v>
      </c>
      <c r="X281" s="431">
        <f t="shared" si="40"/>
        <v>0</v>
      </c>
    </row>
    <row r="282" spans="2:24" x14ac:dyDescent="0.45">
      <c r="B282" s="208" t="s">
        <v>879</v>
      </c>
      <c r="C282" s="36"/>
      <c r="D282" s="494"/>
      <c r="E282" s="28"/>
      <c r="F282" s="230"/>
      <c r="G282" s="230"/>
      <c r="H282" s="231"/>
      <c r="I282" s="28"/>
      <c r="J282" s="225">
        <f t="shared" ref="J282:J317" si="41">IF(H282="",F282*G282,F282*G282*I282/100)</f>
        <v>0</v>
      </c>
      <c r="K282" s="225">
        <f t="shared" ref="K282:K317" si="42">D282*E282*J282/1000</f>
        <v>0</v>
      </c>
      <c r="L282" s="429">
        <f>K282*係数!$H$30</f>
        <v>0</v>
      </c>
      <c r="M282" s="36"/>
      <c r="N282" s="495"/>
      <c r="O282" s="28"/>
      <c r="P282" s="1">
        <f t="shared" ref="P282:P317" si="43">IF(F282=0,0,F282)</f>
        <v>0</v>
      </c>
      <c r="Q282" s="1">
        <f t="shared" ref="Q282:Q317" si="44">IF(G282=0,0,G282)</f>
        <v>0</v>
      </c>
      <c r="R282" s="231"/>
      <c r="S282" s="28"/>
      <c r="T282" s="504">
        <f t="shared" ref="T282:T317" si="45">IF(R282="",P282*Q282,P282*Q282*S282/100)</f>
        <v>0</v>
      </c>
      <c r="U282" s="12">
        <f t="shared" ref="U282:U317" si="46">N282*O282*T282/1000</f>
        <v>0</v>
      </c>
      <c r="V282" s="429">
        <f>U282*係数!$H$30</f>
        <v>0</v>
      </c>
      <c r="W282" s="12">
        <f t="shared" ref="W282:W317" si="47">K282-U282</f>
        <v>0</v>
      </c>
      <c r="X282" s="431">
        <f t="shared" ref="X282:X317" si="48">L282-V282</f>
        <v>0</v>
      </c>
    </row>
    <row r="283" spans="2:24" x14ac:dyDescent="0.45">
      <c r="B283" s="208" t="s">
        <v>880</v>
      </c>
      <c r="C283" s="36"/>
      <c r="D283" s="494"/>
      <c r="E283" s="28"/>
      <c r="F283" s="230"/>
      <c r="G283" s="230"/>
      <c r="H283" s="231"/>
      <c r="I283" s="28"/>
      <c r="J283" s="225">
        <f t="shared" si="41"/>
        <v>0</v>
      </c>
      <c r="K283" s="225">
        <f t="shared" si="42"/>
        <v>0</v>
      </c>
      <c r="L283" s="429">
        <f>K283*係数!$H$30</f>
        <v>0</v>
      </c>
      <c r="M283" s="36"/>
      <c r="N283" s="495"/>
      <c r="O283" s="28"/>
      <c r="P283" s="1">
        <f t="shared" si="43"/>
        <v>0</v>
      </c>
      <c r="Q283" s="1">
        <f t="shared" si="44"/>
        <v>0</v>
      </c>
      <c r="R283" s="231"/>
      <c r="S283" s="28"/>
      <c r="T283" s="504">
        <f t="shared" si="45"/>
        <v>0</v>
      </c>
      <c r="U283" s="12">
        <f t="shared" si="46"/>
        <v>0</v>
      </c>
      <c r="V283" s="429">
        <f>U283*係数!$H$30</f>
        <v>0</v>
      </c>
      <c r="W283" s="12">
        <f t="shared" si="47"/>
        <v>0</v>
      </c>
      <c r="X283" s="431">
        <f t="shared" si="48"/>
        <v>0</v>
      </c>
    </row>
    <row r="284" spans="2:24" x14ac:dyDescent="0.45">
      <c r="B284" s="208" t="s">
        <v>881</v>
      </c>
      <c r="C284" s="36"/>
      <c r="D284" s="494"/>
      <c r="E284" s="28"/>
      <c r="F284" s="230"/>
      <c r="G284" s="230"/>
      <c r="H284" s="231"/>
      <c r="I284" s="28"/>
      <c r="J284" s="225">
        <f t="shared" si="41"/>
        <v>0</v>
      </c>
      <c r="K284" s="225">
        <f t="shared" si="42"/>
        <v>0</v>
      </c>
      <c r="L284" s="429">
        <f>K284*係数!$H$30</f>
        <v>0</v>
      </c>
      <c r="M284" s="36"/>
      <c r="N284" s="495"/>
      <c r="O284" s="28"/>
      <c r="P284" s="1">
        <f t="shared" si="43"/>
        <v>0</v>
      </c>
      <c r="Q284" s="1">
        <f t="shared" si="44"/>
        <v>0</v>
      </c>
      <c r="R284" s="231"/>
      <c r="S284" s="28"/>
      <c r="T284" s="504">
        <f t="shared" si="45"/>
        <v>0</v>
      </c>
      <c r="U284" s="12">
        <f t="shared" si="46"/>
        <v>0</v>
      </c>
      <c r="V284" s="429">
        <f>U284*係数!$H$30</f>
        <v>0</v>
      </c>
      <c r="W284" s="12">
        <f t="shared" si="47"/>
        <v>0</v>
      </c>
      <c r="X284" s="431">
        <f t="shared" si="48"/>
        <v>0</v>
      </c>
    </row>
    <row r="285" spans="2:24" x14ac:dyDescent="0.45">
      <c r="B285" s="208" t="s">
        <v>882</v>
      </c>
      <c r="C285" s="36"/>
      <c r="D285" s="494"/>
      <c r="E285" s="28"/>
      <c r="F285" s="230"/>
      <c r="G285" s="230"/>
      <c r="H285" s="231"/>
      <c r="I285" s="28"/>
      <c r="J285" s="225">
        <f t="shared" si="41"/>
        <v>0</v>
      </c>
      <c r="K285" s="225">
        <f t="shared" si="42"/>
        <v>0</v>
      </c>
      <c r="L285" s="429">
        <f>K285*係数!$H$30</f>
        <v>0</v>
      </c>
      <c r="M285" s="36"/>
      <c r="N285" s="495"/>
      <c r="O285" s="28"/>
      <c r="P285" s="1">
        <f t="shared" si="43"/>
        <v>0</v>
      </c>
      <c r="Q285" s="1">
        <f t="shared" si="44"/>
        <v>0</v>
      </c>
      <c r="R285" s="231"/>
      <c r="S285" s="28"/>
      <c r="T285" s="504">
        <f t="shared" si="45"/>
        <v>0</v>
      </c>
      <c r="U285" s="12">
        <f t="shared" si="46"/>
        <v>0</v>
      </c>
      <c r="V285" s="429">
        <f>U285*係数!$H$30</f>
        <v>0</v>
      </c>
      <c r="W285" s="12">
        <f t="shared" si="47"/>
        <v>0</v>
      </c>
      <c r="X285" s="431">
        <f t="shared" si="48"/>
        <v>0</v>
      </c>
    </row>
    <row r="286" spans="2:24" x14ac:dyDescent="0.45">
      <c r="B286" s="208" t="s">
        <v>883</v>
      </c>
      <c r="C286" s="36"/>
      <c r="D286" s="494"/>
      <c r="E286" s="28"/>
      <c r="F286" s="230"/>
      <c r="G286" s="230"/>
      <c r="H286" s="231"/>
      <c r="I286" s="28"/>
      <c r="J286" s="225">
        <f t="shared" si="41"/>
        <v>0</v>
      </c>
      <c r="K286" s="225">
        <f t="shared" si="42"/>
        <v>0</v>
      </c>
      <c r="L286" s="429">
        <f>K286*係数!$H$30</f>
        <v>0</v>
      </c>
      <c r="M286" s="36"/>
      <c r="N286" s="495"/>
      <c r="O286" s="28"/>
      <c r="P286" s="1">
        <f t="shared" si="43"/>
        <v>0</v>
      </c>
      <c r="Q286" s="1">
        <f t="shared" si="44"/>
        <v>0</v>
      </c>
      <c r="R286" s="231"/>
      <c r="S286" s="28"/>
      <c r="T286" s="504">
        <f t="shared" si="45"/>
        <v>0</v>
      </c>
      <c r="U286" s="12">
        <f t="shared" si="46"/>
        <v>0</v>
      </c>
      <c r="V286" s="429">
        <f>U286*係数!$H$30</f>
        <v>0</v>
      </c>
      <c r="W286" s="12">
        <f t="shared" si="47"/>
        <v>0</v>
      </c>
      <c r="X286" s="431">
        <f t="shared" si="48"/>
        <v>0</v>
      </c>
    </row>
    <row r="287" spans="2:24" x14ac:dyDescent="0.45">
      <c r="B287" s="208" t="s">
        <v>884</v>
      </c>
      <c r="C287" s="36"/>
      <c r="D287" s="494"/>
      <c r="E287" s="28"/>
      <c r="F287" s="230"/>
      <c r="G287" s="230"/>
      <c r="H287" s="231"/>
      <c r="I287" s="28"/>
      <c r="J287" s="225">
        <f t="shared" si="41"/>
        <v>0</v>
      </c>
      <c r="K287" s="225">
        <f t="shared" si="42"/>
        <v>0</v>
      </c>
      <c r="L287" s="429">
        <f>K287*係数!$H$30</f>
        <v>0</v>
      </c>
      <c r="M287" s="36"/>
      <c r="N287" s="495"/>
      <c r="O287" s="28"/>
      <c r="P287" s="1">
        <f t="shared" si="43"/>
        <v>0</v>
      </c>
      <c r="Q287" s="1">
        <f t="shared" si="44"/>
        <v>0</v>
      </c>
      <c r="R287" s="231"/>
      <c r="S287" s="28"/>
      <c r="T287" s="504">
        <f t="shared" si="45"/>
        <v>0</v>
      </c>
      <c r="U287" s="12">
        <f t="shared" si="46"/>
        <v>0</v>
      </c>
      <c r="V287" s="429">
        <f>U287*係数!$H$30</f>
        <v>0</v>
      </c>
      <c r="W287" s="12">
        <f t="shared" si="47"/>
        <v>0</v>
      </c>
      <c r="X287" s="431">
        <f t="shared" si="48"/>
        <v>0</v>
      </c>
    </row>
    <row r="288" spans="2:24" x14ac:dyDescent="0.45">
      <c r="B288" s="208" t="s">
        <v>885</v>
      </c>
      <c r="C288" s="36"/>
      <c r="D288" s="494"/>
      <c r="E288" s="28"/>
      <c r="F288" s="230"/>
      <c r="G288" s="230"/>
      <c r="H288" s="231"/>
      <c r="I288" s="28"/>
      <c r="J288" s="225">
        <f t="shared" si="41"/>
        <v>0</v>
      </c>
      <c r="K288" s="225">
        <f t="shared" si="42"/>
        <v>0</v>
      </c>
      <c r="L288" s="429">
        <f>K288*係数!$H$30</f>
        <v>0</v>
      </c>
      <c r="M288" s="36"/>
      <c r="N288" s="495"/>
      <c r="O288" s="28"/>
      <c r="P288" s="1">
        <f t="shared" si="43"/>
        <v>0</v>
      </c>
      <c r="Q288" s="1">
        <f t="shared" si="44"/>
        <v>0</v>
      </c>
      <c r="R288" s="231"/>
      <c r="S288" s="28"/>
      <c r="T288" s="504">
        <f t="shared" si="45"/>
        <v>0</v>
      </c>
      <c r="U288" s="12">
        <f t="shared" si="46"/>
        <v>0</v>
      </c>
      <c r="V288" s="429">
        <f>U288*係数!$H$30</f>
        <v>0</v>
      </c>
      <c r="W288" s="12">
        <f t="shared" si="47"/>
        <v>0</v>
      </c>
      <c r="X288" s="431">
        <f t="shared" si="48"/>
        <v>0</v>
      </c>
    </row>
    <row r="289" spans="2:24" x14ac:dyDescent="0.45">
      <c r="B289" s="208" t="s">
        <v>886</v>
      </c>
      <c r="C289" s="36"/>
      <c r="D289" s="494"/>
      <c r="E289" s="28"/>
      <c r="F289" s="230"/>
      <c r="G289" s="230"/>
      <c r="H289" s="231"/>
      <c r="I289" s="28"/>
      <c r="J289" s="225">
        <f t="shared" si="41"/>
        <v>0</v>
      </c>
      <c r="K289" s="225">
        <f t="shared" si="42"/>
        <v>0</v>
      </c>
      <c r="L289" s="429">
        <f>K289*係数!$H$30</f>
        <v>0</v>
      </c>
      <c r="M289" s="36"/>
      <c r="N289" s="495"/>
      <c r="O289" s="28"/>
      <c r="P289" s="1">
        <f t="shared" si="43"/>
        <v>0</v>
      </c>
      <c r="Q289" s="1">
        <f t="shared" si="44"/>
        <v>0</v>
      </c>
      <c r="R289" s="231"/>
      <c r="S289" s="28"/>
      <c r="T289" s="504">
        <f t="shared" si="45"/>
        <v>0</v>
      </c>
      <c r="U289" s="12">
        <f t="shared" si="46"/>
        <v>0</v>
      </c>
      <c r="V289" s="429">
        <f>U289*係数!$H$30</f>
        <v>0</v>
      </c>
      <c r="W289" s="12">
        <f t="shared" si="47"/>
        <v>0</v>
      </c>
      <c r="X289" s="431">
        <f t="shared" si="48"/>
        <v>0</v>
      </c>
    </row>
    <row r="290" spans="2:24" x14ac:dyDescent="0.45">
      <c r="B290" s="208" t="s">
        <v>887</v>
      </c>
      <c r="C290" s="36"/>
      <c r="D290" s="494"/>
      <c r="E290" s="28"/>
      <c r="F290" s="230"/>
      <c r="G290" s="230"/>
      <c r="H290" s="231"/>
      <c r="I290" s="28"/>
      <c r="J290" s="225">
        <f t="shared" si="41"/>
        <v>0</v>
      </c>
      <c r="K290" s="225">
        <f t="shared" si="42"/>
        <v>0</v>
      </c>
      <c r="L290" s="429">
        <f>K290*係数!$H$30</f>
        <v>0</v>
      </c>
      <c r="M290" s="36"/>
      <c r="N290" s="495"/>
      <c r="O290" s="28"/>
      <c r="P290" s="1">
        <f t="shared" si="43"/>
        <v>0</v>
      </c>
      <c r="Q290" s="1">
        <f t="shared" si="44"/>
        <v>0</v>
      </c>
      <c r="R290" s="231"/>
      <c r="S290" s="28"/>
      <c r="T290" s="504">
        <f t="shared" si="45"/>
        <v>0</v>
      </c>
      <c r="U290" s="12">
        <f t="shared" si="46"/>
        <v>0</v>
      </c>
      <c r="V290" s="429">
        <f>U290*係数!$H$30</f>
        <v>0</v>
      </c>
      <c r="W290" s="12">
        <f t="shared" si="47"/>
        <v>0</v>
      </c>
      <c r="X290" s="431">
        <f t="shared" si="48"/>
        <v>0</v>
      </c>
    </row>
    <row r="291" spans="2:24" x14ac:dyDescent="0.45">
      <c r="B291" s="208" t="s">
        <v>888</v>
      </c>
      <c r="C291" s="36"/>
      <c r="D291" s="494"/>
      <c r="E291" s="28"/>
      <c r="F291" s="230"/>
      <c r="G291" s="230"/>
      <c r="H291" s="231"/>
      <c r="I291" s="28"/>
      <c r="J291" s="225">
        <f t="shared" si="41"/>
        <v>0</v>
      </c>
      <c r="K291" s="225">
        <f t="shared" si="42"/>
        <v>0</v>
      </c>
      <c r="L291" s="429">
        <f>K291*係数!$H$30</f>
        <v>0</v>
      </c>
      <c r="M291" s="36"/>
      <c r="N291" s="495"/>
      <c r="O291" s="28"/>
      <c r="P291" s="1">
        <f t="shared" si="43"/>
        <v>0</v>
      </c>
      <c r="Q291" s="1">
        <f t="shared" si="44"/>
        <v>0</v>
      </c>
      <c r="R291" s="231"/>
      <c r="S291" s="28"/>
      <c r="T291" s="504">
        <f t="shared" si="45"/>
        <v>0</v>
      </c>
      <c r="U291" s="12">
        <f t="shared" si="46"/>
        <v>0</v>
      </c>
      <c r="V291" s="429">
        <f>U291*係数!$H$30</f>
        <v>0</v>
      </c>
      <c r="W291" s="12">
        <f t="shared" si="47"/>
        <v>0</v>
      </c>
      <c r="X291" s="431">
        <f t="shared" si="48"/>
        <v>0</v>
      </c>
    </row>
    <row r="292" spans="2:24" x14ac:dyDescent="0.45">
      <c r="B292" s="208" t="s">
        <v>889</v>
      </c>
      <c r="C292" s="36"/>
      <c r="D292" s="494"/>
      <c r="E292" s="28"/>
      <c r="F292" s="230"/>
      <c r="G292" s="230"/>
      <c r="H292" s="231"/>
      <c r="I292" s="28"/>
      <c r="J292" s="225">
        <f t="shared" si="41"/>
        <v>0</v>
      </c>
      <c r="K292" s="225">
        <f t="shared" si="42"/>
        <v>0</v>
      </c>
      <c r="L292" s="429">
        <f>K292*係数!$H$30</f>
        <v>0</v>
      </c>
      <c r="M292" s="36"/>
      <c r="N292" s="495"/>
      <c r="O292" s="28"/>
      <c r="P292" s="1">
        <f t="shared" si="43"/>
        <v>0</v>
      </c>
      <c r="Q292" s="1">
        <f t="shared" si="44"/>
        <v>0</v>
      </c>
      <c r="R292" s="231"/>
      <c r="S292" s="28"/>
      <c r="T292" s="504">
        <f t="shared" si="45"/>
        <v>0</v>
      </c>
      <c r="U292" s="12">
        <f t="shared" si="46"/>
        <v>0</v>
      </c>
      <c r="V292" s="429">
        <f>U292*係数!$H$30</f>
        <v>0</v>
      </c>
      <c r="W292" s="12">
        <f t="shared" si="47"/>
        <v>0</v>
      </c>
      <c r="X292" s="431">
        <f t="shared" si="48"/>
        <v>0</v>
      </c>
    </row>
    <row r="293" spans="2:24" x14ac:dyDescent="0.45">
      <c r="B293" s="208" t="s">
        <v>890</v>
      </c>
      <c r="C293" s="36"/>
      <c r="D293" s="494"/>
      <c r="E293" s="28"/>
      <c r="F293" s="230"/>
      <c r="G293" s="230"/>
      <c r="H293" s="231"/>
      <c r="I293" s="28"/>
      <c r="J293" s="225">
        <f t="shared" si="41"/>
        <v>0</v>
      </c>
      <c r="K293" s="225">
        <f t="shared" si="42"/>
        <v>0</v>
      </c>
      <c r="L293" s="429">
        <f>K293*係数!$H$30</f>
        <v>0</v>
      </c>
      <c r="M293" s="36"/>
      <c r="N293" s="495"/>
      <c r="O293" s="28"/>
      <c r="P293" s="1">
        <f t="shared" si="43"/>
        <v>0</v>
      </c>
      <c r="Q293" s="1">
        <f t="shared" si="44"/>
        <v>0</v>
      </c>
      <c r="R293" s="231"/>
      <c r="S293" s="28"/>
      <c r="T293" s="504">
        <f t="shared" si="45"/>
        <v>0</v>
      </c>
      <c r="U293" s="12">
        <f t="shared" si="46"/>
        <v>0</v>
      </c>
      <c r="V293" s="429">
        <f>U293*係数!$H$30</f>
        <v>0</v>
      </c>
      <c r="W293" s="12">
        <f t="shared" si="47"/>
        <v>0</v>
      </c>
      <c r="X293" s="431">
        <f t="shared" si="48"/>
        <v>0</v>
      </c>
    </row>
    <row r="294" spans="2:24" x14ac:dyDescent="0.45">
      <c r="B294" s="208" t="s">
        <v>891</v>
      </c>
      <c r="C294" s="36"/>
      <c r="D294" s="494"/>
      <c r="E294" s="28"/>
      <c r="F294" s="230"/>
      <c r="G294" s="230"/>
      <c r="H294" s="231"/>
      <c r="I294" s="28"/>
      <c r="J294" s="225">
        <f t="shared" si="41"/>
        <v>0</v>
      </c>
      <c r="K294" s="225">
        <f t="shared" si="42"/>
        <v>0</v>
      </c>
      <c r="L294" s="429">
        <f>K294*係数!$H$30</f>
        <v>0</v>
      </c>
      <c r="M294" s="36"/>
      <c r="N294" s="495"/>
      <c r="O294" s="28"/>
      <c r="P294" s="1">
        <f t="shared" si="43"/>
        <v>0</v>
      </c>
      <c r="Q294" s="1">
        <f t="shared" si="44"/>
        <v>0</v>
      </c>
      <c r="R294" s="231"/>
      <c r="S294" s="28"/>
      <c r="T294" s="504">
        <f t="shared" si="45"/>
        <v>0</v>
      </c>
      <c r="U294" s="12">
        <f t="shared" si="46"/>
        <v>0</v>
      </c>
      <c r="V294" s="429">
        <f>U294*係数!$H$30</f>
        <v>0</v>
      </c>
      <c r="W294" s="12">
        <f t="shared" si="47"/>
        <v>0</v>
      </c>
      <c r="X294" s="431">
        <f t="shared" si="48"/>
        <v>0</v>
      </c>
    </row>
    <row r="295" spans="2:24" x14ac:dyDescent="0.45">
      <c r="B295" s="208" t="s">
        <v>892</v>
      </c>
      <c r="C295" s="36"/>
      <c r="D295" s="494"/>
      <c r="E295" s="28"/>
      <c r="F295" s="230"/>
      <c r="G295" s="230"/>
      <c r="H295" s="231"/>
      <c r="I295" s="28"/>
      <c r="J295" s="225">
        <f t="shared" si="41"/>
        <v>0</v>
      </c>
      <c r="K295" s="225">
        <f t="shared" si="42"/>
        <v>0</v>
      </c>
      <c r="L295" s="429">
        <f>K295*係数!$H$30</f>
        <v>0</v>
      </c>
      <c r="M295" s="36"/>
      <c r="N295" s="495"/>
      <c r="O295" s="28"/>
      <c r="P295" s="1">
        <f t="shared" si="43"/>
        <v>0</v>
      </c>
      <c r="Q295" s="1">
        <f t="shared" si="44"/>
        <v>0</v>
      </c>
      <c r="R295" s="231"/>
      <c r="S295" s="28"/>
      <c r="T295" s="504">
        <f t="shared" si="45"/>
        <v>0</v>
      </c>
      <c r="U295" s="12">
        <f t="shared" si="46"/>
        <v>0</v>
      </c>
      <c r="V295" s="429">
        <f>U295*係数!$H$30</f>
        <v>0</v>
      </c>
      <c r="W295" s="12">
        <f t="shared" si="47"/>
        <v>0</v>
      </c>
      <c r="X295" s="431">
        <f t="shared" si="48"/>
        <v>0</v>
      </c>
    </row>
    <row r="296" spans="2:24" x14ac:dyDescent="0.45">
      <c r="B296" s="208" t="s">
        <v>893</v>
      </c>
      <c r="C296" s="36"/>
      <c r="D296" s="494"/>
      <c r="E296" s="28"/>
      <c r="F296" s="230"/>
      <c r="G296" s="230"/>
      <c r="H296" s="231"/>
      <c r="I296" s="28"/>
      <c r="J296" s="225">
        <f t="shared" si="41"/>
        <v>0</v>
      </c>
      <c r="K296" s="225">
        <f t="shared" si="42"/>
        <v>0</v>
      </c>
      <c r="L296" s="429">
        <f>K296*係数!$H$30</f>
        <v>0</v>
      </c>
      <c r="M296" s="36"/>
      <c r="N296" s="495"/>
      <c r="O296" s="28"/>
      <c r="P296" s="1">
        <f t="shared" si="43"/>
        <v>0</v>
      </c>
      <c r="Q296" s="1">
        <f t="shared" si="44"/>
        <v>0</v>
      </c>
      <c r="R296" s="231"/>
      <c r="S296" s="28"/>
      <c r="T296" s="504">
        <f t="shared" si="45"/>
        <v>0</v>
      </c>
      <c r="U296" s="12">
        <f t="shared" si="46"/>
        <v>0</v>
      </c>
      <c r="V296" s="429">
        <f>U296*係数!$H$30</f>
        <v>0</v>
      </c>
      <c r="W296" s="12">
        <f t="shared" si="47"/>
        <v>0</v>
      </c>
      <c r="X296" s="431">
        <f t="shared" si="48"/>
        <v>0</v>
      </c>
    </row>
    <row r="297" spans="2:24" x14ac:dyDescent="0.45">
      <c r="B297" s="208" t="s">
        <v>894</v>
      </c>
      <c r="C297" s="36"/>
      <c r="D297" s="494"/>
      <c r="E297" s="28"/>
      <c r="F297" s="230"/>
      <c r="G297" s="230"/>
      <c r="H297" s="231"/>
      <c r="I297" s="28"/>
      <c r="J297" s="225">
        <f t="shared" si="41"/>
        <v>0</v>
      </c>
      <c r="K297" s="225">
        <f t="shared" si="42"/>
        <v>0</v>
      </c>
      <c r="L297" s="429">
        <f>K297*係数!$H$30</f>
        <v>0</v>
      </c>
      <c r="M297" s="36"/>
      <c r="N297" s="495"/>
      <c r="O297" s="28"/>
      <c r="P297" s="1">
        <f t="shared" si="43"/>
        <v>0</v>
      </c>
      <c r="Q297" s="1">
        <f t="shared" si="44"/>
        <v>0</v>
      </c>
      <c r="R297" s="231"/>
      <c r="S297" s="28"/>
      <c r="T297" s="504">
        <f t="shared" si="45"/>
        <v>0</v>
      </c>
      <c r="U297" s="12">
        <f t="shared" si="46"/>
        <v>0</v>
      </c>
      <c r="V297" s="429">
        <f>U297*係数!$H$30</f>
        <v>0</v>
      </c>
      <c r="W297" s="12">
        <f t="shared" si="47"/>
        <v>0</v>
      </c>
      <c r="X297" s="431">
        <f t="shared" si="48"/>
        <v>0</v>
      </c>
    </row>
    <row r="298" spans="2:24" x14ac:dyDescent="0.45">
      <c r="B298" s="208" t="s">
        <v>895</v>
      </c>
      <c r="C298" s="36"/>
      <c r="D298" s="494"/>
      <c r="E298" s="28"/>
      <c r="F298" s="230"/>
      <c r="G298" s="230"/>
      <c r="H298" s="231"/>
      <c r="I298" s="28"/>
      <c r="J298" s="225">
        <f t="shared" si="41"/>
        <v>0</v>
      </c>
      <c r="K298" s="225">
        <f t="shared" si="42"/>
        <v>0</v>
      </c>
      <c r="L298" s="429">
        <f>K298*係数!$H$30</f>
        <v>0</v>
      </c>
      <c r="M298" s="36"/>
      <c r="N298" s="495"/>
      <c r="O298" s="28"/>
      <c r="P298" s="1">
        <f t="shared" si="43"/>
        <v>0</v>
      </c>
      <c r="Q298" s="1">
        <f t="shared" si="44"/>
        <v>0</v>
      </c>
      <c r="R298" s="231"/>
      <c r="S298" s="28"/>
      <c r="T298" s="504">
        <f t="shared" si="45"/>
        <v>0</v>
      </c>
      <c r="U298" s="12">
        <f t="shared" si="46"/>
        <v>0</v>
      </c>
      <c r="V298" s="429">
        <f>U298*係数!$H$30</f>
        <v>0</v>
      </c>
      <c r="W298" s="12">
        <f t="shared" si="47"/>
        <v>0</v>
      </c>
      <c r="X298" s="431">
        <f t="shared" si="48"/>
        <v>0</v>
      </c>
    </row>
    <row r="299" spans="2:24" x14ac:dyDescent="0.45">
      <c r="B299" s="208" t="s">
        <v>896</v>
      </c>
      <c r="C299" s="36"/>
      <c r="D299" s="494"/>
      <c r="E299" s="28"/>
      <c r="F299" s="230"/>
      <c r="G299" s="230"/>
      <c r="H299" s="231"/>
      <c r="I299" s="28"/>
      <c r="J299" s="225">
        <f t="shared" si="41"/>
        <v>0</v>
      </c>
      <c r="K299" s="225">
        <f t="shared" si="42"/>
        <v>0</v>
      </c>
      <c r="L299" s="429">
        <f>K299*係数!$H$30</f>
        <v>0</v>
      </c>
      <c r="M299" s="36"/>
      <c r="N299" s="495"/>
      <c r="O299" s="28"/>
      <c r="P299" s="1">
        <f t="shared" si="43"/>
        <v>0</v>
      </c>
      <c r="Q299" s="1">
        <f t="shared" si="44"/>
        <v>0</v>
      </c>
      <c r="R299" s="231"/>
      <c r="S299" s="28"/>
      <c r="T299" s="504">
        <f t="shared" si="45"/>
        <v>0</v>
      </c>
      <c r="U299" s="12">
        <f t="shared" si="46"/>
        <v>0</v>
      </c>
      <c r="V299" s="429">
        <f>U299*係数!$H$30</f>
        <v>0</v>
      </c>
      <c r="W299" s="12">
        <f t="shared" si="47"/>
        <v>0</v>
      </c>
      <c r="X299" s="431">
        <f t="shared" si="48"/>
        <v>0</v>
      </c>
    </row>
    <row r="300" spans="2:24" x14ac:dyDescent="0.45">
      <c r="B300" s="208" t="s">
        <v>897</v>
      </c>
      <c r="C300" s="36"/>
      <c r="D300" s="494"/>
      <c r="E300" s="28"/>
      <c r="F300" s="230"/>
      <c r="G300" s="230"/>
      <c r="H300" s="231"/>
      <c r="I300" s="28"/>
      <c r="J300" s="225">
        <f t="shared" si="41"/>
        <v>0</v>
      </c>
      <c r="K300" s="225">
        <f t="shared" si="42"/>
        <v>0</v>
      </c>
      <c r="L300" s="429">
        <f>K300*係数!$H$30</f>
        <v>0</v>
      </c>
      <c r="M300" s="36"/>
      <c r="N300" s="495"/>
      <c r="O300" s="28"/>
      <c r="P300" s="1">
        <f t="shared" si="43"/>
        <v>0</v>
      </c>
      <c r="Q300" s="1">
        <f t="shared" si="44"/>
        <v>0</v>
      </c>
      <c r="R300" s="231"/>
      <c r="S300" s="28"/>
      <c r="T300" s="504">
        <f t="shared" si="45"/>
        <v>0</v>
      </c>
      <c r="U300" s="12">
        <f t="shared" si="46"/>
        <v>0</v>
      </c>
      <c r="V300" s="429">
        <f>U300*係数!$H$30</f>
        <v>0</v>
      </c>
      <c r="W300" s="12">
        <f t="shared" si="47"/>
        <v>0</v>
      </c>
      <c r="X300" s="431">
        <f t="shared" si="48"/>
        <v>0</v>
      </c>
    </row>
    <row r="301" spans="2:24" x14ac:dyDescent="0.45">
      <c r="B301" s="208" t="s">
        <v>898</v>
      </c>
      <c r="C301" s="36"/>
      <c r="D301" s="494"/>
      <c r="E301" s="28"/>
      <c r="F301" s="230"/>
      <c r="G301" s="230"/>
      <c r="H301" s="231"/>
      <c r="I301" s="28"/>
      <c r="J301" s="225">
        <f t="shared" si="41"/>
        <v>0</v>
      </c>
      <c r="K301" s="225">
        <f t="shared" si="42"/>
        <v>0</v>
      </c>
      <c r="L301" s="429">
        <f>K301*係数!$H$30</f>
        <v>0</v>
      </c>
      <c r="M301" s="36"/>
      <c r="N301" s="495"/>
      <c r="O301" s="28"/>
      <c r="P301" s="1">
        <f t="shared" si="43"/>
        <v>0</v>
      </c>
      <c r="Q301" s="1">
        <f t="shared" si="44"/>
        <v>0</v>
      </c>
      <c r="R301" s="231"/>
      <c r="S301" s="28"/>
      <c r="T301" s="504">
        <f t="shared" si="45"/>
        <v>0</v>
      </c>
      <c r="U301" s="12">
        <f t="shared" si="46"/>
        <v>0</v>
      </c>
      <c r="V301" s="429">
        <f>U301*係数!$H$30</f>
        <v>0</v>
      </c>
      <c r="W301" s="12">
        <f t="shared" si="47"/>
        <v>0</v>
      </c>
      <c r="X301" s="431">
        <f t="shared" si="48"/>
        <v>0</v>
      </c>
    </row>
    <row r="302" spans="2:24" x14ac:dyDescent="0.45">
      <c r="B302" s="208" t="s">
        <v>899</v>
      </c>
      <c r="C302" s="36"/>
      <c r="D302" s="494"/>
      <c r="E302" s="28"/>
      <c r="F302" s="230"/>
      <c r="G302" s="230"/>
      <c r="H302" s="231"/>
      <c r="I302" s="28"/>
      <c r="J302" s="225">
        <f t="shared" si="41"/>
        <v>0</v>
      </c>
      <c r="K302" s="225">
        <f t="shared" si="42"/>
        <v>0</v>
      </c>
      <c r="L302" s="429">
        <f>K302*係数!$H$30</f>
        <v>0</v>
      </c>
      <c r="M302" s="36"/>
      <c r="N302" s="495"/>
      <c r="O302" s="28"/>
      <c r="P302" s="1">
        <f t="shared" si="43"/>
        <v>0</v>
      </c>
      <c r="Q302" s="1">
        <f t="shared" si="44"/>
        <v>0</v>
      </c>
      <c r="R302" s="231"/>
      <c r="S302" s="28"/>
      <c r="T302" s="504">
        <f t="shared" si="45"/>
        <v>0</v>
      </c>
      <c r="U302" s="12">
        <f t="shared" si="46"/>
        <v>0</v>
      </c>
      <c r="V302" s="429">
        <f>U302*係数!$H$30</f>
        <v>0</v>
      </c>
      <c r="W302" s="12">
        <f t="shared" si="47"/>
        <v>0</v>
      </c>
      <c r="X302" s="431">
        <f t="shared" si="48"/>
        <v>0</v>
      </c>
    </row>
    <row r="303" spans="2:24" x14ac:dyDescent="0.45">
      <c r="B303" s="208" t="s">
        <v>900</v>
      </c>
      <c r="C303" s="36"/>
      <c r="D303" s="494"/>
      <c r="E303" s="28"/>
      <c r="F303" s="230"/>
      <c r="G303" s="230"/>
      <c r="H303" s="231"/>
      <c r="I303" s="28"/>
      <c r="J303" s="225">
        <f t="shared" si="41"/>
        <v>0</v>
      </c>
      <c r="K303" s="225">
        <f t="shared" si="42"/>
        <v>0</v>
      </c>
      <c r="L303" s="429">
        <f>K303*係数!$H$30</f>
        <v>0</v>
      </c>
      <c r="M303" s="36"/>
      <c r="N303" s="495"/>
      <c r="O303" s="28"/>
      <c r="P303" s="1">
        <f t="shared" si="43"/>
        <v>0</v>
      </c>
      <c r="Q303" s="1">
        <f t="shared" si="44"/>
        <v>0</v>
      </c>
      <c r="R303" s="231"/>
      <c r="S303" s="28"/>
      <c r="T303" s="504">
        <f t="shared" si="45"/>
        <v>0</v>
      </c>
      <c r="U303" s="12">
        <f t="shared" si="46"/>
        <v>0</v>
      </c>
      <c r="V303" s="429">
        <f>U303*係数!$H$30</f>
        <v>0</v>
      </c>
      <c r="W303" s="12">
        <f t="shared" si="47"/>
        <v>0</v>
      </c>
      <c r="X303" s="431">
        <f t="shared" si="48"/>
        <v>0</v>
      </c>
    </row>
    <row r="304" spans="2:24" x14ac:dyDescent="0.45">
      <c r="B304" s="208" t="s">
        <v>901</v>
      </c>
      <c r="C304" s="36"/>
      <c r="D304" s="494"/>
      <c r="E304" s="28"/>
      <c r="F304" s="230"/>
      <c r="G304" s="230"/>
      <c r="H304" s="231"/>
      <c r="I304" s="28"/>
      <c r="J304" s="225">
        <f t="shared" si="41"/>
        <v>0</v>
      </c>
      <c r="K304" s="225">
        <f t="shared" si="42"/>
        <v>0</v>
      </c>
      <c r="L304" s="429">
        <f>K304*係数!$H$30</f>
        <v>0</v>
      </c>
      <c r="M304" s="36"/>
      <c r="N304" s="495"/>
      <c r="O304" s="28"/>
      <c r="P304" s="1">
        <f t="shared" si="43"/>
        <v>0</v>
      </c>
      <c r="Q304" s="1">
        <f t="shared" si="44"/>
        <v>0</v>
      </c>
      <c r="R304" s="231"/>
      <c r="S304" s="28"/>
      <c r="T304" s="504">
        <f t="shared" si="45"/>
        <v>0</v>
      </c>
      <c r="U304" s="12">
        <f t="shared" si="46"/>
        <v>0</v>
      </c>
      <c r="V304" s="429">
        <f>U304*係数!$H$30</f>
        <v>0</v>
      </c>
      <c r="W304" s="12">
        <f t="shared" si="47"/>
        <v>0</v>
      </c>
      <c r="X304" s="431">
        <f t="shared" si="48"/>
        <v>0</v>
      </c>
    </row>
    <row r="305" spans="2:24" x14ac:dyDescent="0.45">
      <c r="B305" s="208" t="s">
        <v>902</v>
      </c>
      <c r="C305" s="36"/>
      <c r="D305" s="494"/>
      <c r="E305" s="28"/>
      <c r="F305" s="230"/>
      <c r="G305" s="230"/>
      <c r="H305" s="231"/>
      <c r="I305" s="28"/>
      <c r="J305" s="225">
        <f t="shared" si="41"/>
        <v>0</v>
      </c>
      <c r="K305" s="225">
        <f t="shared" si="42"/>
        <v>0</v>
      </c>
      <c r="L305" s="429">
        <f>K305*係数!$H$30</f>
        <v>0</v>
      </c>
      <c r="M305" s="36"/>
      <c r="N305" s="495"/>
      <c r="O305" s="28"/>
      <c r="P305" s="1">
        <f t="shared" si="43"/>
        <v>0</v>
      </c>
      <c r="Q305" s="1">
        <f t="shared" si="44"/>
        <v>0</v>
      </c>
      <c r="R305" s="231"/>
      <c r="S305" s="28"/>
      <c r="T305" s="504">
        <f t="shared" si="45"/>
        <v>0</v>
      </c>
      <c r="U305" s="12">
        <f t="shared" si="46"/>
        <v>0</v>
      </c>
      <c r="V305" s="429">
        <f>U305*係数!$H$30</f>
        <v>0</v>
      </c>
      <c r="W305" s="12">
        <f t="shared" si="47"/>
        <v>0</v>
      </c>
      <c r="X305" s="431">
        <f t="shared" si="48"/>
        <v>0</v>
      </c>
    </row>
    <row r="306" spans="2:24" x14ac:dyDescent="0.45">
      <c r="B306" s="208" t="s">
        <v>903</v>
      </c>
      <c r="C306" s="36"/>
      <c r="D306" s="494"/>
      <c r="E306" s="28"/>
      <c r="F306" s="230"/>
      <c r="G306" s="230"/>
      <c r="H306" s="231"/>
      <c r="I306" s="28"/>
      <c r="J306" s="225">
        <f t="shared" si="41"/>
        <v>0</v>
      </c>
      <c r="K306" s="225">
        <f t="shared" si="42"/>
        <v>0</v>
      </c>
      <c r="L306" s="429">
        <f>K306*係数!$H$30</f>
        <v>0</v>
      </c>
      <c r="M306" s="36"/>
      <c r="N306" s="495"/>
      <c r="O306" s="28"/>
      <c r="P306" s="1">
        <f t="shared" si="43"/>
        <v>0</v>
      </c>
      <c r="Q306" s="1">
        <f t="shared" si="44"/>
        <v>0</v>
      </c>
      <c r="R306" s="231"/>
      <c r="S306" s="28"/>
      <c r="T306" s="504">
        <f t="shared" si="45"/>
        <v>0</v>
      </c>
      <c r="U306" s="12">
        <f t="shared" si="46"/>
        <v>0</v>
      </c>
      <c r="V306" s="429">
        <f>U306*係数!$H$30</f>
        <v>0</v>
      </c>
      <c r="W306" s="12">
        <f t="shared" si="47"/>
        <v>0</v>
      </c>
      <c r="X306" s="431">
        <f t="shared" si="48"/>
        <v>0</v>
      </c>
    </row>
    <row r="307" spans="2:24" x14ac:dyDescent="0.45">
      <c r="B307" s="208" t="s">
        <v>904</v>
      </c>
      <c r="C307" s="36"/>
      <c r="D307" s="494"/>
      <c r="E307" s="28"/>
      <c r="F307" s="230"/>
      <c r="G307" s="230"/>
      <c r="H307" s="231"/>
      <c r="I307" s="28"/>
      <c r="J307" s="225">
        <f t="shared" si="41"/>
        <v>0</v>
      </c>
      <c r="K307" s="225">
        <f t="shared" si="42"/>
        <v>0</v>
      </c>
      <c r="L307" s="429">
        <f>K307*係数!$H$30</f>
        <v>0</v>
      </c>
      <c r="M307" s="36"/>
      <c r="N307" s="495"/>
      <c r="O307" s="28"/>
      <c r="P307" s="1">
        <f t="shared" si="43"/>
        <v>0</v>
      </c>
      <c r="Q307" s="1">
        <f t="shared" si="44"/>
        <v>0</v>
      </c>
      <c r="R307" s="231"/>
      <c r="S307" s="28"/>
      <c r="T307" s="504">
        <f t="shared" si="45"/>
        <v>0</v>
      </c>
      <c r="U307" s="12">
        <f t="shared" si="46"/>
        <v>0</v>
      </c>
      <c r="V307" s="429">
        <f>U307*係数!$H$30</f>
        <v>0</v>
      </c>
      <c r="W307" s="12">
        <f t="shared" si="47"/>
        <v>0</v>
      </c>
      <c r="X307" s="431">
        <f t="shared" si="48"/>
        <v>0</v>
      </c>
    </row>
    <row r="308" spans="2:24" x14ac:dyDescent="0.45">
      <c r="B308" s="208" t="s">
        <v>905</v>
      </c>
      <c r="C308" s="36"/>
      <c r="D308" s="494"/>
      <c r="E308" s="28"/>
      <c r="F308" s="230"/>
      <c r="G308" s="230"/>
      <c r="H308" s="231"/>
      <c r="I308" s="28"/>
      <c r="J308" s="225">
        <f t="shared" si="41"/>
        <v>0</v>
      </c>
      <c r="K308" s="225">
        <f t="shared" si="42"/>
        <v>0</v>
      </c>
      <c r="L308" s="429">
        <f>K308*係数!$H$30</f>
        <v>0</v>
      </c>
      <c r="M308" s="36"/>
      <c r="N308" s="495"/>
      <c r="O308" s="28"/>
      <c r="P308" s="1">
        <f t="shared" si="43"/>
        <v>0</v>
      </c>
      <c r="Q308" s="1">
        <f t="shared" si="44"/>
        <v>0</v>
      </c>
      <c r="R308" s="231"/>
      <c r="S308" s="28"/>
      <c r="T308" s="504">
        <f t="shared" si="45"/>
        <v>0</v>
      </c>
      <c r="U308" s="12">
        <f t="shared" si="46"/>
        <v>0</v>
      </c>
      <c r="V308" s="429">
        <f>U308*係数!$H$30</f>
        <v>0</v>
      </c>
      <c r="W308" s="12">
        <f t="shared" si="47"/>
        <v>0</v>
      </c>
      <c r="X308" s="431">
        <f t="shared" si="48"/>
        <v>0</v>
      </c>
    </row>
    <row r="309" spans="2:24" x14ac:dyDescent="0.45">
      <c r="B309" s="208" t="s">
        <v>906</v>
      </c>
      <c r="C309" s="36"/>
      <c r="D309" s="494"/>
      <c r="E309" s="28"/>
      <c r="F309" s="230"/>
      <c r="G309" s="230"/>
      <c r="H309" s="231"/>
      <c r="I309" s="28"/>
      <c r="J309" s="225">
        <f t="shared" si="41"/>
        <v>0</v>
      </c>
      <c r="K309" s="225">
        <f t="shared" si="42"/>
        <v>0</v>
      </c>
      <c r="L309" s="429">
        <f>K309*係数!$H$30</f>
        <v>0</v>
      </c>
      <c r="M309" s="36"/>
      <c r="N309" s="495"/>
      <c r="O309" s="28"/>
      <c r="P309" s="1">
        <f t="shared" si="43"/>
        <v>0</v>
      </c>
      <c r="Q309" s="1">
        <f t="shared" si="44"/>
        <v>0</v>
      </c>
      <c r="R309" s="231"/>
      <c r="S309" s="28"/>
      <c r="T309" s="504">
        <f t="shared" si="45"/>
        <v>0</v>
      </c>
      <c r="U309" s="12">
        <f t="shared" si="46"/>
        <v>0</v>
      </c>
      <c r="V309" s="429">
        <f>U309*係数!$H$30</f>
        <v>0</v>
      </c>
      <c r="W309" s="12">
        <f t="shared" si="47"/>
        <v>0</v>
      </c>
      <c r="X309" s="431">
        <f t="shared" si="48"/>
        <v>0</v>
      </c>
    </row>
    <row r="310" spans="2:24" x14ac:dyDescent="0.45">
      <c r="B310" s="208" t="s">
        <v>907</v>
      </c>
      <c r="C310" s="36"/>
      <c r="D310" s="494"/>
      <c r="E310" s="28"/>
      <c r="F310" s="230"/>
      <c r="G310" s="230"/>
      <c r="H310" s="231"/>
      <c r="I310" s="28"/>
      <c r="J310" s="225">
        <f t="shared" si="41"/>
        <v>0</v>
      </c>
      <c r="K310" s="225">
        <f t="shared" si="42"/>
        <v>0</v>
      </c>
      <c r="L310" s="429">
        <f>K310*係数!$H$30</f>
        <v>0</v>
      </c>
      <c r="M310" s="36"/>
      <c r="N310" s="495"/>
      <c r="O310" s="28"/>
      <c r="P310" s="1">
        <f t="shared" si="43"/>
        <v>0</v>
      </c>
      <c r="Q310" s="1">
        <f t="shared" si="44"/>
        <v>0</v>
      </c>
      <c r="R310" s="231"/>
      <c r="S310" s="28"/>
      <c r="T310" s="504">
        <f t="shared" si="45"/>
        <v>0</v>
      </c>
      <c r="U310" s="12">
        <f t="shared" si="46"/>
        <v>0</v>
      </c>
      <c r="V310" s="429">
        <f>U310*係数!$H$30</f>
        <v>0</v>
      </c>
      <c r="W310" s="12">
        <f t="shared" si="47"/>
        <v>0</v>
      </c>
      <c r="X310" s="431">
        <f t="shared" si="48"/>
        <v>0</v>
      </c>
    </row>
    <row r="311" spans="2:24" x14ac:dyDescent="0.45">
      <c r="B311" s="208" t="s">
        <v>908</v>
      </c>
      <c r="C311" s="36"/>
      <c r="D311" s="494"/>
      <c r="E311" s="28"/>
      <c r="F311" s="230"/>
      <c r="G311" s="230"/>
      <c r="H311" s="231"/>
      <c r="I311" s="28"/>
      <c r="J311" s="225">
        <f t="shared" si="41"/>
        <v>0</v>
      </c>
      <c r="K311" s="225">
        <f t="shared" si="42"/>
        <v>0</v>
      </c>
      <c r="L311" s="429">
        <f>K311*係数!$H$30</f>
        <v>0</v>
      </c>
      <c r="M311" s="36"/>
      <c r="N311" s="495"/>
      <c r="O311" s="28"/>
      <c r="P311" s="1">
        <f t="shared" si="43"/>
        <v>0</v>
      </c>
      <c r="Q311" s="1">
        <f t="shared" si="44"/>
        <v>0</v>
      </c>
      <c r="R311" s="231"/>
      <c r="S311" s="28"/>
      <c r="T311" s="504">
        <f t="shared" si="45"/>
        <v>0</v>
      </c>
      <c r="U311" s="12">
        <f t="shared" si="46"/>
        <v>0</v>
      </c>
      <c r="V311" s="429">
        <f>U311*係数!$H$30</f>
        <v>0</v>
      </c>
      <c r="W311" s="12">
        <f t="shared" si="47"/>
        <v>0</v>
      </c>
      <c r="X311" s="431">
        <f t="shared" si="48"/>
        <v>0</v>
      </c>
    </row>
    <row r="312" spans="2:24" x14ac:dyDescent="0.45">
      <c r="B312" s="208" t="s">
        <v>909</v>
      </c>
      <c r="C312" s="36"/>
      <c r="D312" s="494"/>
      <c r="E312" s="28"/>
      <c r="F312" s="230"/>
      <c r="G312" s="230"/>
      <c r="H312" s="231"/>
      <c r="I312" s="28"/>
      <c r="J312" s="225">
        <f t="shared" si="41"/>
        <v>0</v>
      </c>
      <c r="K312" s="225">
        <f t="shared" si="42"/>
        <v>0</v>
      </c>
      <c r="L312" s="429">
        <f>K312*係数!$H$30</f>
        <v>0</v>
      </c>
      <c r="M312" s="36"/>
      <c r="N312" s="495"/>
      <c r="O312" s="28"/>
      <c r="P312" s="1">
        <f t="shared" si="43"/>
        <v>0</v>
      </c>
      <c r="Q312" s="1">
        <f t="shared" si="44"/>
        <v>0</v>
      </c>
      <c r="R312" s="231"/>
      <c r="S312" s="28"/>
      <c r="T312" s="504">
        <f t="shared" si="45"/>
        <v>0</v>
      </c>
      <c r="U312" s="12">
        <f t="shared" si="46"/>
        <v>0</v>
      </c>
      <c r="V312" s="429">
        <f>U312*係数!$H$30</f>
        <v>0</v>
      </c>
      <c r="W312" s="12">
        <f t="shared" si="47"/>
        <v>0</v>
      </c>
      <c r="X312" s="431">
        <f t="shared" si="48"/>
        <v>0</v>
      </c>
    </row>
    <row r="313" spans="2:24" x14ac:dyDescent="0.45">
      <c r="B313" s="208" t="s">
        <v>910</v>
      </c>
      <c r="C313" s="36"/>
      <c r="D313" s="494"/>
      <c r="E313" s="28"/>
      <c r="F313" s="230"/>
      <c r="G313" s="230"/>
      <c r="H313" s="231"/>
      <c r="I313" s="28"/>
      <c r="J313" s="225">
        <f t="shared" si="41"/>
        <v>0</v>
      </c>
      <c r="K313" s="225">
        <f t="shared" si="42"/>
        <v>0</v>
      </c>
      <c r="L313" s="429">
        <f>K313*係数!$H$30</f>
        <v>0</v>
      </c>
      <c r="M313" s="36"/>
      <c r="N313" s="495"/>
      <c r="O313" s="28"/>
      <c r="P313" s="1">
        <f t="shared" si="43"/>
        <v>0</v>
      </c>
      <c r="Q313" s="1">
        <f t="shared" si="44"/>
        <v>0</v>
      </c>
      <c r="R313" s="231"/>
      <c r="S313" s="28"/>
      <c r="T313" s="504">
        <f t="shared" si="45"/>
        <v>0</v>
      </c>
      <c r="U313" s="12">
        <f t="shared" si="46"/>
        <v>0</v>
      </c>
      <c r="V313" s="429">
        <f>U313*係数!$H$30</f>
        <v>0</v>
      </c>
      <c r="W313" s="12">
        <f t="shared" si="47"/>
        <v>0</v>
      </c>
      <c r="X313" s="431">
        <f t="shared" si="48"/>
        <v>0</v>
      </c>
    </row>
    <row r="314" spans="2:24" x14ac:dyDescent="0.45">
      <c r="B314" s="208" t="s">
        <v>911</v>
      </c>
      <c r="C314" s="36"/>
      <c r="D314" s="494"/>
      <c r="E314" s="28"/>
      <c r="F314" s="230"/>
      <c r="G314" s="230"/>
      <c r="H314" s="231"/>
      <c r="I314" s="28"/>
      <c r="J314" s="225">
        <f t="shared" si="41"/>
        <v>0</v>
      </c>
      <c r="K314" s="225">
        <f t="shared" si="42"/>
        <v>0</v>
      </c>
      <c r="L314" s="429">
        <f>K314*係数!$H$30</f>
        <v>0</v>
      </c>
      <c r="M314" s="36"/>
      <c r="N314" s="495"/>
      <c r="O314" s="28"/>
      <c r="P314" s="1">
        <f t="shared" si="43"/>
        <v>0</v>
      </c>
      <c r="Q314" s="1">
        <f t="shared" si="44"/>
        <v>0</v>
      </c>
      <c r="R314" s="231"/>
      <c r="S314" s="28"/>
      <c r="T314" s="504">
        <f t="shared" si="45"/>
        <v>0</v>
      </c>
      <c r="U314" s="12">
        <f t="shared" si="46"/>
        <v>0</v>
      </c>
      <c r="V314" s="429">
        <f>U314*係数!$H$30</f>
        <v>0</v>
      </c>
      <c r="W314" s="12">
        <f t="shared" si="47"/>
        <v>0</v>
      </c>
      <c r="X314" s="431">
        <f t="shared" si="48"/>
        <v>0</v>
      </c>
    </row>
    <row r="315" spans="2:24" x14ac:dyDescent="0.45">
      <c r="B315" s="208" t="s">
        <v>912</v>
      </c>
      <c r="C315" s="36"/>
      <c r="D315" s="494"/>
      <c r="E315" s="28"/>
      <c r="F315" s="230"/>
      <c r="G315" s="230"/>
      <c r="H315" s="231"/>
      <c r="I315" s="28"/>
      <c r="J315" s="225">
        <f t="shared" si="41"/>
        <v>0</v>
      </c>
      <c r="K315" s="225">
        <f t="shared" si="42"/>
        <v>0</v>
      </c>
      <c r="L315" s="429">
        <f>K315*係数!$H$30</f>
        <v>0</v>
      </c>
      <c r="M315" s="36"/>
      <c r="N315" s="495"/>
      <c r="O315" s="28"/>
      <c r="P315" s="1">
        <f t="shared" si="43"/>
        <v>0</v>
      </c>
      <c r="Q315" s="1">
        <f t="shared" si="44"/>
        <v>0</v>
      </c>
      <c r="R315" s="231"/>
      <c r="S315" s="28"/>
      <c r="T315" s="504">
        <f t="shared" si="45"/>
        <v>0</v>
      </c>
      <c r="U315" s="12">
        <f t="shared" si="46"/>
        <v>0</v>
      </c>
      <c r="V315" s="429">
        <f>U315*係数!$H$30</f>
        <v>0</v>
      </c>
      <c r="W315" s="12">
        <f t="shared" si="47"/>
        <v>0</v>
      </c>
      <c r="X315" s="431">
        <f t="shared" si="48"/>
        <v>0</v>
      </c>
    </row>
    <row r="316" spans="2:24" x14ac:dyDescent="0.45">
      <c r="B316" s="208" t="s">
        <v>913</v>
      </c>
      <c r="C316" s="36"/>
      <c r="D316" s="494"/>
      <c r="E316" s="28"/>
      <c r="F316" s="230"/>
      <c r="G316" s="230"/>
      <c r="H316" s="231"/>
      <c r="I316" s="28"/>
      <c r="J316" s="225">
        <f t="shared" si="41"/>
        <v>0</v>
      </c>
      <c r="K316" s="225">
        <f t="shared" si="42"/>
        <v>0</v>
      </c>
      <c r="L316" s="429">
        <f>K316*係数!$H$30</f>
        <v>0</v>
      </c>
      <c r="M316" s="36"/>
      <c r="N316" s="495"/>
      <c r="O316" s="28"/>
      <c r="P316" s="1">
        <f t="shared" si="43"/>
        <v>0</v>
      </c>
      <c r="Q316" s="1">
        <f t="shared" si="44"/>
        <v>0</v>
      </c>
      <c r="R316" s="231"/>
      <c r="S316" s="28"/>
      <c r="T316" s="504">
        <f t="shared" si="45"/>
        <v>0</v>
      </c>
      <c r="U316" s="12">
        <f t="shared" si="46"/>
        <v>0</v>
      </c>
      <c r="V316" s="429">
        <f>U316*係数!$H$30</f>
        <v>0</v>
      </c>
      <c r="W316" s="12">
        <f t="shared" si="47"/>
        <v>0</v>
      </c>
      <c r="X316" s="431">
        <f t="shared" si="48"/>
        <v>0</v>
      </c>
    </row>
    <row r="317" spans="2:24" x14ac:dyDescent="0.45">
      <c r="B317" s="208" t="s">
        <v>914</v>
      </c>
      <c r="C317" s="36"/>
      <c r="D317" s="494"/>
      <c r="E317" s="28"/>
      <c r="F317" s="230"/>
      <c r="G317" s="230"/>
      <c r="H317" s="231"/>
      <c r="I317" s="28"/>
      <c r="J317" s="225">
        <f t="shared" si="41"/>
        <v>0</v>
      </c>
      <c r="K317" s="225">
        <f t="shared" si="42"/>
        <v>0</v>
      </c>
      <c r="L317" s="429">
        <f>K317*係数!$H$30</f>
        <v>0</v>
      </c>
      <c r="M317" s="36"/>
      <c r="N317" s="495"/>
      <c r="O317" s="28"/>
      <c r="P317" s="1">
        <f t="shared" si="43"/>
        <v>0</v>
      </c>
      <c r="Q317" s="1">
        <f t="shared" si="44"/>
        <v>0</v>
      </c>
      <c r="R317" s="231"/>
      <c r="S317" s="28"/>
      <c r="T317" s="504">
        <f t="shared" si="45"/>
        <v>0</v>
      </c>
      <c r="U317" s="12">
        <f t="shared" si="46"/>
        <v>0</v>
      </c>
      <c r="V317" s="429">
        <f>U317*係数!$H$30</f>
        <v>0</v>
      </c>
      <c r="W317" s="12">
        <f t="shared" si="47"/>
        <v>0</v>
      </c>
      <c r="X317" s="431">
        <f t="shared" si="48"/>
        <v>0</v>
      </c>
    </row>
  </sheetData>
  <sheetProtection algorithmName="SHA-512" hashValue="DckqLvjN4zoTYMRLmTPb0SGNPbE3EzI3nrcZICW3Ug3HnS0r+lhB+exZcoQcyI+vaczcAWeXR3AsKOqcVUnf7A==" saltValue="odsHeofOINhTsmgAM9THQQ==" spinCount="100000" sheet="1" objects="1" scenarios="1" formatCells="0" formatColumns="0" formatRows="0"/>
  <mergeCells count="15">
    <mergeCell ref="B13:B14"/>
    <mergeCell ref="D4:E4"/>
    <mergeCell ref="D5:E5"/>
    <mergeCell ref="D6:E6"/>
    <mergeCell ref="D3:E3"/>
    <mergeCell ref="D7:E7"/>
    <mergeCell ref="H6:I6"/>
    <mergeCell ref="M6:X6"/>
    <mergeCell ref="H7:I7"/>
    <mergeCell ref="N7:X7"/>
    <mergeCell ref="H3:I3"/>
    <mergeCell ref="M3:X3"/>
    <mergeCell ref="H4:I4"/>
    <mergeCell ref="M4:X4"/>
    <mergeCell ref="H5:I5"/>
  </mergeCells>
  <phoneticPr fontId="5"/>
  <conditionalFormatting sqref="K7 G7:H7">
    <cfRule type="expression" dxfId="94" priority="5">
      <formula>$G$1="なし"</formula>
    </cfRule>
  </conditionalFormatting>
  <conditionalFormatting sqref="S18:S317">
    <cfRule type="expression" dxfId="93" priority="4">
      <formula>$R18&lt;&gt;"○"</formula>
    </cfRule>
  </conditionalFormatting>
  <conditionalFormatting sqref="O17">
    <cfRule type="cellIs" dxfId="92" priority="3" operator="greaterThan">
      <formula>$E$17</formula>
    </cfRule>
  </conditionalFormatting>
  <conditionalFormatting sqref="I16:I317">
    <cfRule type="expression" dxfId="91" priority="2">
      <formula>$H16&lt;&gt;"○"</formula>
    </cfRule>
  </conditionalFormatting>
  <conditionalFormatting sqref="N7">
    <cfRule type="cellIs" dxfId="90" priority="1" operator="notEqual">
      <formula>"ー"</formula>
    </cfRule>
  </conditionalFormatting>
  <dataValidations count="1">
    <dataValidation type="list" allowBlank="1" showInputMessage="1" showErrorMessage="1" sqref="R18:R317 R16 H16 H18:H317" xr:uid="{00000000-0002-0000-0300-000000000000}">
      <formula1>"○"</formula1>
    </dataValidation>
  </dataValidations>
  <pageMargins left="0.70866141732283472" right="0.70866141732283472" top="0.74803149606299213" bottom="0.74803149606299213" header="0.31496062992125984" footer="0.31496062992125984"/>
  <pageSetup paperSize="8" scale="77" orientation="landscape" r:id="rId1"/>
  <ignoredErrors>
    <ignoredError sqref="E17:X17 J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9"/>
  <sheetViews>
    <sheetView view="pageBreakPreview" zoomScale="70" zoomScaleNormal="70" zoomScaleSheetLayoutView="70" workbookViewId="0">
      <pane ySplit="1" topLeftCell="A2" activePane="bottomLeft" state="frozen"/>
      <selection activeCell="B30" sqref="B30"/>
      <selection pane="bottomLeft" activeCell="C20" sqref="C20"/>
    </sheetView>
  </sheetViews>
  <sheetFormatPr defaultColWidth="8.69921875" defaultRowHeight="18" x14ac:dyDescent="0.45"/>
  <cols>
    <col min="1" max="1" width="11.09765625" customWidth="1"/>
    <col min="2" max="2" width="9" customWidth="1"/>
    <col min="3" max="27" width="11.19921875" customWidth="1"/>
    <col min="28" max="48" width="9.19921875" customWidth="1"/>
  </cols>
  <sheetData>
    <row r="1" spans="1:30" ht="28.8" x14ac:dyDescent="0.7">
      <c r="A1" s="100" t="s">
        <v>544</v>
      </c>
      <c r="G1" s="194"/>
      <c r="I1" s="195"/>
      <c r="N1" s="196"/>
    </row>
    <row r="3" spans="1:30" ht="20.55" customHeight="1" x14ac:dyDescent="0.45">
      <c r="D3" s="594" t="s">
        <v>141</v>
      </c>
      <c r="E3" s="595"/>
      <c r="F3" s="208" t="s">
        <v>140</v>
      </c>
      <c r="G3" s="197" t="s">
        <v>76</v>
      </c>
      <c r="H3" s="197" t="s">
        <v>87</v>
      </c>
      <c r="I3" s="197" t="s">
        <v>193</v>
      </c>
      <c r="J3" s="198" t="s">
        <v>197</v>
      </c>
      <c r="O3" s="619" t="s">
        <v>529</v>
      </c>
      <c r="P3" s="620"/>
      <c r="Q3" s="620"/>
      <c r="R3" s="620"/>
      <c r="S3" s="620"/>
      <c r="T3" s="620"/>
      <c r="U3" s="620"/>
      <c r="V3" s="620"/>
      <c r="W3" s="620"/>
      <c r="X3" s="621"/>
    </row>
    <row r="4" spans="1:30" ht="20.55" customHeight="1" x14ac:dyDescent="0.45">
      <c r="D4" s="592" t="s">
        <v>384</v>
      </c>
      <c r="E4" s="593"/>
      <c r="F4" s="200" t="s">
        <v>85</v>
      </c>
      <c r="G4" s="511">
        <f>Q19</f>
        <v>0</v>
      </c>
      <c r="H4" s="511">
        <f>AA19</f>
        <v>0</v>
      </c>
      <c r="I4" s="511">
        <f>G4-H4</f>
        <v>0</v>
      </c>
      <c r="J4" s="40">
        <f>IF(OR(G4=0,I4=0),0,I4/G4)</f>
        <v>0</v>
      </c>
      <c r="O4" s="624"/>
      <c r="P4" s="625"/>
      <c r="Q4" s="625"/>
      <c r="R4" s="625"/>
      <c r="S4" s="625"/>
      <c r="T4" s="625"/>
      <c r="U4" s="625"/>
      <c r="V4" s="625"/>
      <c r="W4" s="625"/>
      <c r="X4" s="626"/>
      <c r="Z4" s="193"/>
      <c r="AD4" s="193"/>
    </row>
    <row r="5" spans="1:30" ht="20.55" customHeight="1" x14ac:dyDescent="0.45">
      <c r="D5" s="592" t="s">
        <v>385</v>
      </c>
      <c r="E5" s="593"/>
      <c r="F5" s="211" t="s">
        <v>62</v>
      </c>
      <c r="G5" s="512">
        <f>R19</f>
        <v>0</v>
      </c>
      <c r="H5" s="512">
        <f>AB19</f>
        <v>0</v>
      </c>
      <c r="I5" s="513">
        <f>G5-H5</f>
        <v>0</v>
      </c>
      <c r="J5" s="40">
        <f>IF(OR(G5=0,I5=0),0,I5/G5)</f>
        <v>0</v>
      </c>
      <c r="O5" s="193"/>
      <c r="P5" s="193"/>
      <c r="Q5" s="193"/>
      <c r="R5" s="193"/>
      <c r="S5" s="193"/>
      <c r="T5" s="193"/>
      <c r="U5" s="193"/>
      <c r="V5" s="193"/>
      <c r="W5" s="193"/>
      <c r="X5" s="193"/>
      <c r="Z5" s="193"/>
      <c r="AD5" s="193"/>
    </row>
    <row r="6" spans="1:30" ht="18" customHeight="1" x14ac:dyDescent="0.45">
      <c r="D6" s="592" t="s">
        <v>4</v>
      </c>
      <c r="E6" s="593"/>
      <c r="F6" s="200" t="s">
        <v>90</v>
      </c>
      <c r="G6" s="189" t="str">
        <f>IF(使用量と光熱費!$H$7=0,"ー",G4*使用量と光熱費!$H$7)</f>
        <v>ー</v>
      </c>
      <c r="H6" s="189" t="str">
        <f>IF(使用量と光熱費!$H$7=0,"ー",H4*使用量と光熱費!$H$7)</f>
        <v>ー</v>
      </c>
      <c r="I6" s="508" t="str">
        <f>IF(OR(G6="ー",H6="ー"),"ー",G6-H6)</f>
        <v>ー</v>
      </c>
      <c r="J6" s="266">
        <f>IFERROR(I6/G6,0)</f>
        <v>0</v>
      </c>
      <c r="O6" s="637" t="s">
        <v>545</v>
      </c>
      <c r="P6" s="637"/>
      <c r="Q6" s="637"/>
      <c r="R6" s="637"/>
      <c r="S6" s="637"/>
      <c r="T6" s="637"/>
      <c r="U6" s="637"/>
      <c r="V6" s="637"/>
      <c r="W6" s="637"/>
      <c r="X6" s="637"/>
    </row>
    <row r="7" spans="1:30" ht="18" customHeight="1" x14ac:dyDescent="0.45">
      <c r="D7" s="592" t="s">
        <v>484</v>
      </c>
      <c r="E7" s="593"/>
      <c r="F7" s="200" t="s">
        <v>485</v>
      </c>
      <c r="G7" s="440">
        <f>G4*係数!$C$30*0.0000258</f>
        <v>0</v>
      </c>
      <c r="H7" s="440">
        <f>H4*係数!$C$30*0.0000258</f>
        <v>0</v>
      </c>
      <c r="I7" s="514">
        <f>G7-H7</f>
        <v>0</v>
      </c>
      <c r="J7" s="40">
        <f>IF(OR(G7=0,I7=0),0,I7/G7)</f>
        <v>0</v>
      </c>
      <c r="O7" s="638" t="s">
        <v>141</v>
      </c>
      <c r="P7" s="639"/>
      <c r="Q7" s="200" t="s">
        <v>369</v>
      </c>
      <c r="R7" s="200" t="s">
        <v>371</v>
      </c>
      <c r="S7" s="640" t="str">
        <f>IF(OR(OR(Q8="",R8=""),AND(Q8="なし",R8="なし")),"ー",IF(COUNTIF(Q8:R8,"増加")&gt;0,"やむを得ず増加する場合は特記事項欄に理由を記載してください。(要根拠資料提出)","減少する理由を特記事項欄に記載してください。"))</f>
        <v>ー</v>
      </c>
      <c r="T7" s="641"/>
      <c r="U7" s="641"/>
      <c r="V7" s="641"/>
      <c r="W7" s="641"/>
      <c r="X7" s="642"/>
    </row>
    <row r="8" spans="1:30" ht="18" customHeight="1" x14ac:dyDescent="0.45">
      <c r="O8" s="646" t="s">
        <v>546</v>
      </c>
      <c r="P8" s="647"/>
      <c r="Q8" s="2" t="str">
        <f>IF(OR(G19=0,U19=0),"",IF(G19=U19,"なし",IF(G19&gt;U19,"減少","増加")))</f>
        <v/>
      </c>
      <c r="R8" s="2" t="str">
        <f>IF(OR(L19=0,X19=0),"",IF(L19=X19,"なし",IF(L19&gt;X19,"減少","増加")))</f>
        <v/>
      </c>
      <c r="S8" s="643"/>
      <c r="T8" s="644"/>
      <c r="U8" s="644"/>
      <c r="V8" s="644"/>
      <c r="W8" s="644"/>
      <c r="X8" s="645"/>
    </row>
    <row r="9" spans="1:30" ht="18" customHeight="1" x14ac:dyDescent="0.45">
      <c r="O9" s="235"/>
      <c r="R9" s="43"/>
      <c r="S9" s="43"/>
      <c r="T9" s="43"/>
      <c r="U9" s="43"/>
      <c r="V9" s="43"/>
      <c r="W9" s="43"/>
      <c r="X9" s="43"/>
    </row>
    <row r="10" spans="1:30" ht="18" customHeight="1" x14ac:dyDescent="0.45">
      <c r="B10" s="197" t="s">
        <v>141</v>
      </c>
      <c r="C10" s="197" t="s">
        <v>111</v>
      </c>
    </row>
    <row r="11" spans="1:30" ht="18" customHeight="1" x14ac:dyDescent="0.5">
      <c r="B11" s="236" t="s">
        <v>547</v>
      </c>
      <c r="C11" s="178">
        <v>0.4</v>
      </c>
    </row>
    <row r="12" spans="1:30" ht="18" customHeight="1" x14ac:dyDescent="0.5">
      <c r="B12" s="236" t="s">
        <v>548</v>
      </c>
      <c r="C12" s="178">
        <v>0.4</v>
      </c>
    </row>
    <row r="13" spans="1:30" ht="18" customHeight="1" x14ac:dyDescent="0.45">
      <c r="A13" t="s">
        <v>139</v>
      </c>
      <c r="O13" s="202"/>
    </row>
    <row r="14" spans="1:30" x14ac:dyDescent="0.45">
      <c r="B14" s="590" t="s">
        <v>141</v>
      </c>
      <c r="C14" s="237" t="s">
        <v>76</v>
      </c>
      <c r="D14" s="238"/>
      <c r="E14" s="238"/>
      <c r="F14" s="238"/>
      <c r="G14" s="238"/>
      <c r="H14" s="239"/>
      <c r="I14" s="239"/>
      <c r="J14" s="239"/>
      <c r="K14" s="239"/>
      <c r="L14" s="239"/>
      <c r="M14" s="239"/>
      <c r="N14" s="239"/>
      <c r="O14" s="239"/>
      <c r="P14" s="239"/>
      <c r="Q14" s="239"/>
      <c r="R14" s="240"/>
      <c r="S14" s="241" t="s">
        <v>373</v>
      </c>
      <c r="T14" s="242"/>
      <c r="U14" s="242"/>
      <c r="V14" s="242"/>
      <c r="W14" s="242"/>
      <c r="X14" s="242"/>
      <c r="Y14" s="242"/>
      <c r="Z14" s="242"/>
      <c r="AA14" s="242"/>
      <c r="AB14" s="242"/>
      <c r="AC14" s="633" t="s">
        <v>94</v>
      </c>
      <c r="AD14" s="634"/>
    </row>
    <row r="15" spans="1:30" x14ac:dyDescent="0.45">
      <c r="B15" s="603"/>
      <c r="C15" s="243"/>
      <c r="D15" s="244"/>
      <c r="E15" s="244"/>
      <c r="F15" s="245"/>
      <c r="G15" s="246" t="s">
        <v>369</v>
      </c>
      <c r="H15" s="247"/>
      <c r="I15" s="247"/>
      <c r="J15" s="247"/>
      <c r="K15" s="242"/>
      <c r="L15" s="246" t="s">
        <v>371</v>
      </c>
      <c r="M15" s="247"/>
      <c r="N15" s="247"/>
      <c r="O15" s="247"/>
      <c r="P15" s="242"/>
      <c r="Q15" s="246" t="s">
        <v>372</v>
      </c>
      <c r="R15" s="242"/>
      <c r="S15" s="246"/>
      <c r="T15" s="244"/>
      <c r="U15" s="246" t="s">
        <v>369</v>
      </c>
      <c r="V15" s="247"/>
      <c r="W15" s="242"/>
      <c r="X15" s="246" t="s">
        <v>371</v>
      </c>
      <c r="Y15" s="247"/>
      <c r="Z15" s="242"/>
      <c r="AA15" s="246" t="s">
        <v>372</v>
      </c>
      <c r="AB15" s="242"/>
      <c r="AC15" s="635"/>
      <c r="AD15" s="636"/>
    </row>
    <row r="16" spans="1:30" ht="55.2" x14ac:dyDescent="0.45">
      <c r="B16" s="591"/>
      <c r="C16" s="248" t="s">
        <v>170</v>
      </c>
      <c r="D16" s="248" t="s">
        <v>381</v>
      </c>
      <c r="E16" s="248" t="s">
        <v>370</v>
      </c>
      <c r="F16" s="248" t="s">
        <v>549</v>
      </c>
      <c r="G16" s="248" t="s">
        <v>550</v>
      </c>
      <c r="H16" s="248" t="s">
        <v>452</v>
      </c>
      <c r="I16" s="248" t="s">
        <v>917</v>
      </c>
      <c r="J16" s="248" t="s">
        <v>918</v>
      </c>
      <c r="K16" s="248" t="s">
        <v>375</v>
      </c>
      <c r="L16" s="248" t="s">
        <v>551</v>
      </c>
      <c r="M16" s="248" t="s">
        <v>453</v>
      </c>
      <c r="N16" s="248" t="s">
        <v>919</v>
      </c>
      <c r="O16" s="248" t="s">
        <v>920</v>
      </c>
      <c r="P16" s="248" t="s">
        <v>376</v>
      </c>
      <c r="Q16" s="248" t="s">
        <v>418</v>
      </c>
      <c r="R16" s="248" t="s">
        <v>420</v>
      </c>
      <c r="S16" s="248" t="s">
        <v>170</v>
      </c>
      <c r="T16" s="248" t="s">
        <v>374</v>
      </c>
      <c r="U16" s="248" t="s">
        <v>550</v>
      </c>
      <c r="V16" s="248" t="s">
        <v>454</v>
      </c>
      <c r="W16" s="248" t="s">
        <v>377</v>
      </c>
      <c r="X16" s="248" t="s">
        <v>551</v>
      </c>
      <c r="Y16" s="248" t="s">
        <v>455</v>
      </c>
      <c r="Z16" s="248" t="s">
        <v>378</v>
      </c>
      <c r="AA16" s="248" t="s">
        <v>419</v>
      </c>
      <c r="AB16" s="248" t="s">
        <v>421</v>
      </c>
      <c r="AC16" s="207" t="s">
        <v>476</v>
      </c>
      <c r="AD16" s="207" t="s">
        <v>477</v>
      </c>
    </row>
    <row r="17" spans="2:30" x14ac:dyDescent="0.45">
      <c r="B17" s="249" t="s">
        <v>140</v>
      </c>
      <c r="C17" s="454"/>
      <c r="D17" s="200" t="s">
        <v>915</v>
      </c>
      <c r="E17" s="200" t="s">
        <v>77</v>
      </c>
      <c r="F17" s="209"/>
      <c r="G17" s="200" t="s">
        <v>96</v>
      </c>
      <c r="H17" s="200" t="s">
        <v>96</v>
      </c>
      <c r="I17" s="200" t="s">
        <v>921</v>
      </c>
      <c r="J17" s="200" t="s">
        <v>922</v>
      </c>
      <c r="K17" s="200" t="s">
        <v>82</v>
      </c>
      <c r="L17" s="200" t="s">
        <v>96</v>
      </c>
      <c r="M17" s="200" t="s">
        <v>96</v>
      </c>
      <c r="N17" s="200" t="s">
        <v>921</v>
      </c>
      <c r="O17" s="200" t="s">
        <v>922</v>
      </c>
      <c r="P17" s="200" t="s">
        <v>82</v>
      </c>
      <c r="Q17" s="200" t="s">
        <v>85</v>
      </c>
      <c r="R17" s="211" t="s">
        <v>62</v>
      </c>
      <c r="S17" s="454"/>
      <c r="T17" s="200" t="s">
        <v>77</v>
      </c>
      <c r="U17" s="200" t="s">
        <v>96</v>
      </c>
      <c r="V17" s="200" t="s">
        <v>96</v>
      </c>
      <c r="W17" s="200" t="s">
        <v>82</v>
      </c>
      <c r="X17" s="200" t="s">
        <v>96</v>
      </c>
      <c r="Y17" s="200" t="s">
        <v>96</v>
      </c>
      <c r="Z17" s="200" t="s">
        <v>82</v>
      </c>
      <c r="AA17" s="200" t="s">
        <v>85</v>
      </c>
      <c r="AB17" s="211" t="s">
        <v>62</v>
      </c>
      <c r="AC17" s="200" t="s">
        <v>85</v>
      </c>
      <c r="AD17" s="250" t="s">
        <v>62</v>
      </c>
    </row>
    <row r="18" spans="2:30" x14ac:dyDescent="0.45">
      <c r="B18" s="251" t="s">
        <v>540</v>
      </c>
      <c r="C18" s="214" t="s">
        <v>552</v>
      </c>
      <c r="D18" s="214">
        <v>2008</v>
      </c>
      <c r="E18" s="214">
        <v>2</v>
      </c>
      <c r="F18" s="252">
        <f>IF(D18="",1,MIN(1.5,(2023-D18)*0.05+1))</f>
        <v>1.5</v>
      </c>
      <c r="G18" s="253">
        <v>28</v>
      </c>
      <c r="H18" s="254">
        <v>7.64</v>
      </c>
      <c r="I18" s="496">
        <v>8</v>
      </c>
      <c r="J18" s="496">
        <f>30+31+31+30</f>
        <v>122</v>
      </c>
      <c r="K18" s="257">
        <f>I18*J18</f>
        <v>976</v>
      </c>
      <c r="L18" s="256">
        <v>31.5</v>
      </c>
      <c r="M18" s="254">
        <v>8.59</v>
      </c>
      <c r="N18" s="254">
        <v>8</v>
      </c>
      <c r="O18" s="254">
        <f>30+31+31+28+31+30</f>
        <v>181</v>
      </c>
      <c r="P18" s="559">
        <f>N18*O18</f>
        <v>1448</v>
      </c>
      <c r="Q18" s="257">
        <f>H18*F18*E18*K18*$C$11+M18*F18*E18*P18*$C$12</f>
        <v>23873.951999999997</v>
      </c>
      <c r="R18" s="432">
        <f>Q18*係数!$H$30</f>
        <v>10.886522112</v>
      </c>
      <c r="S18" s="214" t="s">
        <v>553</v>
      </c>
      <c r="T18" s="214">
        <v>2</v>
      </c>
      <c r="U18" s="253">
        <v>28</v>
      </c>
      <c r="V18" s="254">
        <v>8.48</v>
      </c>
      <c r="W18" s="257">
        <f>IF(K18=0,0,K18)</f>
        <v>976</v>
      </c>
      <c r="X18" s="256">
        <v>31.5</v>
      </c>
      <c r="Y18" s="254">
        <v>7.7</v>
      </c>
      <c r="Z18" s="257">
        <f>IF(P18=0,0,P18)</f>
        <v>1448</v>
      </c>
      <c r="AA18" s="257">
        <f>V18*T18*W18*$C$11+Y18*T18*Z18*$C$12</f>
        <v>15540.864000000001</v>
      </c>
      <c r="AB18" s="432">
        <f>AA18*係数!$H$30</f>
        <v>7.0866339840000014</v>
      </c>
      <c r="AC18" s="257">
        <f>Q18-AA18</f>
        <v>8333.0879999999961</v>
      </c>
      <c r="AD18" s="432">
        <f>R18-AB18</f>
        <v>3.7998881279999983</v>
      </c>
    </row>
    <row r="19" spans="2:30" x14ac:dyDescent="0.45">
      <c r="B19" s="249" t="s">
        <v>60</v>
      </c>
      <c r="C19" s="223"/>
      <c r="D19" s="223"/>
      <c r="E19" s="20">
        <f>SUM(E20:E49)</f>
        <v>0</v>
      </c>
      <c r="F19" s="223"/>
      <c r="G19" s="258">
        <f>SUMPRODUCT($E20:$E$49*G$20:G$49)</f>
        <v>0</v>
      </c>
      <c r="H19" s="489">
        <f>SUMPRODUCT($E20:$E$49*H$20:H$49)</f>
        <v>0</v>
      </c>
      <c r="I19" s="500"/>
      <c r="J19" s="500"/>
      <c r="K19" s="481"/>
      <c r="L19" s="490">
        <f>SUMPRODUCT($E20:$E$49*L$20:L$49)</f>
        <v>0</v>
      </c>
      <c r="M19" s="489">
        <f>SUMPRODUCT($E20:$E$49*M$20:M$49)</f>
        <v>0</v>
      </c>
      <c r="N19" s="501"/>
      <c r="O19" s="501"/>
      <c r="P19" s="530"/>
      <c r="Q19" s="261">
        <f>SUM(Q20:Q49)</f>
        <v>0</v>
      </c>
      <c r="R19" s="433">
        <f>SUM(R20:R49)</f>
        <v>0</v>
      </c>
      <c r="S19" s="223"/>
      <c r="T19" s="20">
        <f>SUM(T20:T49)</f>
        <v>0</v>
      </c>
      <c r="U19" s="258">
        <f>SUMPRODUCT($T20:$T$49*U$20:U$49)</f>
        <v>0</v>
      </c>
      <c r="V19" s="489">
        <f>SUMPRODUCT($T20:$T$49*V$20:V$49)</f>
        <v>0</v>
      </c>
      <c r="W19" s="483"/>
      <c r="X19" s="258">
        <f>SUMPRODUCT($T20:$T$49*X$20:X$49)</f>
        <v>0</v>
      </c>
      <c r="Y19" s="489">
        <f>SUMPRODUCT($T20:$T$49*Y$20:Y$49)</f>
        <v>0</v>
      </c>
      <c r="Z19" s="483"/>
      <c r="AA19" s="261">
        <f>SUM(AA20:AA49)</f>
        <v>0</v>
      </c>
      <c r="AB19" s="433">
        <f>SUM(AB20:AB49)</f>
        <v>0</v>
      </c>
      <c r="AC19" s="261">
        <f>SUM(AC20:AC49)</f>
        <v>0</v>
      </c>
      <c r="AD19" s="433">
        <f>SUM(AD20:AD49)</f>
        <v>0</v>
      </c>
    </row>
    <row r="20" spans="2:30" x14ac:dyDescent="0.45">
      <c r="B20" s="208" t="s">
        <v>119</v>
      </c>
      <c r="C20" s="36"/>
      <c r="D20" s="36"/>
      <c r="E20" s="28"/>
      <c r="F20" s="259">
        <f t="shared" ref="F20:F39" si="0">IF(D20="",1,MIN(1.5,(2023-D20)*0.05+1))</f>
        <v>1</v>
      </c>
      <c r="G20" s="491"/>
      <c r="H20" s="492"/>
      <c r="I20" s="497"/>
      <c r="J20" s="497"/>
      <c r="K20" s="264">
        <f t="shared" ref="K20:K49" si="1">I20*J20</f>
        <v>0</v>
      </c>
      <c r="L20" s="260"/>
      <c r="M20" s="492"/>
      <c r="N20" s="461"/>
      <c r="O20" s="461"/>
      <c r="P20" s="527">
        <f t="shared" ref="P20:P49" si="2">N20*O20</f>
        <v>0</v>
      </c>
      <c r="Q20" s="261">
        <f t="shared" ref="Q20:Q49" si="3">H20*F20*E20*K20*$C$11+M20*F20*E20*P20*$C$12</f>
        <v>0</v>
      </c>
      <c r="R20" s="433">
        <f>Q20*係数!$H$30</f>
        <v>0</v>
      </c>
      <c r="S20" s="36"/>
      <c r="T20" s="28"/>
      <c r="U20" s="491"/>
      <c r="V20" s="492"/>
      <c r="W20" s="262">
        <f t="shared" ref="W20:W49" si="4">IF(K20=0,0,K20)</f>
        <v>0</v>
      </c>
      <c r="X20" s="263"/>
      <c r="Y20" s="492"/>
      <c r="Z20" s="264">
        <f t="shared" ref="Z20:Z39" si="5">IF(P20=0,0,P20)</f>
        <v>0</v>
      </c>
      <c r="AA20" s="261">
        <f t="shared" ref="AA20:AA39" si="6">V20*T20*W20*$C$11+Y20*T20*Z20*$C$12</f>
        <v>0</v>
      </c>
      <c r="AB20" s="434">
        <f>AA20*係数!$H$30</f>
        <v>0</v>
      </c>
      <c r="AC20" s="261">
        <f t="shared" ref="AC20:AD39" si="7">Q20-AA20</f>
        <v>0</v>
      </c>
      <c r="AD20" s="434">
        <f>R20-AB20</f>
        <v>0</v>
      </c>
    </row>
    <row r="21" spans="2:30" x14ac:dyDescent="0.45">
      <c r="B21" s="208" t="s">
        <v>120</v>
      </c>
      <c r="C21" s="36"/>
      <c r="D21" s="36"/>
      <c r="E21" s="28"/>
      <c r="F21" s="259">
        <f t="shared" si="0"/>
        <v>1</v>
      </c>
      <c r="G21" s="491"/>
      <c r="H21" s="492"/>
      <c r="I21" s="497"/>
      <c r="J21" s="497"/>
      <c r="K21" s="264">
        <f t="shared" si="1"/>
        <v>0</v>
      </c>
      <c r="L21" s="260"/>
      <c r="M21" s="492"/>
      <c r="N21" s="461"/>
      <c r="O21" s="461"/>
      <c r="P21" s="527">
        <f t="shared" si="2"/>
        <v>0</v>
      </c>
      <c r="Q21" s="261">
        <f t="shared" si="3"/>
        <v>0</v>
      </c>
      <c r="R21" s="433">
        <f>Q21*係数!$H$30</f>
        <v>0</v>
      </c>
      <c r="S21" s="36"/>
      <c r="T21" s="28"/>
      <c r="U21" s="491"/>
      <c r="V21" s="492"/>
      <c r="W21" s="262">
        <f t="shared" si="4"/>
        <v>0</v>
      </c>
      <c r="X21" s="263"/>
      <c r="Y21" s="492"/>
      <c r="Z21" s="264">
        <f t="shared" si="5"/>
        <v>0</v>
      </c>
      <c r="AA21" s="261">
        <f t="shared" si="6"/>
        <v>0</v>
      </c>
      <c r="AB21" s="434">
        <f>AA21*係数!$H$30</f>
        <v>0</v>
      </c>
      <c r="AC21" s="261">
        <f t="shared" si="7"/>
        <v>0</v>
      </c>
      <c r="AD21" s="434">
        <f t="shared" si="7"/>
        <v>0</v>
      </c>
    </row>
    <row r="22" spans="2:30" x14ac:dyDescent="0.45">
      <c r="B22" s="208" t="s">
        <v>121</v>
      </c>
      <c r="C22" s="36"/>
      <c r="D22" s="36"/>
      <c r="E22" s="28"/>
      <c r="F22" s="259">
        <f t="shared" si="0"/>
        <v>1</v>
      </c>
      <c r="G22" s="491"/>
      <c r="H22" s="492"/>
      <c r="I22" s="497"/>
      <c r="J22" s="497"/>
      <c r="K22" s="264">
        <f t="shared" si="1"/>
        <v>0</v>
      </c>
      <c r="L22" s="260"/>
      <c r="M22" s="492"/>
      <c r="N22" s="461"/>
      <c r="O22" s="461"/>
      <c r="P22" s="527">
        <f t="shared" si="2"/>
        <v>0</v>
      </c>
      <c r="Q22" s="261">
        <f t="shared" si="3"/>
        <v>0</v>
      </c>
      <c r="R22" s="433">
        <f>Q22*係数!$H$30</f>
        <v>0</v>
      </c>
      <c r="S22" s="36"/>
      <c r="T22" s="28"/>
      <c r="U22" s="491"/>
      <c r="V22" s="492"/>
      <c r="W22" s="262">
        <f t="shared" si="4"/>
        <v>0</v>
      </c>
      <c r="X22" s="263"/>
      <c r="Y22" s="492"/>
      <c r="Z22" s="264">
        <f t="shared" si="5"/>
        <v>0</v>
      </c>
      <c r="AA22" s="261">
        <f t="shared" si="6"/>
        <v>0</v>
      </c>
      <c r="AB22" s="434">
        <f>AA22*係数!$H$30</f>
        <v>0</v>
      </c>
      <c r="AC22" s="261">
        <f t="shared" si="7"/>
        <v>0</v>
      </c>
      <c r="AD22" s="434">
        <f t="shared" si="7"/>
        <v>0</v>
      </c>
    </row>
    <row r="23" spans="2:30" x14ac:dyDescent="0.45">
      <c r="B23" s="208" t="s">
        <v>122</v>
      </c>
      <c r="C23" s="36"/>
      <c r="D23" s="36"/>
      <c r="E23" s="28"/>
      <c r="F23" s="259">
        <f t="shared" si="0"/>
        <v>1</v>
      </c>
      <c r="G23" s="491"/>
      <c r="H23" s="492"/>
      <c r="I23" s="497"/>
      <c r="J23" s="497"/>
      <c r="K23" s="264">
        <f t="shared" si="1"/>
        <v>0</v>
      </c>
      <c r="L23" s="260"/>
      <c r="M23" s="492"/>
      <c r="N23" s="461"/>
      <c r="O23" s="461"/>
      <c r="P23" s="527">
        <f t="shared" si="2"/>
        <v>0</v>
      </c>
      <c r="Q23" s="261">
        <f t="shared" si="3"/>
        <v>0</v>
      </c>
      <c r="R23" s="433">
        <f>Q23*係数!$H$30</f>
        <v>0</v>
      </c>
      <c r="S23" s="36"/>
      <c r="T23" s="28"/>
      <c r="U23" s="491"/>
      <c r="V23" s="492"/>
      <c r="W23" s="262">
        <f t="shared" si="4"/>
        <v>0</v>
      </c>
      <c r="X23" s="263"/>
      <c r="Y23" s="492"/>
      <c r="Z23" s="264">
        <f t="shared" si="5"/>
        <v>0</v>
      </c>
      <c r="AA23" s="261">
        <f t="shared" si="6"/>
        <v>0</v>
      </c>
      <c r="AB23" s="434">
        <f>AA23*係数!$H$30</f>
        <v>0</v>
      </c>
      <c r="AC23" s="261">
        <f t="shared" si="7"/>
        <v>0</v>
      </c>
      <c r="AD23" s="434">
        <f t="shared" si="7"/>
        <v>0</v>
      </c>
    </row>
    <row r="24" spans="2:30" x14ac:dyDescent="0.45">
      <c r="B24" s="208" t="s">
        <v>123</v>
      </c>
      <c r="C24" s="36"/>
      <c r="D24" s="36"/>
      <c r="E24" s="28"/>
      <c r="F24" s="259">
        <f t="shared" si="0"/>
        <v>1</v>
      </c>
      <c r="G24" s="491"/>
      <c r="H24" s="492"/>
      <c r="I24" s="497"/>
      <c r="J24" s="497"/>
      <c r="K24" s="264">
        <f t="shared" si="1"/>
        <v>0</v>
      </c>
      <c r="L24" s="260"/>
      <c r="M24" s="492"/>
      <c r="N24" s="461"/>
      <c r="O24" s="461"/>
      <c r="P24" s="527">
        <f t="shared" si="2"/>
        <v>0</v>
      </c>
      <c r="Q24" s="261">
        <f t="shared" si="3"/>
        <v>0</v>
      </c>
      <c r="R24" s="433">
        <f>Q24*係数!$H$30</f>
        <v>0</v>
      </c>
      <c r="S24" s="36"/>
      <c r="T24" s="28"/>
      <c r="U24" s="491"/>
      <c r="V24" s="492"/>
      <c r="W24" s="262">
        <f t="shared" si="4"/>
        <v>0</v>
      </c>
      <c r="X24" s="263"/>
      <c r="Y24" s="492"/>
      <c r="Z24" s="264">
        <f t="shared" si="5"/>
        <v>0</v>
      </c>
      <c r="AA24" s="261">
        <f t="shared" si="6"/>
        <v>0</v>
      </c>
      <c r="AB24" s="434">
        <f>AA24*係数!$H$30</f>
        <v>0</v>
      </c>
      <c r="AC24" s="261">
        <f t="shared" si="7"/>
        <v>0</v>
      </c>
      <c r="AD24" s="434">
        <f t="shared" si="7"/>
        <v>0</v>
      </c>
    </row>
    <row r="25" spans="2:30" x14ac:dyDescent="0.45">
      <c r="B25" s="208" t="s">
        <v>124</v>
      </c>
      <c r="C25" s="36"/>
      <c r="D25" s="36"/>
      <c r="E25" s="28"/>
      <c r="F25" s="259">
        <f t="shared" si="0"/>
        <v>1</v>
      </c>
      <c r="G25" s="491"/>
      <c r="H25" s="492"/>
      <c r="I25" s="497"/>
      <c r="J25" s="497"/>
      <c r="K25" s="264">
        <f t="shared" si="1"/>
        <v>0</v>
      </c>
      <c r="L25" s="260"/>
      <c r="M25" s="492"/>
      <c r="N25" s="461"/>
      <c r="O25" s="461"/>
      <c r="P25" s="527">
        <f t="shared" si="2"/>
        <v>0</v>
      </c>
      <c r="Q25" s="261">
        <f t="shared" si="3"/>
        <v>0</v>
      </c>
      <c r="R25" s="433">
        <f>Q25*係数!$H$30</f>
        <v>0</v>
      </c>
      <c r="S25" s="36"/>
      <c r="T25" s="28"/>
      <c r="U25" s="491"/>
      <c r="V25" s="492"/>
      <c r="W25" s="262">
        <f t="shared" si="4"/>
        <v>0</v>
      </c>
      <c r="X25" s="263"/>
      <c r="Y25" s="492"/>
      <c r="Z25" s="264">
        <f t="shared" si="5"/>
        <v>0</v>
      </c>
      <c r="AA25" s="261">
        <f t="shared" si="6"/>
        <v>0</v>
      </c>
      <c r="AB25" s="434">
        <f>AA25*係数!$H$30</f>
        <v>0</v>
      </c>
      <c r="AC25" s="261">
        <f t="shared" si="7"/>
        <v>0</v>
      </c>
      <c r="AD25" s="434">
        <f t="shared" si="7"/>
        <v>0</v>
      </c>
    </row>
    <row r="26" spans="2:30" x14ac:dyDescent="0.45">
      <c r="B26" s="208" t="s">
        <v>125</v>
      </c>
      <c r="C26" s="36"/>
      <c r="D26" s="36"/>
      <c r="E26" s="28"/>
      <c r="F26" s="259">
        <f t="shared" si="0"/>
        <v>1</v>
      </c>
      <c r="G26" s="491"/>
      <c r="H26" s="492"/>
      <c r="I26" s="497"/>
      <c r="J26" s="497"/>
      <c r="K26" s="264">
        <f t="shared" si="1"/>
        <v>0</v>
      </c>
      <c r="L26" s="260"/>
      <c r="M26" s="492"/>
      <c r="N26" s="461"/>
      <c r="O26" s="461"/>
      <c r="P26" s="527">
        <f t="shared" si="2"/>
        <v>0</v>
      </c>
      <c r="Q26" s="261">
        <f t="shared" si="3"/>
        <v>0</v>
      </c>
      <c r="R26" s="433">
        <f>Q26*係数!$H$30</f>
        <v>0</v>
      </c>
      <c r="S26" s="36"/>
      <c r="T26" s="28"/>
      <c r="U26" s="491"/>
      <c r="V26" s="492"/>
      <c r="W26" s="262">
        <f t="shared" si="4"/>
        <v>0</v>
      </c>
      <c r="X26" s="263"/>
      <c r="Y26" s="492"/>
      <c r="Z26" s="264">
        <f t="shared" si="5"/>
        <v>0</v>
      </c>
      <c r="AA26" s="261">
        <f t="shared" si="6"/>
        <v>0</v>
      </c>
      <c r="AB26" s="434">
        <f>AA26*係数!$H$30</f>
        <v>0</v>
      </c>
      <c r="AC26" s="261">
        <f t="shared" si="7"/>
        <v>0</v>
      </c>
      <c r="AD26" s="434">
        <f t="shared" si="7"/>
        <v>0</v>
      </c>
    </row>
    <row r="27" spans="2:30" x14ac:dyDescent="0.45">
      <c r="B27" s="208" t="s">
        <v>126</v>
      </c>
      <c r="C27" s="36"/>
      <c r="D27" s="36"/>
      <c r="E27" s="28"/>
      <c r="F27" s="259">
        <f t="shared" si="0"/>
        <v>1</v>
      </c>
      <c r="G27" s="491"/>
      <c r="H27" s="492"/>
      <c r="I27" s="497"/>
      <c r="J27" s="497"/>
      <c r="K27" s="264">
        <f t="shared" si="1"/>
        <v>0</v>
      </c>
      <c r="L27" s="260"/>
      <c r="M27" s="492"/>
      <c r="N27" s="461"/>
      <c r="O27" s="461"/>
      <c r="P27" s="527">
        <f t="shared" si="2"/>
        <v>0</v>
      </c>
      <c r="Q27" s="261">
        <f t="shared" si="3"/>
        <v>0</v>
      </c>
      <c r="R27" s="433">
        <f>Q27*係数!$H$30</f>
        <v>0</v>
      </c>
      <c r="S27" s="36"/>
      <c r="T27" s="28"/>
      <c r="U27" s="491"/>
      <c r="V27" s="492"/>
      <c r="W27" s="262">
        <f t="shared" si="4"/>
        <v>0</v>
      </c>
      <c r="X27" s="263"/>
      <c r="Y27" s="492"/>
      <c r="Z27" s="264">
        <f t="shared" si="5"/>
        <v>0</v>
      </c>
      <c r="AA27" s="261">
        <f t="shared" si="6"/>
        <v>0</v>
      </c>
      <c r="AB27" s="434">
        <f>AA27*係数!$H$30</f>
        <v>0</v>
      </c>
      <c r="AC27" s="261">
        <f t="shared" si="7"/>
        <v>0</v>
      </c>
      <c r="AD27" s="434">
        <f t="shared" si="7"/>
        <v>0</v>
      </c>
    </row>
    <row r="28" spans="2:30" x14ac:dyDescent="0.45">
      <c r="B28" s="208" t="s">
        <v>127</v>
      </c>
      <c r="C28" s="36"/>
      <c r="D28" s="36"/>
      <c r="E28" s="28"/>
      <c r="F28" s="259">
        <f t="shared" si="0"/>
        <v>1</v>
      </c>
      <c r="G28" s="491"/>
      <c r="H28" s="492"/>
      <c r="I28" s="497"/>
      <c r="J28" s="497"/>
      <c r="K28" s="264">
        <f t="shared" si="1"/>
        <v>0</v>
      </c>
      <c r="L28" s="260"/>
      <c r="M28" s="492"/>
      <c r="N28" s="461"/>
      <c r="O28" s="461"/>
      <c r="P28" s="527">
        <f t="shared" si="2"/>
        <v>0</v>
      </c>
      <c r="Q28" s="261">
        <f t="shared" si="3"/>
        <v>0</v>
      </c>
      <c r="R28" s="433">
        <f>Q28*係数!$H$30</f>
        <v>0</v>
      </c>
      <c r="S28" s="36"/>
      <c r="T28" s="28"/>
      <c r="U28" s="491"/>
      <c r="V28" s="492"/>
      <c r="W28" s="262">
        <f t="shared" si="4"/>
        <v>0</v>
      </c>
      <c r="X28" s="263"/>
      <c r="Y28" s="492"/>
      <c r="Z28" s="264">
        <f t="shared" si="5"/>
        <v>0</v>
      </c>
      <c r="AA28" s="261">
        <f t="shared" si="6"/>
        <v>0</v>
      </c>
      <c r="AB28" s="434">
        <f>AA28*係数!$H$30</f>
        <v>0</v>
      </c>
      <c r="AC28" s="261">
        <f t="shared" si="7"/>
        <v>0</v>
      </c>
      <c r="AD28" s="434">
        <f t="shared" si="7"/>
        <v>0</v>
      </c>
    </row>
    <row r="29" spans="2:30" x14ac:dyDescent="0.45">
      <c r="B29" s="208" t="s">
        <v>128</v>
      </c>
      <c r="C29" s="36"/>
      <c r="D29" s="36"/>
      <c r="E29" s="28"/>
      <c r="F29" s="259">
        <f t="shared" si="0"/>
        <v>1</v>
      </c>
      <c r="G29" s="491"/>
      <c r="H29" s="492"/>
      <c r="I29" s="497"/>
      <c r="J29" s="497"/>
      <c r="K29" s="264">
        <f t="shared" si="1"/>
        <v>0</v>
      </c>
      <c r="L29" s="260"/>
      <c r="M29" s="492"/>
      <c r="N29" s="461"/>
      <c r="O29" s="461"/>
      <c r="P29" s="527">
        <f t="shared" si="2"/>
        <v>0</v>
      </c>
      <c r="Q29" s="261">
        <f t="shared" si="3"/>
        <v>0</v>
      </c>
      <c r="R29" s="433">
        <f>Q29*係数!$H$30</f>
        <v>0</v>
      </c>
      <c r="S29" s="36"/>
      <c r="T29" s="28"/>
      <c r="U29" s="491"/>
      <c r="V29" s="492"/>
      <c r="W29" s="262">
        <f t="shared" si="4"/>
        <v>0</v>
      </c>
      <c r="X29" s="263"/>
      <c r="Y29" s="492"/>
      <c r="Z29" s="264">
        <f t="shared" si="5"/>
        <v>0</v>
      </c>
      <c r="AA29" s="261">
        <f t="shared" si="6"/>
        <v>0</v>
      </c>
      <c r="AB29" s="434">
        <f>AA29*係数!$H$30</f>
        <v>0</v>
      </c>
      <c r="AC29" s="261">
        <f t="shared" si="7"/>
        <v>0</v>
      </c>
      <c r="AD29" s="434">
        <f t="shared" si="7"/>
        <v>0</v>
      </c>
    </row>
    <row r="30" spans="2:30" x14ac:dyDescent="0.45">
      <c r="B30" s="208" t="s">
        <v>129</v>
      </c>
      <c r="C30" s="36"/>
      <c r="D30" s="36"/>
      <c r="E30" s="28"/>
      <c r="F30" s="259">
        <f t="shared" si="0"/>
        <v>1</v>
      </c>
      <c r="G30" s="491"/>
      <c r="H30" s="492"/>
      <c r="I30" s="497"/>
      <c r="J30" s="497"/>
      <c r="K30" s="264">
        <f t="shared" si="1"/>
        <v>0</v>
      </c>
      <c r="L30" s="260"/>
      <c r="M30" s="492"/>
      <c r="N30" s="461"/>
      <c r="O30" s="461"/>
      <c r="P30" s="527">
        <f t="shared" si="2"/>
        <v>0</v>
      </c>
      <c r="Q30" s="261">
        <f t="shared" si="3"/>
        <v>0</v>
      </c>
      <c r="R30" s="433">
        <f>Q30*係数!$H$30</f>
        <v>0</v>
      </c>
      <c r="S30" s="36"/>
      <c r="T30" s="28"/>
      <c r="U30" s="491"/>
      <c r="V30" s="492"/>
      <c r="W30" s="262">
        <f t="shared" si="4"/>
        <v>0</v>
      </c>
      <c r="X30" s="263"/>
      <c r="Y30" s="492"/>
      <c r="Z30" s="264">
        <f t="shared" si="5"/>
        <v>0</v>
      </c>
      <c r="AA30" s="261">
        <f t="shared" si="6"/>
        <v>0</v>
      </c>
      <c r="AB30" s="434">
        <f>AA30*係数!$H$30</f>
        <v>0</v>
      </c>
      <c r="AC30" s="261">
        <f t="shared" si="7"/>
        <v>0</v>
      </c>
      <c r="AD30" s="434">
        <f t="shared" si="7"/>
        <v>0</v>
      </c>
    </row>
    <row r="31" spans="2:30" x14ac:dyDescent="0.45">
      <c r="B31" s="208" t="s">
        <v>130</v>
      </c>
      <c r="C31" s="36"/>
      <c r="D31" s="36"/>
      <c r="E31" s="28"/>
      <c r="F31" s="259">
        <f t="shared" si="0"/>
        <v>1</v>
      </c>
      <c r="G31" s="491"/>
      <c r="H31" s="492"/>
      <c r="I31" s="497"/>
      <c r="J31" s="497"/>
      <c r="K31" s="264">
        <f t="shared" si="1"/>
        <v>0</v>
      </c>
      <c r="L31" s="260"/>
      <c r="M31" s="492"/>
      <c r="N31" s="461"/>
      <c r="O31" s="461"/>
      <c r="P31" s="527">
        <f t="shared" si="2"/>
        <v>0</v>
      </c>
      <c r="Q31" s="261">
        <f t="shared" si="3"/>
        <v>0</v>
      </c>
      <c r="R31" s="433">
        <f>Q31*係数!$H$30</f>
        <v>0</v>
      </c>
      <c r="S31" s="36"/>
      <c r="T31" s="28"/>
      <c r="U31" s="491"/>
      <c r="V31" s="492"/>
      <c r="W31" s="262">
        <f t="shared" si="4"/>
        <v>0</v>
      </c>
      <c r="X31" s="263"/>
      <c r="Y31" s="492"/>
      <c r="Z31" s="264">
        <f t="shared" si="5"/>
        <v>0</v>
      </c>
      <c r="AA31" s="261">
        <f t="shared" si="6"/>
        <v>0</v>
      </c>
      <c r="AB31" s="434">
        <f>AA31*係数!$H$30</f>
        <v>0</v>
      </c>
      <c r="AC31" s="261">
        <f t="shared" si="7"/>
        <v>0</v>
      </c>
      <c r="AD31" s="434">
        <f t="shared" si="7"/>
        <v>0</v>
      </c>
    </row>
    <row r="32" spans="2:30" x14ac:dyDescent="0.45">
      <c r="B32" s="208" t="s">
        <v>131</v>
      </c>
      <c r="C32" s="36"/>
      <c r="D32" s="36"/>
      <c r="E32" s="28"/>
      <c r="F32" s="259">
        <f t="shared" si="0"/>
        <v>1</v>
      </c>
      <c r="G32" s="491"/>
      <c r="H32" s="492"/>
      <c r="I32" s="497"/>
      <c r="J32" s="497"/>
      <c r="K32" s="264">
        <f t="shared" si="1"/>
        <v>0</v>
      </c>
      <c r="L32" s="260"/>
      <c r="M32" s="492"/>
      <c r="N32" s="461"/>
      <c r="O32" s="461"/>
      <c r="P32" s="527">
        <f t="shared" si="2"/>
        <v>0</v>
      </c>
      <c r="Q32" s="261">
        <f t="shared" si="3"/>
        <v>0</v>
      </c>
      <c r="R32" s="433">
        <f>Q32*係数!$H$30</f>
        <v>0</v>
      </c>
      <c r="S32" s="36"/>
      <c r="T32" s="28"/>
      <c r="U32" s="491"/>
      <c r="V32" s="492"/>
      <c r="W32" s="262">
        <f t="shared" si="4"/>
        <v>0</v>
      </c>
      <c r="X32" s="263"/>
      <c r="Y32" s="492"/>
      <c r="Z32" s="264">
        <f t="shared" si="5"/>
        <v>0</v>
      </c>
      <c r="AA32" s="261">
        <f t="shared" si="6"/>
        <v>0</v>
      </c>
      <c r="AB32" s="434">
        <f>AA32*係数!$H$30</f>
        <v>0</v>
      </c>
      <c r="AC32" s="261">
        <f t="shared" si="7"/>
        <v>0</v>
      </c>
      <c r="AD32" s="434">
        <f t="shared" si="7"/>
        <v>0</v>
      </c>
    </row>
    <row r="33" spans="2:30" x14ac:dyDescent="0.45">
      <c r="B33" s="208" t="s">
        <v>132</v>
      </c>
      <c r="C33" s="36"/>
      <c r="D33" s="36"/>
      <c r="E33" s="28"/>
      <c r="F33" s="259">
        <f t="shared" si="0"/>
        <v>1</v>
      </c>
      <c r="G33" s="491"/>
      <c r="H33" s="492"/>
      <c r="I33" s="497"/>
      <c r="J33" s="497"/>
      <c r="K33" s="264">
        <f t="shared" si="1"/>
        <v>0</v>
      </c>
      <c r="L33" s="260"/>
      <c r="M33" s="492"/>
      <c r="N33" s="461"/>
      <c r="O33" s="461"/>
      <c r="P33" s="527">
        <f t="shared" si="2"/>
        <v>0</v>
      </c>
      <c r="Q33" s="261">
        <f t="shared" si="3"/>
        <v>0</v>
      </c>
      <c r="R33" s="433">
        <f>Q33*係数!$H$30</f>
        <v>0</v>
      </c>
      <c r="S33" s="36"/>
      <c r="T33" s="28"/>
      <c r="U33" s="491"/>
      <c r="V33" s="492"/>
      <c r="W33" s="262">
        <f t="shared" si="4"/>
        <v>0</v>
      </c>
      <c r="X33" s="263"/>
      <c r="Y33" s="492"/>
      <c r="Z33" s="264">
        <f t="shared" si="5"/>
        <v>0</v>
      </c>
      <c r="AA33" s="261">
        <f t="shared" si="6"/>
        <v>0</v>
      </c>
      <c r="AB33" s="434">
        <f>AA33*係数!$H$30</f>
        <v>0</v>
      </c>
      <c r="AC33" s="261">
        <f t="shared" si="7"/>
        <v>0</v>
      </c>
      <c r="AD33" s="434">
        <f t="shared" si="7"/>
        <v>0</v>
      </c>
    </row>
    <row r="34" spans="2:30" x14ac:dyDescent="0.45">
      <c r="B34" s="208" t="s">
        <v>133</v>
      </c>
      <c r="C34" s="36"/>
      <c r="D34" s="36"/>
      <c r="E34" s="28"/>
      <c r="F34" s="259">
        <f t="shared" si="0"/>
        <v>1</v>
      </c>
      <c r="G34" s="491"/>
      <c r="H34" s="492"/>
      <c r="I34" s="497"/>
      <c r="J34" s="497"/>
      <c r="K34" s="264">
        <f t="shared" si="1"/>
        <v>0</v>
      </c>
      <c r="L34" s="260"/>
      <c r="M34" s="492"/>
      <c r="N34" s="461"/>
      <c r="O34" s="461"/>
      <c r="P34" s="527">
        <f t="shared" si="2"/>
        <v>0</v>
      </c>
      <c r="Q34" s="261">
        <f t="shared" si="3"/>
        <v>0</v>
      </c>
      <c r="R34" s="433">
        <f>Q34*係数!$H$30</f>
        <v>0</v>
      </c>
      <c r="S34" s="36"/>
      <c r="T34" s="28"/>
      <c r="U34" s="491"/>
      <c r="V34" s="492"/>
      <c r="W34" s="262">
        <f t="shared" si="4"/>
        <v>0</v>
      </c>
      <c r="X34" s="263"/>
      <c r="Y34" s="492"/>
      <c r="Z34" s="264">
        <f t="shared" si="5"/>
        <v>0</v>
      </c>
      <c r="AA34" s="261">
        <f t="shared" si="6"/>
        <v>0</v>
      </c>
      <c r="AB34" s="434">
        <f>AA34*係数!$H$30</f>
        <v>0</v>
      </c>
      <c r="AC34" s="261">
        <f t="shared" si="7"/>
        <v>0</v>
      </c>
      <c r="AD34" s="434">
        <f t="shared" si="7"/>
        <v>0</v>
      </c>
    </row>
    <row r="35" spans="2:30" x14ac:dyDescent="0.45">
      <c r="B35" s="208" t="s">
        <v>134</v>
      </c>
      <c r="C35" s="36"/>
      <c r="D35" s="36"/>
      <c r="E35" s="28"/>
      <c r="F35" s="259">
        <f t="shared" si="0"/>
        <v>1</v>
      </c>
      <c r="G35" s="491"/>
      <c r="H35" s="492"/>
      <c r="I35" s="497"/>
      <c r="J35" s="497"/>
      <c r="K35" s="264">
        <f t="shared" si="1"/>
        <v>0</v>
      </c>
      <c r="L35" s="260"/>
      <c r="M35" s="492"/>
      <c r="N35" s="461"/>
      <c r="O35" s="461"/>
      <c r="P35" s="527">
        <f t="shared" si="2"/>
        <v>0</v>
      </c>
      <c r="Q35" s="261">
        <f t="shared" si="3"/>
        <v>0</v>
      </c>
      <c r="R35" s="433">
        <f>Q35*係数!$H$30</f>
        <v>0</v>
      </c>
      <c r="S35" s="36"/>
      <c r="T35" s="28"/>
      <c r="U35" s="491"/>
      <c r="V35" s="492"/>
      <c r="W35" s="262">
        <f t="shared" si="4"/>
        <v>0</v>
      </c>
      <c r="X35" s="263"/>
      <c r="Y35" s="492"/>
      <c r="Z35" s="264">
        <f t="shared" si="5"/>
        <v>0</v>
      </c>
      <c r="AA35" s="261">
        <f t="shared" si="6"/>
        <v>0</v>
      </c>
      <c r="AB35" s="434">
        <f>AA35*係数!$H$30</f>
        <v>0</v>
      </c>
      <c r="AC35" s="261">
        <f t="shared" si="7"/>
        <v>0</v>
      </c>
      <c r="AD35" s="434">
        <f t="shared" si="7"/>
        <v>0</v>
      </c>
    </row>
    <row r="36" spans="2:30" x14ac:dyDescent="0.45">
      <c r="B36" s="208" t="s">
        <v>135</v>
      </c>
      <c r="C36" s="36"/>
      <c r="D36" s="36"/>
      <c r="E36" s="28"/>
      <c r="F36" s="259">
        <f t="shared" si="0"/>
        <v>1</v>
      </c>
      <c r="G36" s="491"/>
      <c r="H36" s="492"/>
      <c r="I36" s="497"/>
      <c r="J36" s="497"/>
      <c r="K36" s="264">
        <f t="shared" si="1"/>
        <v>0</v>
      </c>
      <c r="L36" s="260"/>
      <c r="M36" s="492"/>
      <c r="N36" s="461"/>
      <c r="O36" s="461"/>
      <c r="P36" s="527">
        <f t="shared" si="2"/>
        <v>0</v>
      </c>
      <c r="Q36" s="261">
        <f t="shared" si="3"/>
        <v>0</v>
      </c>
      <c r="R36" s="433">
        <f>Q36*係数!$H$30</f>
        <v>0</v>
      </c>
      <c r="S36" s="36"/>
      <c r="T36" s="28"/>
      <c r="U36" s="491"/>
      <c r="V36" s="492"/>
      <c r="W36" s="262">
        <f t="shared" si="4"/>
        <v>0</v>
      </c>
      <c r="X36" s="263"/>
      <c r="Y36" s="492"/>
      <c r="Z36" s="264">
        <f t="shared" si="5"/>
        <v>0</v>
      </c>
      <c r="AA36" s="261">
        <f t="shared" si="6"/>
        <v>0</v>
      </c>
      <c r="AB36" s="434">
        <f>AA36*係数!$H$30</f>
        <v>0</v>
      </c>
      <c r="AC36" s="261">
        <f t="shared" si="7"/>
        <v>0</v>
      </c>
      <c r="AD36" s="434">
        <f t="shared" si="7"/>
        <v>0</v>
      </c>
    </row>
    <row r="37" spans="2:30" x14ac:dyDescent="0.45">
      <c r="B37" s="208" t="s">
        <v>136</v>
      </c>
      <c r="C37" s="36"/>
      <c r="D37" s="36"/>
      <c r="E37" s="28"/>
      <c r="F37" s="259">
        <f t="shared" si="0"/>
        <v>1</v>
      </c>
      <c r="G37" s="491"/>
      <c r="H37" s="492"/>
      <c r="I37" s="497"/>
      <c r="J37" s="497"/>
      <c r="K37" s="264">
        <f t="shared" si="1"/>
        <v>0</v>
      </c>
      <c r="L37" s="260"/>
      <c r="M37" s="492"/>
      <c r="N37" s="461"/>
      <c r="O37" s="461"/>
      <c r="P37" s="527">
        <f t="shared" si="2"/>
        <v>0</v>
      </c>
      <c r="Q37" s="261">
        <f t="shared" si="3"/>
        <v>0</v>
      </c>
      <c r="R37" s="433">
        <f>Q37*係数!$H$30</f>
        <v>0</v>
      </c>
      <c r="S37" s="36"/>
      <c r="T37" s="28"/>
      <c r="U37" s="491"/>
      <c r="V37" s="492"/>
      <c r="W37" s="262">
        <f t="shared" si="4"/>
        <v>0</v>
      </c>
      <c r="X37" s="263"/>
      <c r="Y37" s="492"/>
      <c r="Z37" s="264">
        <f t="shared" si="5"/>
        <v>0</v>
      </c>
      <c r="AA37" s="261">
        <f t="shared" si="6"/>
        <v>0</v>
      </c>
      <c r="AB37" s="434">
        <f>AA37*係数!$H$30</f>
        <v>0</v>
      </c>
      <c r="AC37" s="261">
        <f t="shared" si="7"/>
        <v>0</v>
      </c>
      <c r="AD37" s="434">
        <f t="shared" si="7"/>
        <v>0</v>
      </c>
    </row>
    <row r="38" spans="2:30" x14ac:dyDescent="0.45">
      <c r="B38" s="208" t="s">
        <v>137</v>
      </c>
      <c r="C38" s="36"/>
      <c r="D38" s="36"/>
      <c r="E38" s="28"/>
      <c r="F38" s="259">
        <f t="shared" si="0"/>
        <v>1</v>
      </c>
      <c r="G38" s="491"/>
      <c r="H38" s="492"/>
      <c r="I38" s="497"/>
      <c r="J38" s="497"/>
      <c r="K38" s="264">
        <f t="shared" si="1"/>
        <v>0</v>
      </c>
      <c r="L38" s="260"/>
      <c r="M38" s="492"/>
      <c r="N38" s="461"/>
      <c r="O38" s="461"/>
      <c r="P38" s="527">
        <f t="shared" si="2"/>
        <v>0</v>
      </c>
      <c r="Q38" s="261">
        <f t="shared" si="3"/>
        <v>0</v>
      </c>
      <c r="R38" s="433">
        <f>Q38*係数!$H$30</f>
        <v>0</v>
      </c>
      <c r="S38" s="36"/>
      <c r="T38" s="28"/>
      <c r="U38" s="491"/>
      <c r="V38" s="492"/>
      <c r="W38" s="262">
        <f t="shared" si="4"/>
        <v>0</v>
      </c>
      <c r="X38" s="263"/>
      <c r="Y38" s="492"/>
      <c r="Z38" s="264">
        <f t="shared" si="5"/>
        <v>0</v>
      </c>
      <c r="AA38" s="261">
        <f t="shared" si="6"/>
        <v>0</v>
      </c>
      <c r="AB38" s="434">
        <f>AA38*係数!$H$30</f>
        <v>0</v>
      </c>
      <c r="AC38" s="261">
        <f t="shared" si="7"/>
        <v>0</v>
      </c>
      <c r="AD38" s="434">
        <f t="shared" si="7"/>
        <v>0</v>
      </c>
    </row>
    <row r="39" spans="2:30" x14ac:dyDescent="0.45">
      <c r="B39" s="208" t="s">
        <v>138</v>
      </c>
      <c r="C39" s="36"/>
      <c r="D39" s="36"/>
      <c r="E39" s="28"/>
      <c r="F39" s="259">
        <f t="shared" si="0"/>
        <v>1</v>
      </c>
      <c r="G39" s="491"/>
      <c r="H39" s="492"/>
      <c r="I39" s="497"/>
      <c r="J39" s="497"/>
      <c r="K39" s="264">
        <f t="shared" si="1"/>
        <v>0</v>
      </c>
      <c r="L39" s="260"/>
      <c r="M39" s="492"/>
      <c r="N39" s="461"/>
      <c r="O39" s="461"/>
      <c r="P39" s="527">
        <f t="shared" si="2"/>
        <v>0</v>
      </c>
      <c r="Q39" s="261">
        <f t="shared" si="3"/>
        <v>0</v>
      </c>
      <c r="R39" s="433">
        <f>Q39*係数!$H$30</f>
        <v>0</v>
      </c>
      <c r="S39" s="36"/>
      <c r="T39" s="28"/>
      <c r="U39" s="491"/>
      <c r="V39" s="492"/>
      <c r="W39" s="262">
        <f t="shared" si="4"/>
        <v>0</v>
      </c>
      <c r="X39" s="263"/>
      <c r="Y39" s="492"/>
      <c r="Z39" s="264">
        <f t="shared" si="5"/>
        <v>0</v>
      </c>
      <c r="AA39" s="261">
        <f t="shared" si="6"/>
        <v>0</v>
      </c>
      <c r="AB39" s="434">
        <f>AA39*係数!$H$30</f>
        <v>0</v>
      </c>
      <c r="AC39" s="261">
        <f t="shared" si="7"/>
        <v>0</v>
      </c>
      <c r="AD39" s="434">
        <f t="shared" si="7"/>
        <v>0</v>
      </c>
    </row>
    <row r="40" spans="2:30" x14ac:dyDescent="0.45">
      <c r="B40" s="208" t="s">
        <v>422</v>
      </c>
      <c r="C40" s="36"/>
      <c r="D40" s="36"/>
      <c r="E40" s="28"/>
      <c r="F40" s="259">
        <f t="shared" ref="F40:F49" si="8">IF(D40="",1,MIN(1.5,(2023-D40)*0.05+1))</f>
        <v>1</v>
      </c>
      <c r="G40" s="491"/>
      <c r="H40" s="492"/>
      <c r="I40" s="497"/>
      <c r="J40" s="497"/>
      <c r="K40" s="264">
        <f t="shared" si="1"/>
        <v>0</v>
      </c>
      <c r="L40" s="260"/>
      <c r="M40" s="492"/>
      <c r="N40" s="461"/>
      <c r="O40" s="461"/>
      <c r="P40" s="527">
        <f t="shared" si="2"/>
        <v>0</v>
      </c>
      <c r="Q40" s="261">
        <f t="shared" si="3"/>
        <v>0</v>
      </c>
      <c r="R40" s="433">
        <f>Q40*係数!$H$30</f>
        <v>0</v>
      </c>
      <c r="S40" s="36"/>
      <c r="T40" s="28"/>
      <c r="U40" s="491"/>
      <c r="V40" s="492"/>
      <c r="W40" s="262">
        <f t="shared" si="4"/>
        <v>0</v>
      </c>
      <c r="X40" s="263"/>
      <c r="Y40" s="492"/>
      <c r="Z40" s="264">
        <f t="shared" ref="Z40:Z49" si="9">IF(P40=0,0,P40)</f>
        <v>0</v>
      </c>
      <c r="AA40" s="261">
        <f t="shared" ref="AA40:AA49" si="10">V40*T40*W40*$C$11+Y40*T40*Z40*$C$12</f>
        <v>0</v>
      </c>
      <c r="AB40" s="434">
        <f>AA40*係数!$H$30</f>
        <v>0</v>
      </c>
      <c r="AC40" s="261">
        <f t="shared" ref="AC40:AC49" si="11">Q40-AA40</f>
        <v>0</v>
      </c>
      <c r="AD40" s="434">
        <f t="shared" ref="AD40:AD49" si="12">R40-AB40</f>
        <v>0</v>
      </c>
    </row>
    <row r="41" spans="2:30" x14ac:dyDescent="0.45">
      <c r="B41" s="208" t="s">
        <v>423</v>
      </c>
      <c r="C41" s="36"/>
      <c r="D41" s="36"/>
      <c r="E41" s="28"/>
      <c r="F41" s="259">
        <f t="shared" si="8"/>
        <v>1</v>
      </c>
      <c r="G41" s="491"/>
      <c r="H41" s="492"/>
      <c r="I41" s="497"/>
      <c r="J41" s="497"/>
      <c r="K41" s="264">
        <f t="shared" si="1"/>
        <v>0</v>
      </c>
      <c r="L41" s="260"/>
      <c r="M41" s="492"/>
      <c r="N41" s="461"/>
      <c r="O41" s="461"/>
      <c r="P41" s="527">
        <f t="shared" si="2"/>
        <v>0</v>
      </c>
      <c r="Q41" s="261">
        <f t="shared" si="3"/>
        <v>0</v>
      </c>
      <c r="R41" s="433">
        <f>Q41*係数!$H$30</f>
        <v>0</v>
      </c>
      <c r="S41" s="36"/>
      <c r="T41" s="28"/>
      <c r="U41" s="491"/>
      <c r="V41" s="492"/>
      <c r="W41" s="262">
        <f t="shared" si="4"/>
        <v>0</v>
      </c>
      <c r="X41" s="263"/>
      <c r="Y41" s="492"/>
      <c r="Z41" s="264">
        <f t="shared" si="9"/>
        <v>0</v>
      </c>
      <c r="AA41" s="261">
        <f t="shared" si="10"/>
        <v>0</v>
      </c>
      <c r="AB41" s="434">
        <f>AA41*係数!$H$30</f>
        <v>0</v>
      </c>
      <c r="AC41" s="261">
        <f t="shared" si="11"/>
        <v>0</v>
      </c>
      <c r="AD41" s="434">
        <f t="shared" si="12"/>
        <v>0</v>
      </c>
    </row>
    <row r="42" spans="2:30" x14ac:dyDescent="0.45">
      <c r="B42" s="208" t="s">
        <v>424</v>
      </c>
      <c r="C42" s="36"/>
      <c r="D42" s="36"/>
      <c r="E42" s="28"/>
      <c r="F42" s="259">
        <f t="shared" si="8"/>
        <v>1</v>
      </c>
      <c r="G42" s="491"/>
      <c r="H42" s="492"/>
      <c r="I42" s="497"/>
      <c r="J42" s="497"/>
      <c r="K42" s="264">
        <f t="shared" si="1"/>
        <v>0</v>
      </c>
      <c r="L42" s="260"/>
      <c r="M42" s="492"/>
      <c r="N42" s="461"/>
      <c r="O42" s="461"/>
      <c r="P42" s="527">
        <f t="shared" si="2"/>
        <v>0</v>
      </c>
      <c r="Q42" s="261">
        <f t="shared" si="3"/>
        <v>0</v>
      </c>
      <c r="R42" s="433">
        <f>Q42*係数!$H$30</f>
        <v>0</v>
      </c>
      <c r="S42" s="36"/>
      <c r="T42" s="28"/>
      <c r="U42" s="491"/>
      <c r="V42" s="492"/>
      <c r="W42" s="262">
        <f t="shared" si="4"/>
        <v>0</v>
      </c>
      <c r="X42" s="263"/>
      <c r="Y42" s="492"/>
      <c r="Z42" s="264">
        <f t="shared" si="9"/>
        <v>0</v>
      </c>
      <c r="AA42" s="261">
        <f t="shared" si="10"/>
        <v>0</v>
      </c>
      <c r="AB42" s="434">
        <f>AA42*係数!$H$30</f>
        <v>0</v>
      </c>
      <c r="AC42" s="261">
        <f t="shared" si="11"/>
        <v>0</v>
      </c>
      <c r="AD42" s="434">
        <f t="shared" si="12"/>
        <v>0</v>
      </c>
    </row>
    <row r="43" spans="2:30" x14ac:dyDescent="0.45">
      <c r="B43" s="208" t="s">
        <v>425</v>
      </c>
      <c r="C43" s="36"/>
      <c r="D43" s="36"/>
      <c r="E43" s="28"/>
      <c r="F43" s="259">
        <f t="shared" si="8"/>
        <v>1</v>
      </c>
      <c r="G43" s="491"/>
      <c r="H43" s="492"/>
      <c r="I43" s="497"/>
      <c r="J43" s="497"/>
      <c r="K43" s="264">
        <f t="shared" si="1"/>
        <v>0</v>
      </c>
      <c r="L43" s="260"/>
      <c r="M43" s="492"/>
      <c r="N43" s="461"/>
      <c r="O43" s="461"/>
      <c r="P43" s="527">
        <f t="shared" si="2"/>
        <v>0</v>
      </c>
      <c r="Q43" s="261">
        <f t="shared" si="3"/>
        <v>0</v>
      </c>
      <c r="R43" s="433">
        <f>Q43*係数!$H$30</f>
        <v>0</v>
      </c>
      <c r="S43" s="36"/>
      <c r="T43" s="28"/>
      <c r="U43" s="491"/>
      <c r="V43" s="492"/>
      <c r="W43" s="262">
        <f t="shared" si="4"/>
        <v>0</v>
      </c>
      <c r="X43" s="263"/>
      <c r="Y43" s="492"/>
      <c r="Z43" s="264">
        <f t="shared" si="9"/>
        <v>0</v>
      </c>
      <c r="AA43" s="261">
        <f t="shared" si="10"/>
        <v>0</v>
      </c>
      <c r="AB43" s="434">
        <f>AA43*係数!$H$30</f>
        <v>0</v>
      </c>
      <c r="AC43" s="261">
        <f t="shared" si="11"/>
        <v>0</v>
      </c>
      <c r="AD43" s="434">
        <f t="shared" si="12"/>
        <v>0</v>
      </c>
    </row>
    <row r="44" spans="2:30" x14ac:dyDescent="0.45">
      <c r="B44" s="208" t="s">
        <v>426</v>
      </c>
      <c r="C44" s="36"/>
      <c r="D44" s="36"/>
      <c r="E44" s="28"/>
      <c r="F44" s="259">
        <f t="shared" si="8"/>
        <v>1</v>
      </c>
      <c r="G44" s="491"/>
      <c r="H44" s="492"/>
      <c r="I44" s="497"/>
      <c r="J44" s="497"/>
      <c r="K44" s="264">
        <f t="shared" si="1"/>
        <v>0</v>
      </c>
      <c r="L44" s="260"/>
      <c r="M44" s="492"/>
      <c r="N44" s="461"/>
      <c r="O44" s="461"/>
      <c r="P44" s="527">
        <f t="shared" si="2"/>
        <v>0</v>
      </c>
      <c r="Q44" s="261">
        <f t="shared" si="3"/>
        <v>0</v>
      </c>
      <c r="R44" s="433">
        <f>Q44*係数!$H$30</f>
        <v>0</v>
      </c>
      <c r="S44" s="36"/>
      <c r="T44" s="28"/>
      <c r="U44" s="491"/>
      <c r="V44" s="492"/>
      <c r="W44" s="262">
        <f t="shared" si="4"/>
        <v>0</v>
      </c>
      <c r="X44" s="263"/>
      <c r="Y44" s="492"/>
      <c r="Z44" s="264">
        <f t="shared" si="9"/>
        <v>0</v>
      </c>
      <c r="AA44" s="261">
        <f t="shared" si="10"/>
        <v>0</v>
      </c>
      <c r="AB44" s="434">
        <f>AA44*係数!$H$30</f>
        <v>0</v>
      </c>
      <c r="AC44" s="261">
        <f t="shared" si="11"/>
        <v>0</v>
      </c>
      <c r="AD44" s="434">
        <f t="shared" si="12"/>
        <v>0</v>
      </c>
    </row>
    <row r="45" spans="2:30" x14ac:dyDescent="0.45">
      <c r="B45" s="208" t="s">
        <v>427</v>
      </c>
      <c r="C45" s="36"/>
      <c r="D45" s="36"/>
      <c r="E45" s="28"/>
      <c r="F45" s="259">
        <f t="shared" si="8"/>
        <v>1</v>
      </c>
      <c r="G45" s="491"/>
      <c r="H45" s="492"/>
      <c r="I45" s="497"/>
      <c r="J45" s="497"/>
      <c r="K45" s="264">
        <f t="shared" si="1"/>
        <v>0</v>
      </c>
      <c r="L45" s="260"/>
      <c r="M45" s="492"/>
      <c r="N45" s="461"/>
      <c r="O45" s="461"/>
      <c r="P45" s="527">
        <f t="shared" si="2"/>
        <v>0</v>
      </c>
      <c r="Q45" s="261">
        <f t="shared" si="3"/>
        <v>0</v>
      </c>
      <c r="R45" s="433">
        <f>Q45*係数!$H$30</f>
        <v>0</v>
      </c>
      <c r="S45" s="36"/>
      <c r="T45" s="28"/>
      <c r="U45" s="491"/>
      <c r="V45" s="492"/>
      <c r="W45" s="262">
        <f t="shared" si="4"/>
        <v>0</v>
      </c>
      <c r="X45" s="263"/>
      <c r="Y45" s="492"/>
      <c r="Z45" s="264">
        <f t="shared" si="9"/>
        <v>0</v>
      </c>
      <c r="AA45" s="261">
        <f t="shared" si="10"/>
        <v>0</v>
      </c>
      <c r="AB45" s="434">
        <f>AA45*係数!$H$30</f>
        <v>0</v>
      </c>
      <c r="AC45" s="261">
        <f t="shared" si="11"/>
        <v>0</v>
      </c>
      <c r="AD45" s="434">
        <f t="shared" si="12"/>
        <v>0</v>
      </c>
    </row>
    <row r="46" spans="2:30" x14ac:dyDescent="0.45">
      <c r="B46" s="208" t="s">
        <v>428</v>
      </c>
      <c r="C46" s="36"/>
      <c r="D46" s="36"/>
      <c r="E46" s="28"/>
      <c r="F46" s="259">
        <f t="shared" si="8"/>
        <v>1</v>
      </c>
      <c r="G46" s="491"/>
      <c r="H46" s="492"/>
      <c r="I46" s="497"/>
      <c r="J46" s="497"/>
      <c r="K46" s="264">
        <f t="shared" si="1"/>
        <v>0</v>
      </c>
      <c r="L46" s="260"/>
      <c r="M46" s="492"/>
      <c r="N46" s="461"/>
      <c r="O46" s="461"/>
      <c r="P46" s="527">
        <f t="shared" si="2"/>
        <v>0</v>
      </c>
      <c r="Q46" s="261">
        <f t="shared" si="3"/>
        <v>0</v>
      </c>
      <c r="R46" s="433">
        <f>Q46*係数!$H$30</f>
        <v>0</v>
      </c>
      <c r="S46" s="36"/>
      <c r="T46" s="28"/>
      <c r="U46" s="491"/>
      <c r="V46" s="492"/>
      <c r="W46" s="262">
        <f t="shared" si="4"/>
        <v>0</v>
      </c>
      <c r="X46" s="263"/>
      <c r="Y46" s="492"/>
      <c r="Z46" s="264">
        <f t="shared" si="9"/>
        <v>0</v>
      </c>
      <c r="AA46" s="261">
        <f t="shared" si="10"/>
        <v>0</v>
      </c>
      <c r="AB46" s="434">
        <f>AA46*係数!$H$30</f>
        <v>0</v>
      </c>
      <c r="AC46" s="261">
        <f t="shared" si="11"/>
        <v>0</v>
      </c>
      <c r="AD46" s="434">
        <f t="shared" si="12"/>
        <v>0</v>
      </c>
    </row>
    <row r="47" spans="2:30" x14ac:dyDescent="0.45">
      <c r="B47" s="208" t="s">
        <v>429</v>
      </c>
      <c r="C47" s="36"/>
      <c r="D47" s="36"/>
      <c r="E47" s="28"/>
      <c r="F47" s="259">
        <f t="shared" si="8"/>
        <v>1</v>
      </c>
      <c r="G47" s="491"/>
      <c r="H47" s="492"/>
      <c r="I47" s="497"/>
      <c r="J47" s="497"/>
      <c r="K47" s="264">
        <f t="shared" si="1"/>
        <v>0</v>
      </c>
      <c r="L47" s="260"/>
      <c r="M47" s="492"/>
      <c r="N47" s="461"/>
      <c r="O47" s="461"/>
      <c r="P47" s="527">
        <f t="shared" si="2"/>
        <v>0</v>
      </c>
      <c r="Q47" s="261">
        <f t="shared" si="3"/>
        <v>0</v>
      </c>
      <c r="R47" s="433">
        <f>Q47*係数!$H$30</f>
        <v>0</v>
      </c>
      <c r="S47" s="36"/>
      <c r="T47" s="28"/>
      <c r="U47" s="491"/>
      <c r="V47" s="492"/>
      <c r="W47" s="262">
        <f t="shared" si="4"/>
        <v>0</v>
      </c>
      <c r="X47" s="263"/>
      <c r="Y47" s="492"/>
      <c r="Z47" s="264">
        <f t="shared" si="9"/>
        <v>0</v>
      </c>
      <c r="AA47" s="261">
        <f t="shared" si="10"/>
        <v>0</v>
      </c>
      <c r="AB47" s="434">
        <f>AA47*係数!$H$30</f>
        <v>0</v>
      </c>
      <c r="AC47" s="261">
        <f t="shared" si="11"/>
        <v>0</v>
      </c>
      <c r="AD47" s="434">
        <f t="shared" si="12"/>
        <v>0</v>
      </c>
    </row>
    <row r="48" spans="2:30" x14ac:dyDescent="0.45">
      <c r="B48" s="208" t="s">
        <v>430</v>
      </c>
      <c r="C48" s="36"/>
      <c r="D48" s="36"/>
      <c r="E48" s="28"/>
      <c r="F48" s="259">
        <f t="shared" si="8"/>
        <v>1</v>
      </c>
      <c r="G48" s="491"/>
      <c r="H48" s="492"/>
      <c r="I48" s="497"/>
      <c r="J48" s="497"/>
      <c r="K48" s="264">
        <f t="shared" si="1"/>
        <v>0</v>
      </c>
      <c r="L48" s="260"/>
      <c r="M48" s="492"/>
      <c r="N48" s="461"/>
      <c r="O48" s="461"/>
      <c r="P48" s="527">
        <f t="shared" si="2"/>
        <v>0</v>
      </c>
      <c r="Q48" s="261">
        <f t="shared" si="3"/>
        <v>0</v>
      </c>
      <c r="R48" s="433">
        <f>Q48*係数!$H$30</f>
        <v>0</v>
      </c>
      <c r="S48" s="36"/>
      <c r="T48" s="28"/>
      <c r="U48" s="491"/>
      <c r="V48" s="492"/>
      <c r="W48" s="262">
        <f t="shared" si="4"/>
        <v>0</v>
      </c>
      <c r="X48" s="263"/>
      <c r="Y48" s="492"/>
      <c r="Z48" s="264">
        <f t="shared" si="9"/>
        <v>0</v>
      </c>
      <c r="AA48" s="261">
        <f t="shared" si="10"/>
        <v>0</v>
      </c>
      <c r="AB48" s="434">
        <f>AA48*係数!$H$30</f>
        <v>0</v>
      </c>
      <c r="AC48" s="261">
        <f t="shared" si="11"/>
        <v>0</v>
      </c>
      <c r="AD48" s="434">
        <f t="shared" si="12"/>
        <v>0</v>
      </c>
    </row>
    <row r="49" spans="2:30" x14ac:dyDescent="0.45">
      <c r="B49" s="208" t="s">
        <v>431</v>
      </c>
      <c r="C49" s="36"/>
      <c r="D49" s="36"/>
      <c r="E49" s="28"/>
      <c r="F49" s="259">
        <f t="shared" si="8"/>
        <v>1</v>
      </c>
      <c r="G49" s="491"/>
      <c r="H49" s="492"/>
      <c r="I49" s="497"/>
      <c r="J49" s="497"/>
      <c r="K49" s="264">
        <f t="shared" si="1"/>
        <v>0</v>
      </c>
      <c r="L49" s="260"/>
      <c r="M49" s="492"/>
      <c r="N49" s="461"/>
      <c r="O49" s="461"/>
      <c r="P49" s="527">
        <f t="shared" si="2"/>
        <v>0</v>
      </c>
      <c r="Q49" s="261">
        <f t="shared" si="3"/>
        <v>0</v>
      </c>
      <c r="R49" s="433">
        <f>Q49*係数!$H$30</f>
        <v>0</v>
      </c>
      <c r="S49" s="36"/>
      <c r="T49" s="28"/>
      <c r="U49" s="491"/>
      <c r="V49" s="492"/>
      <c r="W49" s="262">
        <f t="shared" si="4"/>
        <v>0</v>
      </c>
      <c r="X49" s="263"/>
      <c r="Y49" s="492"/>
      <c r="Z49" s="264">
        <f t="shared" si="9"/>
        <v>0</v>
      </c>
      <c r="AA49" s="261">
        <f t="shared" si="10"/>
        <v>0</v>
      </c>
      <c r="AB49" s="434">
        <f>AA49*係数!$H$30</f>
        <v>0</v>
      </c>
      <c r="AC49" s="261">
        <f t="shared" si="11"/>
        <v>0</v>
      </c>
      <c r="AD49" s="434">
        <f t="shared" si="12"/>
        <v>0</v>
      </c>
    </row>
  </sheetData>
  <sheetProtection algorithmName="SHA-512" hashValue="Qrmu38/ygWm98fJxrcMtUPII49HpNqJVhPZuW8N1bbkK4nrYqszxaZQrcE1KOn8cam6/B79kryOr0Se9bH2EyA==" saltValue="4c8wpvbghEgjJ+akv3IWYA==" spinCount="100000" sheet="1" objects="1" scenarios="1" formatCells="0" formatColumns="0" formatRows="0"/>
  <mergeCells count="13">
    <mergeCell ref="B14:B16"/>
    <mergeCell ref="AC14:AD15"/>
    <mergeCell ref="D3:E3"/>
    <mergeCell ref="D4:E4"/>
    <mergeCell ref="D5:E5"/>
    <mergeCell ref="D6:E6"/>
    <mergeCell ref="D7:E7"/>
    <mergeCell ref="O3:X3"/>
    <mergeCell ref="O4:X4"/>
    <mergeCell ref="O6:X6"/>
    <mergeCell ref="O7:P7"/>
    <mergeCell ref="S7:X8"/>
    <mergeCell ref="O8:P8"/>
  </mergeCells>
  <phoneticPr fontId="5"/>
  <conditionalFormatting sqref="G7:H7 C11:C12 J4:J7 C20:AD49">
    <cfRule type="expression" dxfId="89" priority="5">
      <formula>$F$1="なし"</formula>
    </cfRule>
  </conditionalFormatting>
  <conditionalFormatting sqref="U19">
    <cfRule type="cellIs" dxfId="88" priority="4" operator="greaterThan">
      <formula>$G$19</formula>
    </cfRule>
  </conditionalFormatting>
  <conditionalFormatting sqref="X19">
    <cfRule type="cellIs" dxfId="87" priority="3" operator="greaterThan">
      <formula>$L$19</formula>
    </cfRule>
  </conditionalFormatting>
  <conditionalFormatting sqref="S7">
    <cfRule type="cellIs" dxfId="86" priority="2" operator="notEqual">
      <formula>"ー"</formula>
    </cfRule>
  </conditionalFormatting>
  <conditionalFormatting sqref="G6:H6">
    <cfRule type="expression" dxfId="85" priority="1">
      <formula>$F$1="なし"</formula>
    </cfRule>
  </conditionalFormatting>
  <dataValidations count="2">
    <dataValidation type="decimal" errorStyle="warning" operator="equal" allowBlank="1" showInputMessage="1" showErrorMessage="1" errorTitle="負荷率の変更について" error="負荷率を変更する場合は、値の根拠となる資料（省エネ診断報告書等）を別途提出してください。" sqref="C11:C12" xr:uid="{00000000-0002-0000-0400-000000000000}">
      <formula1>0.4</formula1>
    </dataValidation>
    <dataValidation type="whole" allowBlank="1" showInputMessage="1" showErrorMessage="1" sqref="T18" xr:uid="{00000000-0002-0000-0400-000001000000}">
      <formula1>0</formula1>
      <formula2>E18</formula2>
    </dataValidation>
  </dataValidations>
  <pageMargins left="0.70866141732283472" right="0.70866141732283472" top="0.74803149606299213" bottom="0.74803149606299213" header="0.31496062992125984" footer="0.31496062992125984"/>
  <pageSetup paperSize="8" scale="53" orientation="landscape" r:id="rId1"/>
  <colBreaks count="1" manualBreakCount="1">
    <brk id="30" max="1048575" man="1"/>
  </colBreaks>
  <ignoredErrors>
    <ignoredError sqref="AA19:AD19 Q19:R19" formula="1"/>
    <ignoredError sqref="K20:K49 P18 P20:P4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2"/>
  <sheetViews>
    <sheetView view="pageBreakPreview" zoomScale="60" zoomScaleNormal="70" workbookViewId="0">
      <pane ySplit="1" topLeftCell="A7" activePane="bottomLeft" state="frozen"/>
      <selection activeCell="B30" sqref="B30"/>
      <selection pane="bottomLeft" activeCell="N46" sqref="N46"/>
    </sheetView>
  </sheetViews>
  <sheetFormatPr defaultColWidth="8.69921875" defaultRowHeight="18" x14ac:dyDescent="0.45"/>
  <cols>
    <col min="1" max="1" width="11.09765625" customWidth="1"/>
    <col min="2" max="2" width="9.19921875" customWidth="1"/>
    <col min="3" max="19" width="11.19921875" customWidth="1"/>
    <col min="20" max="20" width="11.09765625" customWidth="1"/>
    <col min="21" max="32" width="11.19921875" customWidth="1"/>
    <col min="33" max="47" width="9.19921875" customWidth="1"/>
  </cols>
  <sheetData>
    <row r="1" spans="1:29" ht="28.8" x14ac:dyDescent="0.7">
      <c r="A1" s="100" t="s">
        <v>558</v>
      </c>
      <c r="G1" s="194"/>
      <c r="I1" s="195"/>
      <c r="L1" s="196"/>
    </row>
    <row r="3" spans="1:29" ht="20.55" customHeight="1" x14ac:dyDescent="0.45">
      <c r="D3" s="594" t="s">
        <v>141</v>
      </c>
      <c r="E3" s="595"/>
      <c r="F3" s="208" t="s">
        <v>140</v>
      </c>
      <c r="G3" s="197" t="s">
        <v>76</v>
      </c>
      <c r="H3" s="197" t="s">
        <v>87</v>
      </c>
      <c r="I3" s="197" t="s">
        <v>193</v>
      </c>
      <c r="J3" s="198" t="s">
        <v>197</v>
      </c>
      <c r="M3" s="619" t="s">
        <v>529</v>
      </c>
      <c r="N3" s="620"/>
      <c r="O3" s="620"/>
      <c r="P3" s="620"/>
      <c r="Q3" s="620"/>
      <c r="R3" s="620"/>
      <c r="S3" s="620"/>
      <c r="T3" s="620"/>
      <c r="U3" s="620"/>
      <c r="V3" s="620"/>
      <c r="W3" s="621"/>
      <c r="Y3" s="594" t="s">
        <v>141</v>
      </c>
      <c r="Z3" s="595"/>
      <c r="AA3" s="267" t="s">
        <v>115</v>
      </c>
      <c r="AB3" s="268" t="s">
        <v>559</v>
      </c>
      <c r="AC3" s="269" t="s">
        <v>140</v>
      </c>
    </row>
    <row r="4" spans="1:29" ht="20.55" customHeight="1" x14ac:dyDescent="0.45">
      <c r="D4" s="592" t="s">
        <v>384</v>
      </c>
      <c r="E4" s="593"/>
      <c r="F4" s="200" t="s">
        <v>85</v>
      </c>
      <c r="G4" s="515">
        <f>S22</f>
        <v>0</v>
      </c>
      <c r="H4" s="515">
        <f>AF22</f>
        <v>0</v>
      </c>
      <c r="I4" s="515">
        <f>G4-H4</f>
        <v>0</v>
      </c>
      <c r="J4" s="40">
        <f>IF(OR(G4=0,I4=0),0,I4/G4)</f>
        <v>0</v>
      </c>
      <c r="M4" s="624"/>
      <c r="N4" s="625"/>
      <c r="O4" s="625"/>
      <c r="P4" s="625"/>
      <c r="Q4" s="625"/>
      <c r="R4" s="625"/>
      <c r="S4" s="625"/>
      <c r="T4" s="625"/>
      <c r="U4" s="625"/>
      <c r="V4" s="625"/>
      <c r="W4" s="626"/>
      <c r="Y4" s="652" t="s">
        <v>1</v>
      </c>
      <c r="Z4" s="267" t="s">
        <v>116</v>
      </c>
      <c r="AA4" s="25">
        <v>11000</v>
      </c>
      <c r="AB4" s="1">
        <f>係数!H25</f>
        <v>2.2440000000000003E-3</v>
      </c>
      <c r="AC4" s="1" t="s">
        <v>387</v>
      </c>
    </row>
    <row r="5" spans="1:29" ht="20.55" customHeight="1" x14ac:dyDescent="0.45">
      <c r="D5" s="594" t="s">
        <v>458</v>
      </c>
      <c r="E5" s="595"/>
      <c r="F5" s="270" t="s">
        <v>112</v>
      </c>
      <c r="G5" s="516">
        <f>T22</f>
        <v>0</v>
      </c>
      <c r="H5" s="516">
        <f>AG22</f>
        <v>0</v>
      </c>
      <c r="I5" s="515">
        <f>G5-H5</f>
        <v>0</v>
      </c>
      <c r="J5" s="40">
        <f>IF(OR(G5=0,I5=0),0,I5/G5)</f>
        <v>0</v>
      </c>
      <c r="M5" s="202"/>
      <c r="N5" s="202"/>
      <c r="O5" s="202"/>
      <c r="Y5" s="652"/>
      <c r="Z5" s="267" t="s">
        <v>117</v>
      </c>
      <c r="AA5" s="25">
        <v>10000</v>
      </c>
      <c r="AB5" s="1">
        <f>AB4</f>
        <v>2.2440000000000003E-3</v>
      </c>
      <c r="AC5" s="1" t="s">
        <v>387</v>
      </c>
    </row>
    <row r="6" spans="1:29" ht="20.55" customHeight="1" x14ac:dyDescent="0.45">
      <c r="D6" s="592" t="s">
        <v>385</v>
      </c>
      <c r="E6" s="593"/>
      <c r="F6" s="211" t="s">
        <v>62</v>
      </c>
      <c r="G6" s="517">
        <f>U22</f>
        <v>0</v>
      </c>
      <c r="H6" s="517">
        <f>AH22</f>
        <v>0</v>
      </c>
      <c r="I6" s="518">
        <f>G6-H6</f>
        <v>0</v>
      </c>
      <c r="J6" s="40">
        <f>IF(OR(G6=0,I6=0),0,I6/G6)</f>
        <v>0</v>
      </c>
      <c r="M6" s="637" t="s">
        <v>545</v>
      </c>
      <c r="N6" s="637"/>
      <c r="O6" s="637"/>
      <c r="P6" s="637"/>
      <c r="Q6" s="637"/>
      <c r="R6" s="637"/>
      <c r="S6" s="637"/>
      <c r="T6" s="637"/>
      <c r="U6" s="637"/>
      <c r="V6" s="637"/>
      <c r="W6" s="637"/>
      <c r="Y6" s="267" t="s">
        <v>560</v>
      </c>
      <c r="Z6" s="267" t="s">
        <v>118</v>
      </c>
      <c r="AA6" s="25">
        <v>24000</v>
      </c>
      <c r="AB6" s="1">
        <f>係数!H15</f>
        <v>2.7027000000000002E-3</v>
      </c>
      <c r="AC6" s="1" t="s">
        <v>386</v>
      </c>
    </row>
    <row r="7" spans="1:29" x14ac:dyDescent="0.45">
      <c r="D7" s="592" t="s">
        <v>4</v>
      </c>
      <c r="E7" s="593"/>
      <c r="F7" s="200" t="s">
        <v>90</v>
      </c>
      <c r="G7" s="189" t="str">
        <f>IF(使用量と光熱費!$H$7=0,"ー",G5*使用量と光熱費!$H$7)</f>
        <v>ー</v>
      </c>
      <c r="H7" s="189" t="str">
        <f>IF(使用量と光熱費!$H$7=0,"ー",H5*使用量と光熱費!$H$7)</f>
        <v>ー</v>
      </c>
      <c r="I7" s="508" t="str">
        <f>IF(OR(G7="ー",H7="ー"),"ー",G7-H7)</f>
        <v>ー</v>
      </c>
      <c r="J7" s="40">
        <f>IFERROR(I7/G7,0)</f>
        <v>0</v>
      </c>
      <c r="M7" s="594" t="s">
        <v>141</v>
      </c>
      <c r="N7" s="608"/>
      <c r="O7" s="608"/>
      <c r="P7" s="595"/>
      <c r="Q7" s="200" t="s">
        <v>369</v>
      </c>
      <c r="R7" s="200" t="s">
        <v>371</v>
      </c>
      <c r="S7" s="640" t="str">
        <f>IF(OR(OR(Q8="",R8=""),AND(Q8="なし",R8="なし")),"ー",IF(COUNTIF(Q8:R8,"増加")&gt;0,"やむを得ず増加する場合は特記事項欄に理由を記載してください。(要根拠資料提出)","減少する理由を特記事項欄に記載してください。"))</f>
        <v>ー</v>
      </c>
      <c r="T7" s="641"/>
      <c r="U7" s="641"/>
      <c r="V7" s="641"/>
      <c r="W7" s="642"/>
      <c r="Y7" s="594" t="s">
        <v>561</v>
      </c>
      <c r="Z7" s="595"/>
      <c r="AA7" s="25" t="str">
        <f>IF(E10="","",VLOOKUP($E$10,$Z$4:$AB$6,2,FALSE))</f>
        <v/>
      </c>
      <c r="AB7" s="222"/>
      <c r="AC7" s="427" t="s">
        <v>115</v>
      </c>
    </row>
    <row r="8" spans="1:29" x14ac:dyDescent="0.45">
      <c r="D8" s="592" t="s">
        <v>484</v>
      </c>
      <c r="E8" s="593"/>
      <c r="F8" s="200" t="s">
        <v>485</v>
      </c>
      <c r="G8" s="509">
        <f>(G4*係数!$C$30+G5*係数!$C$25)*0.0000258</f>
        <v>0</v>
      </c>
      <c r="H8" s="509">
        <f>(H4*係数!$C$30+H5*係数!$C$25)*0.0000258</f>
        <v>0</v>
      </c>
      <c r="I8" s="518">
        <f>G8-H8</f>
        <v>0</v>
      </c>
      <c r="J8" s="40">
        <f>IF(OR(G8=0,I8=0),0,I8/G8)</f>
        <v>0</v>
      </c>
      <c r="M8" s="646" t="s">
        <v>562</v>
      </c>
      <c r="N8" s="648"/>
      <c r="O8" s="648"/>
      <c r="P8" s="647"/>
      <c r="Q8" s="2" t="str">
        <f>IF(OR(G22=0,X22=0),"",IF(G22=X22,"なし",IF(G22&gt;X22,"減少","増加")))</f>
        <v/>
      </c>
      <c r="R8" s="2" t="str">
        <f>IF(OR(M22=0,AB22=0),"",IF(M22=AB22,"なし",IF(M22&gt;AB22,"減少","増加")))</f>
        <v/>
      </c>
      <c r="S8" s="643"/>
      <c r="T8" s="644"/>
      <c r="U8" s="644"/>
      <c r="V8" s="644"/>
      <c r="W8" s="645"/>
    </row>
    <row r="9" spans="1:29" x14ac:dyDescent="0.45">
      <c r="D9" s="267" t="s">
        <v>146</v>
      </c>
      <c r="E9" s="267" t="s">
        <v>114</v>
      </c>
      <c r="F9" s="271" t="s">
        <v>147</v>
      </c>
      <c r="G9" s="240"/>
      <c r="H9" s="637" t="s">
        <v>464</v>
      </c>
      <c r="I9" s="637"/>
      <c r="J9" s="208" t="s">
        <v>89</v>
      </c>
      <c r="R9" s="202"/>
    </row>
    <row r="10" spans="1:29" x14ac:dyDescent="0.45">
      <c r="D10" s="191"/>
      <c r="E10" s="101"/>
      <c r="F10" s="1" t="str">
        <f>IF(D10="","",VLOOKUP(D10,係数!$B$3:$I$30,7,FALSE))</f>
        <v/>
      </c>
      <c r="G10" s="1" t="str">
        <f>IF(D10="","",VLOOKUP(D10,係数!$B$3:$I$30,8,FALSE))</f>
        <v/>
      </c>
      <c r="H10" s="651" t="str">
        <f>IF(AA7="","",AA7)</f>
        <v/>
      </c>
      <c r="I10" s="651"/>
      <c r="J10" s="1">
        <f>IF(E10="LP",使用量と光熱費!H9,使用量と光熱費!H8)</f>
        <v>0</v>
      </c>
    </row>
    <row r="11" spans="1:29" x14ac:dyDescent="0.45">
      <c r="B11" s="202"/>
      <c r="D11" s="272"/>
      <c r="E11" s="272"/>
      <c r="H11" s="273"/>
      <c r="I11" s="273"/>
    </row>
    <row r="12" spans="1:29" x14ac:dyDescent="0.45">
      <c r="B12" s="203"/>
      <c r="D12" s="272"/>
      <c r="E12" s="272"/>
      <c r="H12" s="273"/>
      <c r="I12" s="273"/>
    </row>
    <row r="13" spans="1:29" x14ac:dyDescent="0.45">
      <c r="B13" s="197"/>
      <c r="C13" s="197" t="s">
        <v>111</v>
      </c>
      <c r="D13" s="272"/>
      <c r="E13" s="272"/>
      <c r="H13" s="273"/>
      <c r="I13" s="273"/>
    </row>
    <row r="14" spans="1:29" ht="19.2" x14ac:dyDescent="0.5">
      <c r="B14" s="208" t="s">
        <v>547</v>
      </c>
      <c r="C14" s="178">
        <v>0.4</v>
      </c>
      <c r="D14" s="272"/>
      <c r="E14" s="272"/>
      <c r="H14" s="273"/>
      <c r="I14" s="273"/>
    </row>
    <row r="15" spans="1:29" ht="19.2" x14ac:dyDescent="0.5">
      <c r="B15" s="208" t="s">
        <v>548</v>
      </c>
      <c r="C15" s="178">
        <v>0.4</v>
      </c>
      <c r="D15" s="272"/>
      <c r="E15" s="272"/>
      <c r="H15" s="273"/>
      <c r="I15" s="273"/>
      <c r="R15" s="202"/>
    </row>
    <row r="16" spans="1:29" x14ac:dyDescent="0.45">
      <c r="A16" t="s">
        <v>139</v>
      </c>
    </row>
    <row r="17" spans="2:37" x14ac:dyDescent="0.45">
      <c r="B17" s="590" t="s">
        <v>141</v>
      </c>
      <c r="C17" s="274" t="s">
        <v>76</v>
      </c>
      <c r="D17" s="239"/>
      <c r="E17" s="239"/>
      <c r="F17" s="239"/>
      <c r="G17" s="239"/>
      <c r="H17" s="239"/>
      <c r="I17" s="239"/>
      <c r="J17" s="239"/>
      <c r="K17" s="239"/>
      <c r="L17" s="239"/>
      <c r="M17" s="239"/>
      <c r="N17" s="239"/>
      <c r="O17" s="239"/>
      <c r="P17" s="239"/>
      <c r="Q17" s="239"/>
      <c r="R17" s="239"/>
      <c r="S17" s="239"/>
      <c r="T17" s="239"/>
      <c r="U17" s="240"/>
      <c r="V17" s="275" t="s">
        <v>373</v>
      </c>
      <c r="W17" s="242"/>
      <c r="X17" s="242"/>
      <c r="Y17" s="239"/>
      <c r="Z17" s="242"/>
      <c r="AA17" s="242"/>
      <c r="AB17" s="242"/>
      <c r="AC17" s="239"/>
      <c r="AD17" s="242"/>
      <c r="AE17" s="242"/>
      <c r="AF17" s="239"/>
      <c r="AG17" s="242"/>
      <c r="AH17" s="247"/>
      <c r="AI17" s="633" t="s">
        <v>94</v>
      </c>
      <c r="AJ17" s="649"/>
      <c r="AK17" s="634"/>
    </row>
    <row r="18" spans="2:37" x14ac:dyDescent="0.45">
      <c r="B18" s="603"/>
      <c r="C18" s="243"/>
      <c r="D18" s="244"/>
      <c r="E18" s="242"/>
      <c r="F18" s="240"/>
      <c r="G18" s="246" t="s">
        <v>369</v>
      </c>
      <c r="H18" s="247"/>
      <c r="I18" s="242"/>
      <c r="J18" s="242"/>
      <c r="K18" s="242"/>
      <c r="L18" s="242"/>
      <c r="M18" s="246" t="s">
        <v>371</v>
      </c>
      <c r="N18" s="247"/>
      <c r="O18" s="242"/>
      <c r="P18" s="242"/>
      <c r="Q18" s="242"/>
      <c r="R18" s="242"/>
      <c r="S18" s="246" t="s">
        <v>372</v>
      </c>
      <c r="T18" s="242"/>
      <c r="U18" s="240"/>
      <c r="V18" s="246"/>
      <c r="W18" s="244"/>
      <c r="X18" s="244"/>
      <c r="Y18" s="246" t="s">
        <v>369</v>
      </c>
      <c r="Z18" s="242"/>
      <c r="AA18" s="242"/>
      <c r="AB18" s="246" t="s">
        <v>371</v>
      </c>
      <c r="AC18" s="247"/>
      <c r="AD18" s="242"/>
      <c r="AE18" s="242"/>
      <c r="AF18" s="246" t="s">
        <v>372</v>
      </c>
      <c r="AG18" s="242"/>
      <c r="AH18" s="242"/>
      <c r="AI18" s="635"/>
      <c r="AJ18" s="650"/>
      <c r="AK18" s="636"/>
    </row>
    <row r="19" spans="2:37" ht="55.2" x14ac:dyDescent="0.45">
      <c r="B19" s="591"/>
      <c r="C19" s="248" t="s">
        <v>170</v>
      </c>
      <c r="D19" s="248" t="s">
        <v>381</v>
      </c>
      <c r="E19" s="248" t="s">
        <v>370</v>
      </c>
      <c r="F19" s="248" t="s">
        <v>563</v>
      </c>
      <c r="G19" s="248" t="s">
        <v>550</v>
      </c>
      <c r="H19" s="248" t="s">
        <v>452</v>
      </c>
      <c r="I19" s="248" t="s">
        <v>456</v>
      </c>
      <c r="J19" s="248" t="s">
        <v>917</v>
      </c>
      <c r="K19" s="248" t="s">
        <v>918</v>
      </c>
      <c r="L19" s="248" t="s">
        <v>375</v>
      </c>
      <c r="M19" s="248" t="s">
        <v>551</v>
      </c>
      <c r="N19" s="248" t="s">
        <v>453</v>
      </c>
      <c r="O19" s="248" t="s">
        <v>459</v>
      </c>
      <c r="P19" s="248" t="s">
        <v>919</v>
      </c>
      <c r="Q19" s="248" t="s">
        <v>920</v>
      </c>
      <c r="R19" s="248" t="s">
        <v>376</v>
      </c>
      <c r="S19" s="248" t="s">
        <v>418</v>
      </c>
      <c r="T19" s="248" t="s">
        <v>457</v>
      </c>
      <c r="U19" s="248" t="s">
        <v>420</v>
      </c>
      <c r="V19" s="248" t="s">
        <v>170</v>
      </c>
      <c r="W19" s="248" t="s">
        <v>374</v>
      </c>
      <c r="X19" s="248" t="s">
        <v>550</v>
      </c>
      <c r="Y19" s="248" t="s">
        <v>454</v>
      </c>
      <c r="Z19" s="248" t="s">
        <v>462</v>
      </c>
      <c r="AA19" s="248" t="s">
        <v>377</v>
      </c>
      <c r="AB19" s="248" t="s">
        <v>551</v>
      </c>
      <c r="AC19" s="248" t="s">
        <v>455</v>
      </c>
      <c r="AD19" s="248" t="s">
        <v>463</v>
      </c>
      <c r="AE19" s="248" t="s">
        <v>378</v>
      </c>
      <c r="AF19" s="248" t="s">
        <v>419</v>
      </c>
      <c r="AG19" s="248" t="s">
        <v>460</v>
      </c>
      <c r="AH19" s="248" t="s">
        <v>461</v>
      </c>
      <c r="AI19" s="207" t="s">
        <v>476</v>
      </c>
      <c r="AJ19" s="248" t="s">
        <v>478</v>
      </c>
      <c r="AK19" s="207" t="s">
        <v>477</v>
      </c>
    </row>
    <row r="20" spans="2:37" x14ac:dyDescent="0.45">
      <c r="B20" s="249" t="s">
        <v>140</v>
      </c>
      <c r="C20" s="454"/>
      <c r="D20" s="200" t="s">
        <v>915</v>
      </c>
      <c r="E20" s="200" t="s">
        <v>77</v>
      </c>
      <c r="F20" s="209"/>
      <c r="G20" s="200" t="s">
        <v>96</v>
      </c>
      <c r="H20" s="200" t="s">
        <v>96</v>
      </c>
      <c r="I20" s="200" t="s">
        <v>96</v>
      </c>
      <c r="J20" s="200" t="s">
        <v>921</v>
      </c>
      <c r="K20" s="200" t="s">
        <v>922</v>
      </c>
      <c r="L20" s="200" t="s">
        <v>82</v>
      </c>
      <c r="M20" s="200" t="s">
        <v>96</v>
      </c>
      <c r="N20" s="200" t="s">
        <v>96</v>
      </c>
      <c r="O20" s="200" t="s">
        <v>96</v>
      </c>
      <c r="P20" s="200" t="s">
        <v>921</v>
      </c>
      <c r="Q20" s="200" t="s">
        <v>922</v>
      </c>
      <c r="R20" s="200" t="s">
        <v>82</v>
      </c>
      <c r="S20" s="200" t="s">
        <v>85</v>
      </c>
      <c r="T20" s="270" t="s">
        <v>112</v>
      </c>
      <c r="U20" s="211" t="s">
        <v>62</v>
      </c>
      <c r="V20" s="454"/>
      <c r="W20" s="200" t="s">
        <v>77</v>
      </c>
      <c r="X20" s="200" t="s">
        <v>96</v>
      </c>
      <c r="Y20" s="200" t="s">
        <v>96</v>
      </c>
      <c r="Z20" s="200" t="s">
        <v>96</v>
      </c>
      <c r="AA20" s="200" t="s">
        <v>82</v>
      </c>
      <c r="AB20" s="200" t="s">
        <v>96</v>
      </c>
      <c r="AC20" s="200" t="s">
        <v>96</v>
      </c>
      <c r="AD20" s="200" t="s">
        <v>96</v>
      </c>
      <c r="AE20" s="200" t="s">
        <v>82</v>
      </c>
      <c r="AF20" s="200" t="s">
        <v>85</v>
      </c>
      <c r="AG20" s="270" t="s">
        <v>112</v>
      </c>
      <c r="AH20" s="211" t="s">
        <v>62</v>
      </c>
      <c r="AI20" s="200" t="s">
        <v>85</v>
      </c>
      <c r="AJ20" s="270" t="s">
        <v>479</v>
      </c>
      <c r="AK20" s="211" t="s">
        <v>62</v>
      </c>
    </row>
    <row r="21" spans="2:37" x14ac:dyDescent="0.45">
      <c r="B21" s="251" t="s">
        <v>540</v>
      </c>
      <c r="C21" s="212" t="s">
        <v>564</v>
      </c>
      <c r="D21" s="212">
        <v>2006</v>
      </c>
      <c r="E21" s="214">
        <v>2</v>
      </c>
      <c r="F21" s="252">
        <f>IF(D21="",1,MIN(1.5,(2023-D21)*0.05+1))</f>
        <v>1.5</v>
      </c>
      <c r="G21" s="276">
        <v>22.4</v>
      </c>
      <c r="H21" s="277">
        <v>0.82</v>
      </c>
      <c r="I21" s="277">
        <v>16</v>
      </c>
      <c r="J21" s="498">
        <v>10</v>
      </c>
      <c r="K21" s="498">
        <f>30+31+31+30</f>
        <v>122</v>
      </c>
      <c r="L21" s="568">
        <f>J21*K21</f>
        <v>1220</v>
      </c>
      <c r="M21" s="278">
        <v>25</v>
      </c>
      <c r="N21" s="277">
        <v>0.86</v>
      </c>
      <c r="O21" s="277">
        <v>16.3</v>
      </c>
      <c r="P21" s="498">
        <v>10</v>
      </c>
      <c r="Q21" s="498">
        <f>30+31+31+28+31+30</f>
        <v>181</v>
      </c>
      <c r="R21" s="558">
        <f>P21*Q21</f>
        <v>1810</v>
      </c>
      <c r="S21" s="257">
        <f>F21*E21*(H21*L21*$C$14+N21*R21*$C$15)</f>
        <v>3068.3999999999996</v>
      </c>
      <c r="T21" s="279">
        <f>F21*E21*(I21*L21*$C$14+O21*R21*$C$15)*860/11000</f>
        <v>4599.2487272727276</v>
      </c>
      <c r="U21" s="437">
        <f>S21*係数!$H$30+T21*係数!$H$25</f>
        <v>11.719904544000002</v>
      </c>
      <c r="V21" s="212" t="s">
        <v>565</v>
      </c>
      <c r="W21" s="214">
        <v>2</v>
      </c>
      <c r="X21" s="276">
        <v>22.4</v>
      </c>
      <c r="Y21" s="280">
        <v>0.378</v>
      </c>
      <c r="Z21" s="277">
        <v>19.100000000000001</v>
      </c>
      <c r="AA21" s="257">
        <f>IF(L21="","",L21)</f>
        <v>1220</v>
      </c>
      <c r="AB21" s="278">
        <v>25</v>
      </c>
      <c r="AC21" s="280">
        <v>0.46600000000000003</v>
      </c>
      <c r="AD21" s="277">
        <v>18.600000000000001</v>
      </c>
      <c r="AE21" s="257">
        <f>IF(R21="","",R21)</f>
        <v>1810</v>
      </c>
      <c r="AF21" s="257">
        <f>W21*(Y21*AA21*$C$14+AC21*AE21*$C$15)</f>
        <v>1043.6960000000001</v>
      </c>
      <c r="AG21" s="281">
        <f>W21*(Z21*AA21*$C$14+AD21*AE21*$C$15)*860/11000</f>
        <v>3563.0894545454553</v>
      </c>
      <c r="AH21" s="437">
        <f>AF21*係数!$H$30+AG21*係数!$H$25</f>
        <v>8.4714981120000026</v>
      </c>
      <c r="AI21" s="282">
        <f>S21-AF21</f>
        <v>2024.7039999999995</v>
      </c>
      <c r="AJ21" s="283">
        <f>T21-AG21</f>
        <v>1036.1592727272723</v>
      </c>
      <c r="AK21" s="437">
        <f>U21-AH21</f>
        <v>3.2484064319999995</v>
      </c>
    </row>
    <row r="22" spans="2:37" x14ac:dyDescent="0.45">
      <c r="B22" s="249" t="s">
        <v>60</v>
      </c>
      <c r="C22" s="223"/>
      <c r="D22" s="223"/>
      <c r="E22" s="20">
        <f>SUM(E23:E52)</f>
        <v>0</v>
      </c>
      <c r="F22" s="223"/>
      <c r="G22" s="480">
        <f>SUMPRODUCT($E23:$E$52*G$23:G$52)</f>
        <v>0</v>
      </c>
      <c r="H22" s="433">
        <f>SUMPRODUCT($E23:$E$52*H$23:H$52)</f>
        <v>0</v>
      </c>
      <c r="I22" s="433">
        <f>SUMPRODUCT($E23:$E$52*I$23:I$52)</f>
        <v>0</v>
      </c>
      <c r="J22" s="459"/>
      <c r="K22" s="459"/>
      <c r="L22" s="531"/>
      <c r="M22" s="311">
        <f>SUMPRODUCT($E23:$E$52*M$23:M$52)</f>
        <v>0</v>
      </c>
      <c r="N22" s="433">
        <f>SUMPRODUCT($E23:$E$52*N$23:N$52)</f>
        <v>0</v>
      </c>
      <c r="O22" s="433">
        <f>SUMPRODUCT($E23:$E$52*O$23:O$52)</f>
        <v>0</v>
      </c>
      <c r="P22" s="459"/>
      <c r="Q22" s="459"/>
      <c r="R22" s="499"/>
      <c r="S22" s="261">
        <f>SUM(S23:S52)</f>
        <v>0</v>
      </c>
      <c r="T22" s="186">
        <f>SUM(T23:T52)</f>
        <v>0</v>
      </c>
      <c r="U22" s="482">
        <f>SUM(U23:U52)</f>
        <v>0</v>
      </c>
      <c r="V22" s="223"/>
      <c r="W22" s="20">
        <f>SUM(W23:W52)</f>
        <v>0</v>
      </c>
      <c r="X22" s="480">
        <f>SUMPRODUCT($W23:$W$52*X$23:X$52)</f>
        <v>0</v>
      </c>
      <c r="Y22" s="431">
        <f>SUMPRODUCT($W23:$W$52*Y$23:Y$52)</f>
        <v>0</v>
      </c>
      <c r="Z22" s="433">
        <f>SUMPRODUCT($W23:$W$52*Z$23:Z$52)</f>
        <v>0</v>
      </c>
      <c r="AA22" s="481"/>
      <c r="AB22" s="311">
        <f>SUMPRODUCT($W23:$W$52*AB$23:AB$52)</f>
        <v>0</v>
      </c>
      <c r="AC22" s="431">
        <f>SUMPRODUCT($W23:$W$52*AC$23:AC$52)</f>
        <v>0</v>
      </c>
      <c r="AD22" s="433">
        <f>SUMPRODUCT($W23:$W$52*AD$23:AD$52)</f>
        <v>0</v>
      </c>
      <c r="AE22" s="483"/>
      <c r="AF22" s="261">
        <f t="shared" ref="AF22:AK22" si="0">SUM(AF23:AF52)</f>
        <v>0</v>
      </c>
      <c r="AG22" s="226">
        <f t="shared" si="0"/>
        <v>0</v>
      </c>
      <c r="AH22" s="482">
        <f t="shared" si="0"/>
        <v>0</v>
      </c>
      <c r="AI22" s="484">
        <f t="shared" si="0"/>
        <v>0</v>
      </c>
      <c r="AJ22" s="285">
        <f t="shared" si="0"/>
        <v>0</v>
      </c>
      <c r="AK22" s="482">
        <f t="shared" si="0"/>
        <v>0</v>
      </c>
    </row>
    <row r="23" spans="2:37" x14ac:dyDescent="0.45">
      <c r="B23" s="249" t="s">
        <v>119</v>
      </c>
      <c r="C23" s="36"/>
      <c r="D23" s="36"/>
      <c r="E23" s="28"/>
      <c r="F23" s="259">
        <f t="shared" ref="F23:F42" si="1">IF(D23="",1,MIN(1.5,(2023-D23)*0.05+1))</f>
        <v>1</v>
      </c>
      <c r="G23" s="485"/>
      <c r="H23" s="486"/>
      <c r="I23" s="486"/>
      <c r="J23" s="461"/>
      <c r="K23" s="461"/>
      <c r="L23" s="528">
        <f t="shared" ref="L23:L52" si="2">J23*K23</f>
        <v>0</v>
      </c>
      <c r="M23" s="286"/>
      <c r="N23" s="486"/>
      <c r="O23" s="486"/>
      <c r="P23" s="461"/>
      <c r="Q23" s="461"/>
      <c r="R23" s="532">
        <f t="shared" ref="R23:R52" si="3">P23*Q23</f>
        <v>0</v>
      </c>
      <c r="S23" s="21">
        <f t="shared" ref="S23:S42" si="4">F23*E23*(H23*L23*$C$14+N23*R23*$C$15)</f>
        <v>0</v>
      </c>
      <c r="T23" s="487">
        <f>IF($H$10="",0,F23*E23*(I23*L23*$C$14+O23*R23*$C$15)*860/$H$10)</f>
        <v>0</v>
      </c>
      <c r="U23" s="56">
        <f>S23*係数!$H$30+T23*係数!$H$25</f>
        <v>0</v>
      </c>
      <c r="V23" s="36"/>
      <c r="W23" s="28"/>
      <c r="X23" s="485"/>
      <c r="Y23" s="488"/>
      <c r="Z23" s="486"/>
      <c r="AA23" s="262">
        <f t="shared" ref="AA23:AA42" si="5">IF(L23="","",L23)</f>
        <v>0</v>
      </c>
      <c r="AB23" s="485"/>
      <c r="AC23" s="488"/>
      <c r="AD23" s="486"/>
      <c r="AE23" s="262">
        <f t="shared" ref="AE23:AE42" si="6">IF(R23="","",R23)</f>
        <v>0</v>
      </c>
      <c r="AF23" s="502">
        <f>IFERROR(W23*(Y23*AA23*$C$14+AC23*AE23*$C$15),0)</f>
        <v>0</v>
      </c>
      <c r="AG23" s="456">
        <f>IF($H$10="",0,IFERROR(W23*(Z23*AA23*$C$14+AD23*AE23*$C$15)*860/$H$10,0))</f>
        <v>0</v>
      </c>
      <c r="AH23" s="56">
        <f>AF23*係数!$H$30+AG23*係数!$H$25</f>
        <v>0</v>
      </c>
      <c r="AI23" s="287">
        <f t="shared" ref="AI23:AJ38" si="7">S23-AF23</f>
        <v>0</v>
      </c>
      <c r="AJ23" s="288">
        <f>T23-AG23</f>
        <v>0</v>
      </c>
      <c r="AK23" s="56">
        <f t="shared" ref="AK23:AK42" si="8">U23-AH23</f>
        <v>0</v>
      </c>
    </row>
    <row r="24" spans="2:37" x14ac:dyDescent="0.45">
      <c r="B24" s="208" t="s">
        <v>120</v>
      </c>
      <c r="C24" s="36"/>
      <c r="D24" s="36"/>
      <c r="E24" s="28"/>
      <c r="F24" s="259">
        <f t="shared" si="1"/>
        <v>1</v>
      </c>
      <c r="G24" s="485"/>
      <c r="H24" s="486"/>
      <c r="I24" s="486"/>
      <c r="J24" s="461"/>
      <c r="K24" s="461"/>
      <c r="L24" s="528">
        <f t="shared" si="2"/>
        <v>0</v>
      </c>
      <c r="M24" s="286"/>
      <c r="N24" s="486"/>
      <c r="O24" s="486"/>
      <c r="P24" s="461"/>
      <c r="Q24" s="461"/>
      <c r="R24" s="532">
        <f t="shared" si="3"/>
        <v>0</v>
      </c>
      <c r="S24" s="21">
        <f t="shared" si="4"/>
        <v>0</v>
      </c>
      <c r="T24" s="487">
        <f>IF($H$10="",0,F24*E24*(I24*L24*$C$14+O24*R24*$C$15)*860/$H$10)</f>
        <v>0</v>
      </c>
      <c r="U24" s="56">
        <f>S24*係数!$H$30+T24*係数!$H$25</f>
        <v>0</v>
      </c>
      <c r="V24" s="36"/>
      <c r="W24" s="28"/>
      <c r="X24" s="485"/>
      <c r="Y24" s="488"/>
      <c r="Z24" s="486"/>
      <c r="AA24" s="262">
        <f t="shared" si="5"/>
        <v>0</v>
      </c>
      <c r="AB24" s="485"/>
      <c r="AC24" s="488"/>
      <c r="AD24" s="486"/>
      <c r="AE24" s="262">
        <f t="shared" si="6"/>
        <v>0</v>
      </c>
      <c r="AF24" s="502">
        <f t="shared" ref="AF24:AF42" si="9">IFERROR(W24*(Y24*AA24*$C$14+AC24*AE24*$C$15),0)</f>
        <v>0</v>
      </c>
      <c r="AG24" s="456">
        <f>IF($H$10="",0,IFERROR(W24*(Z24*AA24*$C$14+AD24*AE24*$C$15)*860/$H$10,0))</f>
        <v>0</v>
      </c>
      <c r="AH24" s="56">
        <f>AF24*係数!$H$30+AG24*係数!$H$25</f>
        <v>0</v>
      </c>
      <c r="AI24" s="287">
        <f t="shared" si="7"/>
        <v>0</v>
      </c>
      <c r="AJ24" s="288">
        <f t="shared" si="7"/>
        <v>0</v>
      </c>
      <c r="AK24" s="56">
        <f t="shared" si="8"/>
        <v>0</v>
      </c>
    </row>
    <row r="25" spans="2:37" x14ac:dyDescent="0.45">
      <c r="B25" s="208" t="s">
        <v>121</v>
      </c>
      <c r="C25" s="36"/>
      <c r="D25" s="36"/>
      <c r="E25" s="28"/>
      <c r="F25" s="259">
        <f t="shared" si="1"/>
        <v>1</v>
      </c>
      <c r="G25" s="485"/>
      <c r="H25" s="486"/>
      <c r="I25" s="486"/>
      <c r="J25" s="461"/>
      <c r="K25" s="461"/>
      <c r="L25" s="528">
        <f t="shared" si="2"/>
        <v>0</v>
      </c>
      <c r="M25" s="286"/>
      <c r="N25" s="486"/>
      <c r="O25" s="486"/>
      <c r="P25" s="461"/>
      <c r="Q25" s="461"/>
      <c r="R25" s="532">
        <f t="shared" si="3"/>
        <v>0</v>
      </c>
      <c r="S25" s="21">
        <f t="shared" si="4"/>
        <v>0</v>
      </c>
      <c r="T25" s="487">
        <f t="shared" ref="T25:T42" si="10">IF($H$10="",0,F25*E25*(I25*L25*$C$14+O25*R25*$C$15)*860/$H$10)</f>
        <v>0</v>
      </c>
      <c r="U25" s="56">
        <f>S25*係数!$H$30+T25*係数!$H$25</f>
        <v>0</v>
      </c>
      <c r="V25" s="36"/>
      <c r="W25" s="28"/>
      <c r="X25" s="485"/>
      <c r="Y25" s="488"/>
      <c r="Z25" s="486"/>
      <c r="AA25" s="262">
        <f t="shared" si="5"/>
        <v>0</v>
      </c>
      <c r="AB25" s="485"/>
      <c r="AC25" s="488"/>
      <c r="AD25" s="486"/>
      <c r="AE25" s="262">
        <f t="shared" si="6"/>
        <v>0</v>
      </c>
      <c r="AF25" s="502">
        <f t="shared" si="9"/>
        <v>0</v>
      </c>
      <c r="AG25" s="456">
        <f>IF($H$10="",0,IFERROR(W25*(Z25*AA25*$C$14+AD25*AE25*$C$15)*860/$H$10,0))</f>
        <v>0</v>
      </c>
      <c r="AH25" s="56">
        <f>AF25*係数!$H$30+AG25*係数!$H$25</f>
        <v>0</v>
      </c>
      <c r="AI25" s="287">
        <f t="shared" si="7"/>
        <v>0</v>
      </c>
      <c r="AJ25" s="288">
        <f t="shared" si="7"/>
        <v>0</v>
      </c>
      <c r="AK25" s="56">
        <f t="shared" si="8"/>
        <v>0</v>
      </c>
    </row>
    <row r="26" spans="2:37" x14ac:dyDescent="0.45">
      <c r="B26" s="208" t="s">
        <v>122</v>
      </c>
      <c r="C26" s="36"/>
      <c r="D26" s="36"/>
      <c r="E26" s="28"/>
      <c r="F26" s="259">
        <f t="shared" si="1"/>
        <v>1</v>
      </c>
      <c r="G26" s="485"/>
      <c r="H26" s="486"/>
      <c r="I26" s="486"/>
      <c r="J26" s="461"/>
      <c r="K26" s="461"/>
      <c r="L26" s="529">
        <f t="shared" si="2"/>
        <v>0</v>
      </c>
      <c r="M26" s="485"/>
      <c r="N26" s="486"/>
      <c r="O26" s="486"/>
      <c r="P26" s="461"/>
      <c r="Q26" s="461"/>
      <c r="R26" s="456">
        <f t="shared" si="3"/>
        <v>0</v>
      </c>
      <c r="S26" s="21">
        <f t="shared" si="4"/>
        <v>0</v>
      </c>
      <c r="T26" s="487">
        <f t="shared" si="10"/>
        <v>0</v>
      </c>
      <c r="U26" s="56">
        <f>S26*係数!$H$30+T26*係数!$H$25</f>
        <v>0</v>
      </c>
      <c r="V26" s="36"/>
      <c r="W26" s="28"/>
      <c r="X26" s="485"/>
      <c r="Y26" s="488"/>
      <c r="Z26" s="486"/>
      <c r="AA26" s="262">
        <f t="shared" si="5"/>
        <v>0</v>
      </c>
      <c r="AB26" s="485"/>
      <c r="AC26" s="488"/>
      <c r="AD26" s="486"/>
      <c r="AE26" s="1">
        <f t="shared" si="6"/>
        <v>0</v>
      </c>
      <c r="AF26" s="456">
        <f t="shared" si="9"/>
        <v>0</v>
      </c>
      <c r="AG26" s="456">
        <f>IF($H$10="",0,IFERROR(W26*(Z26*AA26*$C$14+AD26*AE26*$C$15)*860/$H$10,0))</f>
        <v>0</v>
      </c>
      <c r="AH26" s="56">
        <f>AF26*係数!$H$30+AG26*係数!$H$25</f>
        <v>0</v>
      </c>
      <c r="AI26" s="287">
        <f t="shared" si="7"/>
        <v>0</v>
      </c>
      <c r="AJ26" s="288">
        <f t="shared" si="7"/>
        <v>0</v>
      </c>
      <c r="AK26" s="56">
        <f t="shared" si="8"/>
        <v>0</v>
      </c>
    </row>
    <row r="27" spans="2:37" x14ac:dyDescent="0.45">
      <c r="B27" s="208" t="s">
        <v>123</v>
      </c>
      <c r="C27" s="36"/>
      <c r="D27" s="36"/>
      <c r="E27" s="28"/>
      <c r="F27" s="259">
        <f t="shared" si="1"/>
        <v>1</v>
      </c>
      <c r="G27" s="485"/>
      <c r="H27" s="486"/>
      <c r="I27" s="486"/>
      <c r="J27" s="461"/>
      <c r="K27" s="461"/>
      <c r="L27" s="529">
        <f t="shared" si="2"/>
        <v>0</v>
      </c>
      <c r="M27" s="485"/>
      <c r="N27" s="486"/>
      <c r="O27" s="486"/>
      <c r="P27" s="461"/>
      <c r="Q27" s="461"/>
      <c r="R27" s="456">
        <f t="shared" si="3"/>
        <v>0</v>
      </c>
      <c r="S27" s="21">
        <f t="shared" si="4"/>
        <v>0</v>
      </c>
      <c r="T27" s="487">
        <f t="shared" si="10"/>
        <v>0</v>
      </c>
      <c r="U27" s="56">
        <f>S27*係数!$H$30+T27*係数!$H$25</f>
        <v>0</v>
      </c>
      <c r="V27" s="36"/>
      <c r="W27" s="28"/>
      <c r="X27" s="485"/>
      <c r="Y27" s="488"/>
      <c r="Z27" s="486"/>
      <c r="AA27" s="262">
        <f t="shared" si="5"/>
        <v>0</v>
      </c>
      <c r="AB27" s="485"/>
      <c r="AC27" s="488"/>
      <c r="AD27" s="486"/>
      <c r="AE27" s="1">
        <f t="shared" si="6"/>
        <v>0</v>
      </c>
      <c r="AF27" s="456">
        <f t="shared" si="9"/>
        <v>0</v>
      </c>
      <c r="AG27" s="456">
        <f>IF($H$10="",0,IFERROR(W27*(Z27*AA27*$C$14+AD27*AE27*$C$15)*860/$H$10,0))</f>
        <v>0</v>
      </c>
      <c r="AH27" s="56">
        <f>AF27*係数!$H$30+AG27*係数!$H$25</f>
        <v>0</v>
      </c>
      <c r="AI27" s="287">
        <f t="shared" si="7"/>
        <v>0</v>
      </c>
      <c r="AJ27" s="288">
        <f t="shared" si="7"/>
        <v>0</v>
      </c>
      <c r="AK27" s="56">
        <f t="shared" si="8"/>
        <v>0</v>
      </c>
    </row>
    <row r="28" spans="2:37" x14ac:dyDescent="0.45">
      <c r="B28" s="208" t="s">
        <v>124</v>
      </c>
      <c r="C28" s="36"/>
      <c r="D28" s="36"/>
      <c r="E28" s="28"/>
      <c r="F28" s="259">
        <f t="shared" si="1"/>
        <v>1</v>
      </c>
      <c r="G28" s="485"/>
      <c r="H28" s="486"/>
      <c r="I28" s="486"/>
      <c r="J28" s="461"/>
      <c r="K28" s="461"/>
      <c r="L28" s="529">
        <f t="shared" si="2"/>
        <v>0</v>
      </c>
      <c r="M28" s="485"/>
      <c r="N28" s="486"/>
      <c r="O28" s="486"/>
      <c r="P28" s="461"/>
      <c r="Q28" s="461"/>
      <c r="R28" s="456">
        <f t="shared" si="3"/>
        <v>0</v>
      </c>
      <c r="S28" s="21">
        <f t="shared" si="4"/>
        <v>0</v>
      </c>
      <c r="T28" s="487">
        <f t="shared" si="10"/>
        <v>0</v>
      </c>
      <c r="U28" s="56">
        <f>S28*係数!$H$30+T28*係数!$H$25</f>
        <v>0</v>
      </c>
      <c r="V28" s="36"/>
      <c r="W28" s="28"/>
      <c r="X28" s="485"/>
      <c r="Y28" s="488"/>
      <c r="Z28" s="486"/>
      <c r="AA28" s="262">
        <f t="shared" si="5"/>
        <v>0</v>
      </c>
      <c r="AB28" s="485"/>
      <c r="AC28" s="488"/>
      <c r="AD28" s="486"/>
      <c r="AE28" s="1">
        <f t="shared" si="6"/>
        <v>0</v>
      </c>
      <c r="AF28" s="456">
        <f t="shared" si="9"/>
        <v>0</v>
      </c>
      <c r="AG28" s="456">
        <f t="shared" ref="AG28:AG42" si="11">IF($H$10="",0,IFERROR(W28*(Z28*AA28*$C$14+AD28*AE28*$C$15)*860/$H$10,0))</f>
        <v>0</v>
      </c>
      <c r="AH28" s="56">
        <f>AF28*係数!$H$30+AG28*係数!$H$25</f>
        <v>0</v>
      </c>
      <c r="AI28" s="287">
        <f t="shared" si="7"/>
        <v>0</v>
      </c>
      <c r="AJ28" s="288">
        <f t="shared" si="7"/>
        <v>0</v>
      </c>
      <c r="AK28" s="56">
        <f t="shared" si="8"/>
        <v>0</v>
      </c>
    </row>
    <row r="29" spans="2:37" x14ac:dyDescent="0.45">
      <c r="B29" s="208" t="s">
        <v>125</v>
      </c>
      <c r="C29" s="36"/>
      <c r="D29" s="36"/>
      <c r="E29" s="28"/>
      <c r="F29" s="259">
        <f t="shared" si="1"/>
        <v>1</v>
      </c>
      <c r="G29" s="485"/>
      <c r="H29" s="486"/>
      <c r="I29" s="486"/>
      <c r="J29" s="461"/>
      <c r="K29" s="461"/>
      <c r="L29" s="529">
        <f t="shared" si="2"/>
        <v>0</v>
      </c>
      <c r="M29" s="485"/>
      <c r="N29" s="486"/>
      <c r="O29" s="486"/>
      <c r="P29" s="461"/>
      <c r="Q29" s="461"/>
      <c r="R29" s="456">
        <f t="shared" si="3"/>
        <v>0</v>
      </c>
      <c r="S29" s="21">
        <f t="shared" si="4"/>
        <v>0</v>
      </c>
      <c r="T29" s="487">
        <f t="shared" si="10"/>
        <v>0</v>
      </c>
      <c r="U29" s="56">
        <f>S29*係数!$H$30+T29*係数!$H$25</f>
        <v>0</v>
      </c>
      <c r="V29" s="36"/>
      <c r="W29" s="28"/>
      <c r="X29" s="485"/>
      <c r="Y29" s="488"/>
      <c r="Z29" s="486"/>
      <c r="AA29" s="262">
        <f t="shared" si="5"/>
        <v>0</v>
      </c>
      <c r="AB29" s="485"/>
      <c r="AC29" s="488"/>
      <c r="AD29" s="486"/>
      <c r="AE29" s="1">
        <f t="shared" si="6"/>
        <v>0</v>
      </c>
      <c r="AF29" s="456">
        <f t="shared" si="9"/>
        <v>0</v>
      </c>
      <c r="AG29" s="456">
        <f t="shared" si="11"/>
        <v>0</v>
      </c>
      <c r="AH29" s="56">
        <f>AF29*係数!$H$30+AG29*係数!$H$25</f>
        <v>0</v>
      </c>
      <c r="AI29" s="287">
        <f t="shared" si="7"/>
        <v>0</v>
      </c>
      <c r="AJ29" s="288">
        <f t="shared" si="7"/>
        <v>0</v>
      </c>
      <c r="AK29" s="56">
        <f t="shared" si="8"/>
        <v>0</v>
      </c>
    </row>
    <row r="30" spans="2:37" x14ac:dyDescent="0.45">
      <c r="B30" s="208" t="s">
        <v>126</v>
      </c>
      <c r="C30" s="36"/>
      <c r="D30" s="36"/>
      <c r="E30" s="28"/>
      <c r="F30" s="259">
        <f t="shared" si="1"/>
        <v>1</v>
      </c>
      <c r="G30" s="485"/>
      <c r="H30" s="486"/>
      <c r="I30" s="486"/>
      <c r="J30" s="461"/>
      <c r="K30" s="461"/>
      <c r="L30" s="529">
        <f t="shared" si="2"/>
        <v>0</v>
      </c>
      <c r="M30" s="485"/>
      <c r="N30" s="486"/>
      <c r="O30" s="486"/>
      <c r="P30" s="461"/>
      <c r="Q30" s="461"/>
      <c r="R30" s="456">
        <f t="shared" si="3"/>
        <v>0</v>
      </c>
      <c r="S30" s="21">
        <f t="shared" si="4"/>
        <v>0</v>
      </c>
      <c r="T30" s="487">
        <f t="shared" si="10"/>
        <v>0</v>
      </c>
      <c r="U30" s="56">
        <f>S30*係数!$H$30+T30*係数!$H$25</f>
        <v>0</v>
      </c>
      <c r="V30" s="36"/>
      <c r="W30" s="28"/>
      <c r="X30" s="485"/>
      <c r="Y30" s="488"/>
      <c r="Z30" s="486"/>
      <c r="AA30" s="262">
        <f t="shared" si="5"/>
        <v>0</v>
      </c>
      <c r="AB30" s="485"/>
      <c r="AC30" s="488"/>
      <c r="AD30" s="486"/>
      <c r="AE30" s="1">
        <f t="shared" si="6"/>
        <v>0</v>
      </c>
      <c r="AF30" s="456">
        <f t="shared" si="9"/>
        <v>0</v>
      </c>
      <c r="AG30" s="456">
        <f t="shared" si="11"/>
        <v>0</v>
      </c>
      <c r="AH30" s="56">
        <f>AF30*係数!$H$30+AG30*係数!$H$25</f>
        <v>0</v>
      </c>
      <c r="AI30" s="287">
        <f t="shared" si="7"/>
        <v>0</v>
      </c>
      <c r="AJ30" s="288">
        <f t="shared" si="7"/>
        <v>0</v>
      </c>
      <c r="AK30" s="56">
        <f t="shared" si="8"/>
        <v>0</v>
      </c>
    </row>
    <row r="31" spans="2:37" x14ac:dyDescent="0.45">
      <c r="B31" s="208" t="s">
        <v>127</v>
      </c>
      <c r="C31" s="36"/>
      <c r="D31" s="36"/>
      <c r="E31" s="28"/>
      <c r="F31" s="259">
        <f t="shared" si="1"/>
        <v>1</v>
      </c>
      <c r="G31" s="485"/>
      <c r="H31" s="486"/>
      <c r="I31" s="486"/>
      <c r="J31" s="461"/>
      <c r="K31" s="461"/>
      <c r="L31" s="529">
        <f t="shared" si="2"/>
        <v>0</v>
      </c>
      <c r="M31" s="485"/>
      <c r="N31" s="486"/>
      <c r="O31" s="486"/>
      <c r="P31" s="461"/>
      <c r="Q31" s="461"/>
      <c r="R31" s="456">
        <f t="shared" si="3"/>
        <v>0</v>
      </c>
      <c r="S31" s="21">
        <f t="shared" si="4"/>
        <v>0</v>
      </c>
      <c r="T31" s="487">
        <f t="shared" si="10"/>
        <v>0</v>
      </c>
      <c r="U31" s="56">
        <f>S31*係数!$H$30+T31*係数!$H$25</f>
        <v>0</v>
      </c>
      <c r="V31" s="36"/>
      <c r="W31" s="28"/>
      <c r="X31" s="485"/>
      <c r="Y31" s="488"/>
      <c r="Z31" s="486"/>
      <c r="AA31" s="262">
        <f t="shared" si="5"/>
        <v>0</v>
      </c>
      <c r="AB31" s="485"/>
      <c r="AC31" s="488"/>
      <c r="AD31" s="486"/>
      <c r="AE31" s="1">
        <f t="shared" si="6"/>
        <v>0</v>
      </c>
      <c r="AF31" s="456">
        <f t="shared" si="9"/>
        <v>0</v>
      </c>
      <c r="AG31" s="456">
        <f t="shared" si="11"/>
        <v>0</v>
      </c>
      <c r="AH31" s="56">
        <f>AF31*係数!$H$30+AG31*係数!$H$25</f>
        <v>0</v>
      </c>
      <c r="AI31" s="287">
        <f t="shared" si="7"/>
        <v>0</v>
      </c>
      <c r="AJ31" s="288">
        <f t="shared" si="7"/>
        <v>0</v>
      </c>
      <c r="AK31" s="56">
        <f t="shared" si="8"/>
        <v>0</v>
      </c>
    </row>
    <row r="32" spans="2:37" x14ac:dyDescent="0.45">
      <c r="B32" s="208" t="s">
        <v>128</v>
      </c>
      <c r="C32" s="36"/>
      <c r="D32" s="36"/>
      <c r="E32" s="28"/>
      <c r="F32" s="259">
        <f t="shared" si="1"/>
        <v>1</v>
      </c>
      <c r="G32" s="485"/>
      <c r="H32" s="486"/>
      <c r="I32" s="486"/>
      <c r="J32" s="461"/>
      <c r="K32" s="461"/>
      <c r="L32" s="529">
        <f t="shared" si="2"/>
        <v>0</v>
      </c>
      <c r="M32" s="485"/>
      <c r="N32" s="486"/>
      <c r="O32" s="486"/>
      <c r="P32" s="461"/>
      <c r="Q32" s="461"/>
      <c r="R32" s="456">
        <f t="shared" si="3"/>
        <v>0</v>
      </c>
      <c r="S32" s="21">
        <f t="shared" si="4"/>
        <v>0</v>
      </c>
      <c r="T32" s="487">
        <f t="shared" si="10"/>
        <v>0</v>
      </c>
      <c r="U32" s="56">
        <f>S32*係数!$H$30+T32*係数!$H$25</f>
        <v>0</v>
      </c>
      <c r="V32" s="36"/>
      <c r="W32" s="28"/>
      <c r="X32" s="485"/>
      <c r="Y32" s="488"/>
      <c r="Z32" s="486"/>
      <c r="AA32" s="262">
        <f t="shared" si="5"/>
        <v>0</v>
      </c>
      <c r="AB32" s="485"/>
      <c r="AC32" s="488"/>
      <c r="AD32" s="486"/>
      <c r="AE32" s="1">
        <f t="shared" si="6"/>
        <v>0</v>
      </c>
      <c r="AF32" s="456">
        <f t="shared" si="9"/>
        <v>0</v>
      </c>
      <c r="AG32" s="456">
        <f t="shared" si="11"/>
        <v>0</v>
      </c>
      <c r="AH32" s="56">
        <f>AF32*係数!$H$30+AG32*係数!$H$25</f>
        <v>0</v>
      </c>
      <c r="AI32" s="287">
        <f t="shared" si="7"/>
        <v>0</v>
      </c>
      <c r="AJ32" s="288">
        <f t="shared" si="7"/>
        <v>0</v>
      </c>
      <c r="AK32" s="56">
        <f t="shared" si="8"/>
        <v>0</v>
      </c>
    </row>
    <row r="33" spans="2:37" x14ac:dyDescent="0.45">
      <c r="B33" s="208" t="s">
        <v>129</v>
      </c>
      <c r="C33" s="36"/>
      <c r="D33" s="36"/>
      <c r="E33" s="28"/>
      <c r="F33" s="259">
        <f t="shared" si="1"/>
        <v>1</v>
      </c>
      <c r="G33" s="485"/>
      <c r="H33" s="486"/>
      <c r="I33" s="486"/>
      <c r="J33" s="461"/>
      <c r="K33" s="461"/>
      <c r="L33" s="529">
        <f t="shared" si="2"/>
        <v>0</v>
      </c>
      <c r="M33" s="485"/>
      <c r="N33" s="486"/>
      <c r="O33" s="486"/>
      <c r="P33" s="461"/>
      <c r="Q33" s="461"/>
      <c r="R33" s="456">
        <f t="shared" si="3"/>
        <v>0</v>
      </c>
      <c r="S33" s="21">
        <f t="shared" si="4"/>
        <v>0</v>
      </c>
      <c r="T33" s="487">
        <f t="shared" si="10"/>
        <v>0</v>
      </c>
      <c r="U33" s="56">
        <f>S33*係数!$H$30+T33*係数!$H$25</f>
        <v>0</v>
      </c>
      <c r="V33" s="36"/>
      <c r="W33" s="28"/>
      <c r="X33" s="485"/>
      <c r="Y33" s="488"/>
      <c r="Z33" s="486"/>
      <c r="AA33" s="262">
        <f t="shared" si="5"/>
        <v>0</v>
      </c>
      <c r="AB33" s="485"/>
      <c r="AC33" s="488"/>
      <c r="AD33" s="486"/>
      <c r="AE33" s="1">
        <f t="shared" si="6"/>
        <v>0</v>
      </c>
      <c r="AF33" s="456">
        <f t="shared" si="9"/>
        <v>0</v>
      </c>
      <c r="AG33" s="456">
        <f t="shared" si="11"/>
        <v>0</v>
      </c>
      <c r="AH33" s="56">
        <f>AF33*係数!$H$30+AG33*係数!$H$25</f>
        <v>0</v>
      </c>
      <c r="AI33" s="287">
        <f t="shared" si="7"/>
        <v>0</v>
      </c>
      <c r="AJ33" s="288">
        <f t="shared" si="7"/>
        <v>0</v>
      </c>
      <c r="AK33" s="56">
        <f t="shared" si="8"/>
        <v>0</v>
      </c>
    </row>
    <row r="34" spans="2:37" x14ac:dyDescent="0.45">
      <c r="B34" s="208" t="s">
        <v>130</v>
      </c>
      <c r="C34" s="36"/>
      <c r="D34" s="36"/>
      <c r="E34" s="28"/>
      <c r="F34" s="259">
        <f t="shared" si="1"/>
        <v>1</v>
      </c>
      <c r="G34" s="485"/>
      <c r="H34" s="486"/>
      <c r="I34" s="486"/>
      <c r="J34" s="461"/>
      <c r="K34" s="461"/>
      <c r="L34" s="529">
        <f t="shared" si="2"/>
        <v>0</v>
      </c>
      <c r="M34" s="485"/>
      <c r="N34" s="486"/>
      <c r="O34" s="486"/>
      <c r="P34" s="461"/>
      <c r="Q34" s="461"/>
      <c r="R34" s="456">
        <f t="shared" si="3"/>
        <v>0</v>
      </c>
      <c r="S34" s="21">
        <f t="shared" si="4"/>
        <v>0</v>
      </c>
      <c r="T34" s="487">
        <f t="shared" si="10"/>
        <v>0</v>
      </c>
      <c r="U34" s="56">
        <f>S34*係数!$H$30+T34*係数!$H$25</f>
        <v>0</v>
      </c>
      <c r="V34" s="36"/>
      <c r="W34" s="28"/>
      <c r="X34" s="485"/>
      <c r="Y34" s="488"/>
      <c r="Z34" s="486"/>
      <c r="AA34" s="262">
        <f t="shared" si="5"/>
        <v>0</v>
      </c>
      <c r="AB34" s="485"/>
      <c r="AC34" s="488"/>
      <c r="AD34" s="486"/>
      <c r="AE34" s="1">
        <f t="shared" si="6"/>
        <v>0</v>
      </c>
      <c r="AF34" s="456">
        <f t="shared" si="9"/>
        <v>0</v>
      </c>
      <c r="AG34" s="456">
        <f t="shared" si="11"/>
        <v>0</v>
      </c>
      <c r="AH34" s="56">
        <f>AF34*係数!$H$30+AG34*係数!$H$25</f>
        <v>0</v>
      </c>
      <c r="AI34" s="287">
        <f t="shared" si="7"/>
        <v>0</v>
      </c>
      <c r="AJ34" s="288">
        <f t="shared" si="7"/>
        <v>0</v>
      </c>
      <c r="AK34" s="56">
        <f t="shared" si="8"/>
        <v>0</v>
      </c>
    </row>
    <row r="35" spans="2:37" x14ac:dyDescent="0.45">
      <c r="B35" s="208" t="s">
        <v>131</v>
      </c>
      <c r="C35" s="36"/>
      <c r="D35" s="36"/>
      <c r="E35" s="28"/>
      <c r="F35" s="259">
        <f t="shared" si="1"/>
        <v>1</v>
      </c>
      <c r="G35" s="485"/>
      <c r="H35" s="486"/>
      <c r="I35" s="486"/>
      <c r="J35" s="461"/>
      <c r="K35" s="461"/>
      <c r="L35" s="529">
        <f t="shared" si="2"/>
        <v>0</v>
      </c>
      <c r="M35" s="485"/>
      <c r="N35" s="486"/>
      <c r="O35" s="486"/>
      <c r="P35" s="461"/>
      <c r="Q35" s="461"/>
      <c r="R35" s="456">
        <f t="shared" si="3"/>
        <v>0</v>
      </c>
      <c r="S35" s="21">
        <f t="shared" si="4"/>
        <v>0</v>
      </c>
      <c r="T35" s="487">
        <f t="shared" si="10"/>
        <v>0</v>
      </c>
      <c r="U35" s="56">
        <f>S35*係数!$H$30+T35*係数!$H$25</f>
        <v>0</v>
      </c>
      <c r="V35" s="36"/>
      <c r="W35" s="28"/>
      <c r="X35" s="485"/>
      <c r="Y35" s="488"/>
      <c r="Z35" s="486"/>
      <c r="AA35" s="262">
        <f t="shared" si="5"/>
        <v>0</v>
      </c>
      <c r="AB35" s="485"/>
      <c r="AC35" s="488"/>
      <c r="AD35" s="486"/>
      <c r="AE35" s="1">
        <f t="shared" si="6"/>
        <v>0</v>
      </c>
      <c r="AF35" s="456">
        <f t="shared" si="9"/>
        <v>0</v>
      </c>
      <c r="AG35" s="456">
        <f t="shared" si="11"/>
        <v>0</v>
      </c>
      <c r="AH35" s="56">
        <f>AF35*係数!$H$30+AG35*係数!$H$25</f>
        <v>0</v>
      </c>
      <c r="AI35" s="287">
        <f t="shared" si="7"/>
        <v>0</v>
      </c>
      <c r="AJ35" s="288">
        <f t="shared" si="7"/>
        <v>0</v>
      </c>
      <c r="AK35" s="56">
        <f t="shared" si="8"/>
        <v>0</v>
      </c>
    </row>
    <row r="36" spans="2:37" x14ac:dyDescent="0.45">
      <c r="B36" s="208" t="s">
        <v>132</v>
      </c>
      <c r="C36" s="36"/>
      <c r="D36" s="36"/>
      <c r="E36" s="28"/>
      <c r="F36" s="259">
        <f t="shared" si="1"/>
        <v>1</v>
      </c>
      <c r="G36" s="485"/>
      <c r="H36" s="486"/>
      <c r="I36" s="486"/>
      <c r="J36" s="461"/>
      <c r="K36" s="461"/>
      <c r="L36" s="529">
        <f t="shared" si="2"/>
        <v>0</v>
      </c>
      <c r="M36" s="485"/>
      <c r="N36" s="486"/>
      <c r="O36" s="486"/>
      <c r="P36" s="461"/>
      <c r="Q36" s="461"/>
      <c r="R36" s="456">
        <f t="shared" si="3"/>
        <v>0</v>
      </c>
      <c r="S36" s="21">
        <f t="shared" si="4"/>
        <v>0</v>
      </c>
      <c r="T36" s="487">
        <f t="shared" si="10"/>
        <v>0</v>
      </c>
      <c r="U36" s="56">
        <f>S36*係数!$H$30+T36*係数!$H$25</f>
        <v>0</v>
      </c>
      <c r="V36" s="36"/>
      <c r="W36" s="28"/>
      <c r="X36" s="485"/>
      <c r="Y36" s="488"/>
      <c r="Z36" s="486"/>
      <c r="AA36" s="262">
        <f t="shared" si="5"/>
        <v>0</v>
      </c>
      <c r="AB36" s="485"/>
      <c r="AC36" s="488"/>
      <c r="AD36" s="486"/>
      <c r="AE36" s="1">
        <f t="shared" si="6"/>
        <v>0</v>
      </c>
      <c r="AF36" s="456">
        <f t="shared" si="9"/>
        <v>0</v>
      </c>
      <c r="AG36" s="456">
        <f t="shared" si="11"/>
        <v>0</v>
      </c>
      <c r="AH36" s="56">
        <f>AF36*係数!$H$30+AG36*係数!$H$25</f>
        <v>0</v>
      </c>
      <c r="AI36" s="287">
        <f t="shared" si="7"/>
        <v>0</v>
      </c>
      <c r="AJ36" s="288">
        <f t="shared" si="7"/>
        <v>0</v>
      </c>
      <c r="AK36" s="56">
        <f t="shared" si="8"/>
        <v>0</v>
      </c>
    </row>
    <row r="37" spans="2:37" x14ac:dyDescent="0.45">
      <c r="B37" s="208" t="s">
        <v>133</v>
      </c>
      <c r="C37" s="36"/>
      <c r="D37" s="36"/>
      <c r="E37" s="28"/>
      <c r="F37" s="259">
        <f t="shared" si="1"/>
        <v>1</v>
      </c>
      <c r="G37" s="485"/>
      <c r="H37" s="486"/>
      <c r="I37" s="486"/>
      <c r="J37" s="461"/>
      <c r="K37" s="461"/>
      <c r="L37" s="529">
        <f t="shared" si="2"/>
        <v>0</v>
      </c>
      <c r="M37" s="485"/>
      <c r="N37" s="486"/>
      <c r="O37" s="486"/>
      <c r="P37" s="461"/>
      <c r="Q37" s="461"/>
      <c r="R37" s="456">
        <f t="shared" si="3"/>
        <v>0</v>
      </c>
      <c r="S37" s="21">
        <f t="shared" si="4"/>
        <v>0</v>
      </c>
      <c r="T37" s="487">
        <f t="shared" si="10"/>
        <v>0</v>
      </c>
      <c r="U37" s="56">
        <f>S37*係数!$H$30+T37*係数!$H$25</f>
        <v>0</v>
      </c>
      <c r="V37" s="36"/>
      <c r="W37" s="28"/>
      <c r="X37" s="485"/>
      <c r="Y37" s="488"/>
      <c r="Z37" s="486"/>
      <c r="AA37" s="262">
        <f t="shared" si="5"/>
        <v>0</v>
      </c>
      <c r="AB37" s="485"/>
      <c r="AC37" s="488"/>
      <c r="AD37" s="486"/>
      <c r="AE37" s="1">
        <f t="shared" si="6"/>
        <v>0</v>
      </c>
      <c r="AF37" s="456">
        <f t="shared" si="9"/>
        <v>0</v>
      </c>
      <c r="AG37" s="456">
        <f t="shared" si="11"/>
        <v>0</v>
      </c>
      <c r="AH37" s="56">
        <f>AF37*係数!$H$30+AG37*係数!$H$25</f>
        <v>0</v>
      </c>
      <c r="AI37" s="287">
        <f t="shared" si="7"/>
        <v>0</v>
      </c>
      <c r="AJ37" s="288">
        <f t="shared" si="7"/>
        <v>0</v>
      </c>
      <c r="AK37" s="56">
        <f t="shared" si="8"/>
        <v>0</v>
      </c>
    </row>
    <row r="38" spans="2:37" x14ac:dyDescent="0.45">
      <c r="B38" s="208" t="s">
        <v>134</v>
      </c>
      <c r="C38" s="36"/>
      <c r="D38" s="36"/>
      <c r="E38" s="28"/>
      <c r="F38" s="259">
        <f t="shared" si="1"/>
        <v>1</v>
      </c>
      <c r="G38" s="485"/>
      <c r="H38" s="486"/>
      <c r="I38" s="486"/>
      <c r="J38" s="461"/>
      <c r="K38" s="461"/>
      <c r="L38" s="529">
        <f t="shared" si="2"/>
        <v>0</v>
      </c>
      <c r="M38" s="485"/>
      <c r="N38" s="486"/>
      <c r="O38" s="486"/>
      <c r="P38" s="461"/>
      <c r="Q38" s="461"/>
      <c r="R38" s="456">
        <f t="shared" si="3"/>
        <v>0</v>
      </c>
      <c r="S38" s="21">
        <f t="shared" si="4"/>
        <v>0</v>
      </c>
      <c r="T38" s="487">
        <f t="shared" si="10"/>
        <v>0</v>
      </c>
      <c r="U38" s="56">
        <f>S38*係数!$H$30+T38*係数!$H$25</f>
        <v>0</v>
      </c>
      <c r="V38" s="36"/>
      <c r="W38" s="28"/>
      <c r="X38" s="485"/>
      <c r="Y38" s="488"/>
      <c r="Z38" s="486"/>
      <c r="AA38" s="262">
        <f t="shared" si="5"/>
        <v>0</v>
      </c>
      <c r="AB38" s="485"/>
      <c r="AC38" s="488"/>
      <c r="AD38" s="486"/>
      <c r="AE38" s="1">
        <f t="shared" si="6"/>
        <v>0</v>
      </c>
      <c r="AF38" s="456">
        <f t="shared" si="9"/>
        <v>0</v>
      </c>
      <c r="AG38" s="456">
        <f t="shared" si="11"/>
        <v>0</v>
      </c>
      <c r="AH38" s="56">
        <f>AF38*係数!$H$30+AG38*係数!$H$25</f>
        <v>0</v>
      </c>
      <c r="AI38" s="287">
        <f t="shared" si="7"/>
        <v>0</v>
      </c>
      <c r="AJ38" s="288">
        <f t="shared" si="7"/>
        <v>0</v>
      </c>
      <c r="AK38" s="56">
        <f t="shared" si="8"/>
        <v>0</v>
      </c>
    </row>
    <row r="39" spans="2:37" x14ac:dyDescent="0.45">
      <c r="B39" s="208" t="s">
        <v>135</v>
      </c>
      <c r="C39" s="36"/>
      <c r="D39" s="36"/>
      <c r="E39" s="28"/>
      <c r="F39" s="259">
        <f t="shared" si="1"/>
        <v>1</v>
      </c>
      <c r="G39" s="485"/>
      <c r="H39" s="486"/>
      <c r="I39" s="486"/>
      <c r="J39" s="461"/>
      <c r="K39" s="461"/>
      <c r="L39" s="529">
        <f t="shared" si="2"/>
        <v>0</v>
      </c>
      <c r="M39" s="485"/>
      <c r="N39" s="486"/>
      <c r="O39" s="486"/>
      <c r="P39" s="461"/>
      <c r="Q39" s="461"/>
      <c r="R39" s="456">
        <f t="shared" si="3"/>
        <v>0</v>
      </c>
      <c r="S39" s="21">
        <f t="shared" si="4"/>
        <v>0</v>
      </c>
      <c r="T39" s="487">
        <f t="shared" si="10"/>
        <v>0</v>
      </c>
      <c r="U39" s="56">
        <f>S39*係数!$H$30+T39*係数!$H$25</f>
        <v>0</v>
      </c>
      <c r="V39" s="36"/>
      <c r="W39" s="28"/>
      <c r="X39" s="485"/>
      <c r="Y39" s="488"/>
      <c r="Z39" s="486"/>
      <c r="AA39" s="262">
        <f t="shared" si="5"/>
        <v>0</v>
      </c>
      <c r="AB39" s="485"/>
      <c r="AC39" s="488"/>
      <c r="AD39" s="486"/>
      <c r="AE39" s="1">
        <f t="shared" si="6"/>
        <v>0</v>
      </c>
      <c r="AF39" s="456">
        <f t="shared" si="9"/>
        <v>0</v>
      </c>
      <c r="AG39" s="456">
        <f t="shared" si="11"/>
        <v>0</v>
      </c>
      <c r="AH39" s="56">
        <f>AF39*係数!$H$30+AG39*係数!$H$25</f>
        <v>0</v>
      </c>
      <c r="AI39" s="287">
        <f t="shared" ref="AI39:AJ42" si="12">S39-AF39</f>
        <v>0</v>
      </c>
      <c r="AJ39" s="288">
        <f t="shared" si="12"/>
        <v>0</v>
      </c>
      <c r="AK39" s="56">
        <f t="shared" si="8"/>
        <v>0</v>
      </c>
    </row>
    <row r="40" spans="2:37" x14ac:dyDescent="0.45">
      <c r="B40" s="208" t="s">
        <v>136</v>
      </c>
      <c r="C40" s="36"/>
      <c r="D40" s="36"/>
      <c r="E40" s="28"/>
      <c r="F40" s="259">
        <f t="shared" si="1"/>
        <v>1</v>
      </c>
      <c r="G40" s="485"/>
      <c r="H40" s="486"/>
      <c r="I40" s="486"/>
      <c r="J40" s="461"/>
      <c r="K40" s="461"/>
      <c r="L40" s="529">
        <f t="shared" si="2"/>
        <v>0</v>
      </c>
      <c r="M40" s="485"/>
      <c r="N40" s="486"/>
      <c r="O40" s="486"/>
      <c r="P40" s="461"/>
      <c r="Q40" s="461"/>
      <c r="R40" s="456">
        <f t="shared" si="3"/>
        <v>0</v>
      </c>
      <c r="S40" s="21">
        <f t="shared" si="4"/>
        <v>0</v>
      </c>
      <c r="T40" s="487">
        <f t="shared" si="10"/>
        <v>0</v>
      </c>
      <c r="U40" s="56">
        <f>S40*係数!$H$30+T40*係数!$H$25</f>
        <v>0</v>
      </c>
      <c r="V40" s="36"/>
      <c r="W40" s="28"/>
      <c r="X40" s="485"/>
      <c r="Y40" s="488"/>
      <c r="Z40" s="486"/>
      <c r="AA40" s="262">
        <f t="shared" si="5"/>
        <v>0</v>
      </c>
      <c r="AB40" s="485"/>
      <c r="AC40" s="488"/>
      <c r="AD40" s="486"/>
      <c r="AE40" s="1">
        <f t="shared" si="6"/>
        <v>0</v>
      </c>
      <c r="AF40" s="456">
        <f t="shared" si="9"/>
        <v>0</v>
      </c>
      <c r="AG40" s="456">
        <f t="shared" si="11"/>
        <v>0</v>
      </c>
      <c r="AH40" s="56">
        <f>AF40*係数!$H$30+AG40*係数!$H$25</f>
        <v>0</v>
      </c>
      <c r="AI40" s="287">
        <f t="shared" si="12"/>
        <v>0</v>
      </c>
      <c r="AJ40" s="288">
        <f t="shared" si="12"/>
        <v>0</v>
      </c>
      <c r="AK40" s="56">
        <f t="shared" si="8"/>
        <v>0</v>
      </c>
    </row>
    <row r="41" spans="2:37" x14ac:dyDescent="0.45">
      <c r="B41" s="208" t="s">
        <v>137</v>
      </c>
      <c r="C41" s="36"/>
      <c r="D41" s="36"/>
      <c r="E41" s="28"/>
      <c r="F41" s="259">
        <f t="shared" si="1"/>
        <v>1</v>
      </c>
      <c r="G41" s="485"/>
      <c r="H41" s="486"/>
      <c r="I41" s="486"/>
      <c r="J41" s="461"/>
      <c r="K41" s="461"/>
      <c r="L41" s="529">
        <f t="shared" si="2"/>
        <v>0</v>
      </c>
      <c r="M41" s="485"/>
      <c r="N41" s="486"/>
      <c r="O41" s="486"/>
      <c r="P41" s="461"/>
      <c r="Q41" s="461"/>
      <c r="R41" s="456">
        <f t="shared" si="3"/>
        <v>0</v>
      </c>
      <c r="S41" s="21">
        <f t="shared" si="4"/>
        <v>0</v>
      </c>
      <c r="T41" s="487">
        <f t="shared" si="10"/>
        <v>0</v>
      </c>
      <c r="U41" s="56">
        <f>S41*係数!$H$30+T41*係数!$H$25</f>
        <v>0</v>
      </c>
      <c r="V41" s="36"/>
      <c r="W41" s="28"/>
      <c r="X41" s="485"/>
      <c r="Y41" s="488"/>
      <c r="Z41" s="486"/>
      <c r="AA41" s="262">
        <f t="shared" si="5"/>
        <v>0</v>
      </c>
      <c r="AB41" s="485"/>
      <c r="AC41" s="488"/>
      <c r="AD41" s="486"/>
      <c r="AE41" s="1">
        <f t="shared" si="6"/>
        <v>0</v>
      </c>
      <c r="AF41" s="456">
        <f t="shared" si="9"/>
        <v>0</v>
      </c>
      <c r="AG41" s="456">
        <f t="shared" si="11"/>
        <v>0</v>
      </c>
      <c r="AH41" s="56">
        <f>AF41*係数!$H$30+AG41*係数!$H$25</f>
        <v>0</v>
      </c>
      <c r="AI41" s="287">
        <f t="shared" si="12"/>
        <v>0</v>
      </c>
      <c r="AJ41" s="288">
        <f t="shared" si="12"/>
        <v>0</v>
      </c>
      <c r="AK41" s="56">
        <f t="shared" si="8"/>
        <v>0</v>
      </c>
    </row>
    <row r="42" spans="2:37" x14ac:dyDescent="0.45">
      <c r="B42" s="208" t="s">
        <v>138</v>
      </c>
      <c r="C42" s="36"/>
      <c r="D42" s="36"/>
      <c r="E42" s="28"/>
      <c r="F42" s="259">
        <f t="shared" si="1"/>
        <v>1</v>
      </c>
      <c r="G42" s="485"/>
      <c r="H42" s="486"/>
      <c r="I42" s="486"/>
      <c r="J42" s="461"/>
      <c r="K42" s="461"/>
      <c r="L42" s="529">
        <f t="shared" si="2"/>
        <v>0</v>
      </c>
      <c r="M42" s="485"/>
      <c r="N42" s="486"/>
      <c r="O42" s="486"/>
      <c r="P42" s="461"/>
      <c r="Q42" s="461"/>
      <c r="R42" s="456">
        <f t="shared" si="3"/>
        <v>0</v>
      </c>
      <c r="S42" s="21">
        <f t="shared" si="4"/>
        <v>0</v>
      </c>
      <c r="T42" s="487">
        <f t="shared" si="10"/>
        <v>0</v>
      </c>
      <c r="U42" s="56">
        <f>S42*係数!$H$30+T42*係数!$H$25</f>
        <v>0</v>
      </c>
      <c r="V42" s="36"/>
      <c r="W42" s="28"/>
      <c r="X42" s="485"/>
      <c r="Y42" s="488"/>
      <c r="Z42" s="486"/>
      <c r="AA42" s="262">
        <f t="shared" si="5"/>
        <v>0</v>
      </c>
      <c r="AB42" s="485"/>
      <c r="AC42" s="488"/>
      <c r="AD42" s="486"/>
      <c r="AE42" s="1">
        <f t="shared" si="6"/>
        <v>0</v>
      </c>
      <c r="AF42" s="456">
        <f t="shared" si="9"/>
        <v>0</v>
      </c>
      <c r="AG42" s="456">
        <f t="shared" si="11"/>
        <v>0</v>
      </c>
      <c r="AH42" s="56">
        <f>AF42*係数!$H$30+AG42*係数!$H$25</f>
        <v>0</v>
      </c>
      <c r="AI42" s="287">
        <f t="shared" si="12"/>
        <v>0</v>
      </c>
      <c r="AJ42" s="288">
        <f t="shared" si="12"/>
        <v>0</v>
      </c>
      <c r="AK42" s="56">
        <f t="shared" si="8"/>
        <v>0</v>
      </c>
    </row>
    <row r="43" spans="2:37" x14ac:dyDescent="0.45">
      <c r="B43" s="208" t="s">
        <v>422</v>
      </c>
      <c r="C43" s="36"/>
      <c r="D43" s="36"/>
      <c r="E43" s="28"/>
      <c r="F43" s="259">
        <f t="shared" ref="F43:F52" si="13">IF(D43="",1,MIN(1.5,(2023-D43)*0.05+1))</f>
        <v>1</v>
      </c>
      <c r="G43" s="485"/>
      <c r="H43" s="486"/>
      <c r="I43" s="486"/>
      <c r="J43" s="461"/>
      <c r="K43" s="461"/>
      <c r="L43" s="529">
        <f t="shared" si="2"/>
        <v>0</v>
      </c>
      <c r="M43" s="485"/>
      <c r="N43" s="486"/>
      <c r="O43" s="486"/>
      <c r="P43" s="461"/>
      <c r="Q43" s="461"/>
      <c r="R43" s="456">
        <f t="shared" si="3"/>
        <v>0</v>
      </c>
      <c r="S43" s="21">
        <f t="shared" ref="S43:S52" si="14">F43*E43*(H43*L43*$C$14+N43*R43*$C$15)</f>
        <v>0</v>
      </c>
      <c r="T43" s="487">
        <f t="shared" ref="T43:T52" si="15">IF($H$10="",0,F43*E43*(I43*L43*$C$14+O43*R43*$C$15)*860/$H$10)</f>
        <v>0</v>
      </c>
      <c r="U43" s="56">
        <f>S43*係数!$H$30+T43*係数!$H$25</f>
        <v>0</v>
      </c>
      <c r="V43" s="36"/>
      <c r="W43" s="28"/>
      <c r="X43" s="485"/>
      <c r="Y43" s="488"/>
      <c r="Z43" s="486"/>
      <c r="AA43" s="262">
        <f t="shared" ref="AA43:AA52" si="16">IF(L43="","",L43)</f>
        <v>0</v>
      </c>
      <c r="AB43" s="485"/>
      <c r="AC43" s="488"/>
      <c r="AD43" s="486"/>
      <c r="AE43" s="1">
        <f t="shared" ref="AE43:AE52" si="17">IF(R43="","",R43)</f>
        <v>0</v>
      </c>
      <c r="AF43" s="456">
        <f t="shared" ref="AF43:AF52" si="18">IFERROR(W43*(Y43*AA43*$C$14+AC43*AE43*$C$15),0)</f>
        <v>0</v>
      </c>
      <c r="AG43" s="456">
        <f t="shared" ref="AG43:AG52" si="19">IF($H$10="",0,IFERROR(W43*(Z43*AA43*$C$14+AD43*AE43*$C$15)*860/$H$10,0))</f>
        <v>0</v>
      </c>
      <c r="AH43" s="56">
        <f>AF43*係数!$H$30+AG43*係数!$H$25</f>
        <v>0</v>
      </c>
      <c r="AI43" s="287">
        <f t="shared" ref="AI43:AI52" si="20">S43-AF43</f>
        <v>0</v>
      </c>
      <c r="AJ43" s="288">
        <f t="shared" ref="AJ43:AJ52" si="21">T43-AG43</f>
        <v>0</v>
      </c>
      <c r="AK43" s="56">
        <f t="shared" ref="AK43:AK52" si="22">U43-AH43</f>
        <v>0</v>
      </c>
    </row>
    <row r="44" spans="2:37" x14ac:dyDescent="0.45">
      <c r="B44" s="208" t="s">
        <v>423</v>
      </c>
      <c r="C44" s="36"/>
      <c r="D44" s="36"/>
      <c r="E44" s="28"/>
      <c r="F44" s="259">
        <f t="shared" si="13"/>
        <v>1</v>
      </c>
      <c r="G44" s="485"/>
      <c r="H44" s="486"/>
      <c r="I44" s="486"/>
      <c r="J44" s="461"/>
      <c r="K44" s="461"/>
      <c r="L44" s="529">
        <f t="shared" si="2"/>
        <v>0</v>
      </c>
      <c r="M44" s="485"/>
      <c r="N44" s="486"/>
      <c r="O44" s="486"/>
      <c r="P44" s="461"/>
      <c r="Q44" s="461"/>
      <c r="R44" s="456">
        <f t="shared" si="3"/>
        <v>0</v>
      </c>
      <c r="S44" s="21">
        <f t="shared" si="14"/>
        <v>0</v>
      </c>
      <c r="T44" s="487">
        <f t="shared" si="15"/>
        <v>0</v>
      </c>
      <c r="U44" s="56">
        <f>S44*係数!$H$30+T44*係数!$H$25</f>
        <v>0</v>
      </c>
      <c r="V44" s="36"/>
      <c r="W44" s="28"/>
      <c r="X44" s="485"/>
      <c r="Y44" s="488"/>
      <c r="Z44" s="486"/>
      <c r="AA44" s="262">
        <f t="shared" si="16"/>
        <v>0</v>
      </c>
      <c r="AB44" s="485"/>
      <c r="AC44" s="488"/>
      <c r="AD44" s="486"/>
      <c r="AE44" s="1">
        <f t="shared" si="17"/>
        <v>0</v>
      </c>
      <c r="AF44" s="456">
        <f t="shared" si="18"/>
        <v>0</v>
      </c>
      <c r="AG44" s="456">
        <f t="shared" si="19"/>
        <v>0</v>
      </c>
      <c r="AH44" s="56">
        <f>AF44*係数!$H$30+AG44*係数!$H$25</f>
        <v>0</v>
      </c>
      <c r="AI44" s="287">
        <f t="shared" si="20"/>
        <v>0</v>
      </c>
      <c r="AJ44" s="288">
        <f t="shared" si="21"/>
        <v>0</v>
      </c>
      <c r="AK44" s="56">
        <f t="shared" si="22"/>
        <v>0</v>
      </c>
    </row>
    <row r="45" spans="2:37" x14ac:dyDescent="0.45">
      <c r="B45" s="208" t="s">
        <v>424</v>
      </c>
      <c r="C45" s="36"/>
      <c r="D45" s="36"/>
      <c r="E45" s="28"/>
      <c r="F45" s="259">
        <f t="shared" si="13"/>
        <v>1</v>
      </c>
      <c r="G45" s="485"/>
      <c r="H45" s="486"/>
      <c r="I45" s="486"/>
      <c r="J45" s="461"/>
      <c r="K45" s="461"/>
      <c r="L45" s="529">
        <f t="shared" si="2"/>
        <v>0</v>
      </c>
      <c r="M45" s="485"/>
      <c r="N45" s="486"/>
      <c r="O45" s="486"/>
      <c r="P45" s="461"/>
      <c r="Q45" s="461"/>
      <c r="R45" s="456">
        <f t="shared" si="3"/>
        <v>0</v>
      </c>
      <c r="S45" s="21">
        <f t="shared" si="14"/>
        <v>0</v>
      </c>
      <c r="T45" s="487">
        <f t="shared" si="15"/>
        <v>0</v>
      </c>
      <c r="U45" s="56">
        <f>S45*係数!$H$30+T45*係数!$H$25</f>
        <v>0</v>
      </c>
      <c r="V45" s="36"/>
      <c r="W45" s="28"/>
      <c r="X45" s="485"/>
      <c r="Y45" s="488"/>
      <c r="Z45" s="486"/>
      <c r="AA45" s="262">
        <f t="shared" si="16"/>
        <v>0</v>
      </c>
      <c r="AB45" s="485"/>
      <c r="AC45" s="488"/>
      <c r="AD45" s="486"/>
      <c r="AE45" s="1">
        <f t="shared" si="17"/>
        <v>0</v>
      </c>
      <c r="AF45" s="456">
        <f t="shared" si="18"/>
        <v>0</v>
      </c>
      <c r="AG45" s="456">
        <f t="shared" si="19"/>
        <v>0</v>
      </c>
      <c r="AH45" s="56">
        <f>AF45*係数!$H$30+AG45*係数!$H$25</f>
        <v>0</v>
      </c>
      <c r="AI45" s="287">
        <f t="shared" si="20"/>
        <v>0</v>
      </c>
      <c r="AJ45" s="288">
        <f t="shared" si="21"/>
        <v>0</v>
      </c>
      <c r="AK45" s="56">
        <f t="shared" si="22"/>
        <v>0</v>
      </c>
    </row>
    <row r="46" spans="2:37" x14ac:dyDescent="0.45">
      <c r="B46" s="208" t="s">
        <v>425</v>
      </c>
      <c r="C46" s="36"/>
      <c r="D46" s="36"/>
      <c r="E46" s="28"/>
      <c r="F46" s="259">
        <f t="shared" si="13"/>
        <v>1</v>
      </c>
      <c r="G46" s="485"/>
      <c r="H46" s="486"/>
      <c r="I46" s="486"/>
      <c r="J46" s="461"/>
      <c r="K46" s="461"/>
      <c r="L46" s="529">
        <f t="shared" si="2"/>
        <v>0</v>
      </c>
      <c r="M46" s="485"/>
      <c r="N46" s="486"/>
      <c r="O46" s="486"/>
      <c r="P46" s="461"/>
      <c r="Q46" s="461"/>
      <c r="R46" s="456">
        <f t="shared" si="3"/>
        <v>0</v>
      </c>
      <c r="S46" s="21">
        <f t="shared" si="14"/>
        <v>0</v>
      </c>
      <c r="T46" s="487">
        <f t="shared" si="15"/>
        <v>0</v>
      </c>
      <c r="U46" s="56">
        <f>S46*係数!$H$30+T46*係数!$H$25</f>
        <v>0</v>
      </c>
      <c r="V46" s="36"/>
      <c r="W46" s="28"/>
      <c r="X46" s="485"/>
      <c r="Y46" s="488"/>
      <c r="Z46" s="486"/>
      <c r="AA46" s="262">
        <f t="shared" si="16"/>
        <v>0</v>
      </c>
      <c r="AB46" s="485"/>
      <c r="AC46" s="488"/>
      <c r="AD46" s="486"/>
      <c r="AE46" s="1">
        <f t="shared" si="17"/>
        <v>0</v>
      </c>
      <c r="AF46" s="456">
        <f t="shared" si="18"/>
        <v>0</v>
      </c>
      <c r="AG46" s="456">
        <f t="shared" si="19"/>
        <v>0</v>
      </c>
      <c r="AH46" s="56">
        <f>AF46*係数!$H$30+AG46*係数!$H$25</f>
        <v>0</v>
      </c>
      <c r="AI46" s="287">
        <f t="shared" si="20"/>
        <v>0</v>
      </c>
      <c r="AJ46" s="288">
        <f t="shared" si="21"/>
        <v>0</v>
      </c>
      <c r="AK46" s="56">
        <f t="shared" si="22"/>
        <v>0</v>
      </c>
    </row>
    <row r="47" spans="2:37" x14ac:dyDescent="0.45">
      <c r="B47" s="208" t="s">
        <v>426</v>
      </c>
      <c r="C47" s="36"/>
      <c r="D47" s="36"/>
      <c r="E47" s="28"/>
      <c r="F47" s="259">
        <f t="shared" si="13"/>
        <v>1</v>
      </c>
      <c r="G47" s="485"/>
      <c r="H47" s="486"/>
      <c r="I47" s="486"/>
      <c r="J47" s="461"/>
      <c r="K47" s="461"/>
      <c r="L47" s="529">
        <f t="shared" si="2"/>
        <v>0</v>
      </c>
      <c r="M47" s="485"/>
      <c r="N47" s="486"/>
      <c r="O47" s="486"/>
      <c r="P47" s="461"/>
      <c r="Q47" s="461"/>
      <c r="R47" s="456">
        <f t="shared" si="3"/>
        <v>0</v>
      </c>
      <c r="S47" s="21">
        <f t="shared" si="14"/>
        <v>0</v>
      </c>
      <c r="T47" s="487">
        <f t="shared" si="15"/>
        <v>0</v>
      </c>
      <c r="U47" s="56">
        <f>S47*係数!$H$30+T47*係数!$H$25</f>
        <v>0</v>
      </c>
      <c r="V47" s="36"/>
      <c r="W47" s="28"/>
      <c r="X47" s="485"/>
      <c r="Y47" s="488"/>
      <c r="Z47" s="486"/>
      <c r="AA47" s="262">
        <f t="shared" si="16"/>
        <v>0</v>
      </c>
      <c r="AB47" s="485"/>
      <c r="AC47" s="488"/>
      <c r="AD47" s="486"/>
      <c r="AE47" s="1">
        <f t="shared" si="17"/>
        <v>0</v>
      </c>
      <c r="AF47" s="456">
        <f t="shared" si="18"/>
        <v>0</v>
      </c>
      <c r="AG47" s="456">
        <f t="shared" si="19"/>
        <v>0</v>
      </c>
      <c r="AH47" s="56">
        <f>AF47*係数!$H$30+AG47*係数!$H$25</f>
        <v>0</v>
      </c>
      <c r="AI47" s="287">
        <f t="shared" si="20"/>
        <v>0</v>
      </c>
      <c r="AJ47" s="288">
        <f t="shared" si="21"/>
        <v>0</v>
      </c>
      <c r="AK47" s="56">
        <f t="shared" si="22"/>
        <v>0</v>
      </c>
    </row>
    <row r="48" spans="2:37" x14ac:dyDescent="0.45">
      <c r="B48" s="208" t="s">
        <v>427</v>
      </c>
      <c r="C48" s="36"/>
      <c r="D48" s="36"/>
      <c r="E48" s="28"/>
      <c r="F48" s="259">
        <f t="shared" si="13"/>
        <v>1</v>
      </c>
      <c r="G48" s="485"/>
      <c r="H48" s="486"/>
      <c r="I48" s="486"/>
      <c r="J48" s="461"/>
      <c r="K48" s="461"/>
      <c r="L48" s="529">
        <f t="shared" si="2"/>
        <v>0</v>
      </c>
      <c r="M48" s="485"/>
      <c r="N48" s="486"/>
      <c r="O48" s="486"/>
      <c r="P48" s="461"/>
      <c r="Q48" s="461"/>
      <c r="R48" s="456">
        <f t="shared" si="3"/>
        <v>0</v>
      </c>
      <c r="S48" s="21">
        <f t="shared" si="14"/>
        <v>0</v>
      </c>
      <c r="T48" s="487">
        <f t="shared" si="15"/>
        <v>0</v>
      </c>
      <c r="U48" s="56">
        <f>S48*係数!$H$30+T48*係数!$H$25</f>
        <v>0</v>
      </c>
      <c r="V48" s="36"/>
      <c r="W48" s="28"/>
      <c r="X48" s="485"/>
      <c r="Y48" s="488"/>
      <c r="Z48" s="486"/>
      <c r="AA48" s="262">
        <f t="shared" si="16"/>
        <v>0</v>
      </c>
      <c r="AB48" s="485"/>
      <c r="AC48" s="488"/>
      <c r="AD48" s="486"/>
      <c r="AE48" s="1">
        <f t="shared" si="17"/>
        <v>0</v>
      </c>
      <c r="AF48" s="456">
        <f t="shared" si="18"/>
        <v>0</v>
      </c>
      <c r="AG48" s="456">
        <f t="shared" si="19"/>
        <v>0</v>
      </c>
      <c r="AH48" s="56">
        <f>AF48*係数!$H$30+AG48*係数!$H$25</f>
        <v>0</v>
      </c>
      <c r="AI48" s="287">
        <f t="shared" si="20"/>
        <v>0</v>
      </c>
      <c r="AJ48" s="288">
        <f t="shared" si="21"/>
        <v>0</v>
      </c>
      <c r="AK48" s="56">
        <f t="shared" si="22"/>
        <v>0</v>
      </c>
    </row>
    <row r="49" spans="2:37" x14ac:dyDescent="0.45">
      <c r="B49" s="208" t="s">
        <v>428</v>
      </c>
      <c r="C49" s="36"/>
      <c r="D49" s="36"/>
      <c r="E49" s="28"/>
      <c r="F49" s="259">
        <f t="shared" si="13"/>
        <v>1</v>
      </c>
      <c r="G49" s="485"/>
      <c r="H49" s="486"/>
      <c r="I49" s="486"/>
      <c r="J49" s="461"/>
      <c r="K49" s="461"/>
      <c r="L49" s="529">
        <f t="shared" si="2"/>
        <v>0</v>
      </c>
      <c r="M49" s="485"/>
      <c r="N49" s="486"/>
      <c r="O49" s="486"/>
      <c r="P49" s="461"/>
      <c r="Q49" s="461"/>
      <c r="R49" s="456">
        <f t="shared" si="3"/>
        <v>0</v>
      </c>
      <c r="S49" s="21">
        <f t="shared" si="14"/>
        <v>0</v>
      </c>
      <c r="T49" s="487">
        <f t="shared" si="15"/>
        <v>0</v>
      </c>
      <c r="U49" s="56">
        <f>S49*係数!$H$30+T49*係数!$H$25</f>
        <v>0</v>
      </c>
      <c r="V49" s="36"/>
      <c r="W49" s="28"/>
      <c r="X49" s="485"/>
      <c r="Y49" s="488"/>
      <c r="Z49" s="486"/>
      <c r="AA49" s="262">
        <f t="shared" si="16"/>
        <v>0</v>
      </c>
      <c r="AB49" s="485"/>
      <c r="AC49" s="488"/>
      <c r="AD49" s="486"/>
      <c r="AE49" s="1">
        <f t="shared" si="17"/>
        <v>0</v>
      </c>
      <c r="AF49" s="456">
        <f t="shared" si="18"/>
        <v>0</v>
      </c>
      <c r="AG49" s="456">
        <f t="shared" si="19"/>
        <v>0</v>
      </c>
      <c r="AH49" s="56">
        <f>AF49*係数!$H$30+AG49*係数!$H$25</f>
        <v>0</v>
      </c>
      <c r="AI49" s="287">
        <f t="shared" si="20"/>
        <v>0</v>
      </c>
      <c r="AJ49" s="288">
        <f t="shared" si="21"/>
        <v>0</v>
      </c>
      <c r="AK49" s="56">
        <f t="shared" si="22"/>
        <v>0</v>
      </c>
    </row>
    <row r="50" spans="2:37" x14ac:dyDescent="0.45">
      <c r="B50" s="208" t="s">
        <v>429</v>
      </c>
      <c r="C50" s="36"/>
      <c r="D50" s="36"/>
      <c r="E50" s="28"/>
      <c r="F50" s="259">
        <f t="shared" si="13"/>
        <v>1</v>
      </c>
      <c r="G50" s="485"/>
      <c r="H50" s="486"/>
      <c r="I50" s="486"/>
      <c r="J50" s="461"/>
      <c r="K50" s="461"/>
      <c r="L50" s="529">
        <f t="shared" si="2"/>
        <v>0</v>
      </c>
      <c r="M50" s="485"/>
      <c r="N50" s="486"/>
      <c r="O50" s="486"/>
      <c r="P50" s="461"/>
      <c r="Q50" s="461"/>
      <c r="R50" s="456">
        <f t="shared" si="3"/>
        <v>0</v>
      </c>
      <c r="S50" s="21">
        <f t="shared" si="14"/>
        <v>0</v>
      </c>
      <c r="T50" s="487">
        <f t="shared" si="15"/>
        <v>0</v>
      </c>
      <c r="U50" s="56">
        <f>S50*係数!$H$30+T50*係数!$H$25</f>
        <v>0</v>
      </c>
      <c r="V50" s="36"/>
      <c r="W50" s="28"/>
      <c r="X50" s="485"/>
      <c r="Y50" s="488"/>
      <c r="Z50" s="486"/>
      <c r="AA50" s="262">
        <f t="shared" si="16"/>
        <v>0</v>
      </c>
      <c r="AB50" s="485"/>
      <c r="AC50" s="488"/>
      <c r="AD50" s="486"/>
      <c r="AE50" s="1">
        <f t="shared" si="17"/>
        <v>0</v>
      </c>
      <c r="AF50" s="456">
        <f t="shared" si="18"/>
        <v>0</v>
      </c>
      <c r="AG50" s="456">
        <f t="shared" si="19"/>
        <v>0</v>
      </c>
      <c r="AH50" s="56">
        <f>AF50*係数!$H$30+AG50*係数!$H$25</f>
        <v>0</v>
      </c>
      <c r="AI50" s="287">
        <f t="shared" si="20"/>
        <v>0</v>
      </c>
      <c r="AJ50" s="288">
        <f t="shared" si="21"/>
        <v>0</v>
      </c>
      <c r="AK50" s="56">
        <f t="shared" si="22"/>
        <v>0</v>
      </c>
    </row>
    <row r="51" spans="2:37" x14ac:dyDescent="0.45">
      <c r="B51" s="208" t="s">
        <v>430</v>
      </c>
      <c r="C51" s="36"/>
      <c r="D51" s="36"/>
      <c r="E51" s="28"/>
      <c r="F51" s="259">
        <f t="shared" si="13"/>
        <v>1</v>
      </c>
      <c r="G51" s="485"/>
      <c r="H51" s="486"/>
      <c r="I51" s="486"/>
      <c r="J51" s="461"/>
      <c r="K51" s="461"/>
      <c r="L51" s="529">
        <f t="shared" si="2"/>
        <v>0</v>
      </c>
      <c r="M51" s="485"/>
      <c r="N51" s="486"/>
      <c r="O51" s="486"/>
      <c r="P51" s="461"/>
      <c r="Q51" s="461"/>
      <c r="R51" s="456">
        <f t="shared" si="3"/>
        <v>0</v>
      </c>
      <c r="S51" s="21">
        <f t="shared" si="14"/>
        <v>0</v>
      </c>
      <c r="T51" s="487">
        <f t="shared" si="15"/>
        <v>0</v>
      </c>
      <c r="U51" s="56">
        <f>S51*係数!$H$30+T51*係数!$H$25</f>
        <v>0</v>
      </c>
      <c r="V51" s="36"/>
      <c r="W51" s="28"/>
      <c r="X51" s="485"/>
      <c r="Y51" s="488"/>
      <c r="Z51" s="486"/>
      <c r="AA51" s="262">
        <f t="shared" si="16"/>
        <v>0</v>
      </c>
      <c r="AB51" s="485"/>
      <c r="AC51" s="488"/>
      <c r="AD51" s="486"/>
      <c r="AE51" s="1">
        <f t="shared" si="17"/>
        <v>0</v>
      </c>
      <c r="AF51" s="456">
        <f t="shared" si="18"/>
        <v>0</v>
      </c>
      <c r="AG51" s="456">
        <f t="shared" si="19"/>
        <v>0</v>
      </c>
      <c r="AH51" s="56">
        <f>AF51*係数!$H$30+AG51*係数!$H$25</f>
        <v>0</v>
      </c>
      <c r="AI51" s="287">
        <f t="shared" si="20"/>
        <v>0</v>
      </c>
      <c r="AJ51" s="288">
        <f t="shared" si="21"/>
        <v>0</v>
      </c>
      <c r="AK51" s="56">
        <f t="shared" si="22"/>
        <v>0</v>
      </c>
    </row>
    <row r="52" spans="2:37" x14ac:dyDescent="0.45">
      <c r="B52" s="208" t="s">
        <v>431</v>
      </c>
      <c r="C52" s="36"/>
      <c r="D52" s="36"/>
      <c r="E52" s="28"/>
      <c r="F52" s="259">
        <f t="shared" si="13"/>
        <v>1</v>
      </c>
      <c r="G52" s="485"/>
      <c r="H52" s="486"/>
      <c r="I52" s="486"/>
      <c r="J52" s="461"/>
      <c r="K52" s="461"/>
      <c r="L52" s="529">
        <f t="shared" si="2"/>
        <v>0</v>
      </c>
      <c r="M52" s="485"/>
      <c r="N52" s="486"/>
      <c r="O52" s="486"/>
      <c r="P52" s="461"/>
      <c r="Q52" s="461"/>
      <c r="R52" s="456">
        <f t="shared" si="3"/>
        <v>0</v>
      </c>
      <c r="S52" s="21">
        <f t="shared" si="14"/>
        <v>0</v>
      </c>
      <c r="T52" s="487">
        <f t="shared" si="15"/>
        <v>0</v>
      </c>
      <c r="U52" s="56">
        <f>S52*係数!$H$30+T52*係数!$H$25</f>
        <v>0</v>
      </c>
      <c r="V52" s="36"/>
      <c r="W52" s="28"/>
      <c r="X52" s="485"/>
      <c r="Y52" s="488"/>
      <c r="Z52" s="486"/>
      <c r="AA52" s="262">
        <f t="shared" si="16"/>
        <v>0</v>
      </c>
      <c r="AB52" s="485"/>
      <c r="AC52" s="488"/>
      <c r="AD52" s="486"/>
      <c r="AE52" s="1">
        <f t="shared" si="17"/>
        <v>0</v>
      </c>
      <c r="AF52" s="456">
        <f t="shared" si="18"/>
        <v>0</v>
      </c>
      <c r="AG52" s="456">
        <f t="shared" si="19"/>
        <v>0</v>
      </c>
      <c r="AH52" s="56">
        <f>AF52*係数!$H$30+AG52*係数!$H$25</f>
        <v>0</v>
      </c>
      <c r="AI52" s="287">
        <f t="shared" si="20"/>
        <v>0</v>
      </c>
      <c r="AJ52" s="288">
        <f t="shared" si="21"/>
        <v>0</v>
      </c>
      <c r="AK52" s="56">
        <f t="shared" si="22"/>
        <v>0</v>
      </c>
    </row>
  </sheetData>
  <sheetProtection algorithmName="SHA-512" hashValue="cCwMltnOwGsPGNyrsIDM1pDqDvAiVQiWXtfnKHkMIMmwm8x7xQlBmmryk/7VXblV5vAYb/9/RhDplZyyPERhig==" saltValue="sG7yp/qvWCZUidMMXZSHcA==" spinCount="100000" sheet="1" objects="1" scenarios="1" formatCells="0" formatColumns="0" formatRows="0"/>
  <mergeCells count="19">
    <mergeCell ref="M3:W3"/>
    <mergeCell ref="Y3:Z3"/>
    <mergeCell ref="M4:W4"/>
    <mergeCell ref="Y4:Y5"/>
    <mergeCell ref="M6:W6"/>
    <mergeCell ref="D3:E3"/>
    <mergeCell ref="D4:E4"/>
    <mergeCell ref="D5:E5"/>
    <mergeCell ref="D6:E6"/>
    <mergeCell ref="D7:E7"/>
    <mergeCell ref="S7:W8"/>
    <mergeCell ref="Y7:Z7"/>
    <mergeCell ref="M8:P8"/>
    <mergeCell ref="B17:B19"/>
    <mergeCell ref="AI17:AK18"/>
    <mergeCell ref="H10:I10"/>
    <mergeCell ref="H9:I9"/>
    <mergeCell ref="D8:E8"/>
    <mergeCell ref="M7:P7"/>
  </mergeCells>
  <phoneticPr fontId="5"/>
  <conditionalFormatting sqref="D10:D15">
    <cfRule type="expression" dxfId="84" priority="5">
      <formula>$D$1="なし"</formula>
    </cfRule>
  </conditionalFormatting>
  <conditionalFormatting sqref="AJ23:AJ52">
    <cfRule type="expression" dxfId="83" priority="4">
      <formula>$D$1="なし"</formula>
    </cfRule>
  </conditionalFormatting>
  <conditionalFormatting sqref="C14:C15 E10:E15 G7:H8 J4:J8 AK23:AK52 C23:AI52">
    <cfRule type="expression" dxfId="82" priority="6">
      <formula>$F$1="なし"</formula>
    </cfRule>
  </conditionalFormatting>
  <conditionalFormatting sqref="X22">
    <cfRule type="cellIs" dxfId="81" priority="3" operator="greaterThan">
      <formula>$G$22</formula>
    </cfRule>
  </conditionalFormatting>
  <conditionalFormatting sqref="AB22">
    <cfRule type="cellIs" dxfId="80" priority="2" operator="greaterThan">
      <formula>$M$22</formula>
    </cfRule>
  </conditionalFormatting>
  <conditionalFormatting sqref="S7:W8">
    <cfRule type="cellIs" dxfId="79" priority="1" operator="notEqual">
      <formula>"ー"</formula>
    </cfRule>
  </conditionalFormatting>
  <dataValidations count="4">
    <dataValidation type="decimal" errorStyle="warning" operator="lessThanOrEqual" allowBlank="1" showInputMessage="1" showErrorMessage="1" errorTitle="負荷率の変更について" error="負荷率を変更する場合は、値の根拠となる資料（省エネ診断報告書等）を別途提出してください。" sqref="C14:C15" xr:uid="{00000000-0002-0000-0500-000000000000}">
      <formula1>0.4</formula1>
    </dataValidation>
    <dataValidation type="whole" errorStyle="warning" allowBlank="1" showInputMessage="1" showErrorMessage="1" errorTitle="台数の増減" sqref="W21" xr:uid="{00000000-0002-0000-0500-000001000000}">
      <formula1>0</formula1>
      <formula2>E21</formula2>
    </dataValidation>
    <dataValidation type="list" allowBlank="1" showInputMessage="1" showErrorMessage="1" sqref="E10" xr:uid="{00000000-0002-0000-0500-000002000000}">
      <formula1>"13A,12A,LP"</formula1>
    </dataValidation>
    <dataValidation type="list" allowBlank="1" showInputMessage="1" showErrorMessage="1" sqref="D10" xr:uid="{00000000-0002-0000-0500-000003000000}">
      <formula1>"都市ガス,液化石油ガス（LPG）"</formula1>
    </dataValidation>
  </dataValidations>
  <pageMargins left="0.70866141732283472" right="0.70866141732283472" top="0.74803149606299213" bottom="0.74803149606299213" header="0.31496062992125984" footer="0.31496062992125984"/>
  <pageSetup paperSize="8" scale="43" orientation="landscape" r:id="rId1"/>
  <ignoredErrors>
    <ignoredError sqref="AH22:AK22 I7 L22:U22 M21:U21" formula="1"/>
    <ignoredError sqref="L23:L52 R23:R52" unlockedFormula="1"/>
    <ignoredError sqref="L21" formula="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4"/>
  <sheetViews>
    <sheetView view="pageBreakPreview" zoomScale="70" zoomScaleNormal="70" zoomScaleSheetLayoutView="70" workbookViewId="0">
      <pane ySplit="1" topLeftCell="A2" activePane="bottomLeft" state="frozen"/>
      <selection activeCell="B30" sqref="B30"/>
      <selection pane="bottomLeft" activeCell="C20" sqref="C20"/>
    </sheetView>
  </sheetViews>
  <sheetFormatPr defaultColWidth="8.69921875" defaultRowHeight="18" x14ac:dyDescent="0.45"/>
  <cols>
    <col min="1" max="1" width="7.19921875" customWidth="1"/>
    <col min="2" max="2" width="6.796875" customWidth="1"/>
    <col min="3" max="3" width="9.69921875" customWidth="1"/>
    <col min="4" max="8" width="9.5" customWidth="1"/>
    <col min="9" max="9" width="11.09765625" customWidth="1"/>
    <col min="10" max="16" width="9.5" customWidth="1"/>
    <col min="17" max="18" width="10.69921875" customWidth="1"/>
    <col min="19" max="23" width="9.5" customWidth="1"/>
    <col min="24" max="24" width="9.59765625" customWidth="1"/>
    <col min="25" max="31" width="9.5" customWidth="1"/>
    <col min="32" max="32" width="10.796875" customWidth="1"/>
    <col min="33" max="33" width="11" bestFit="1" customWidth="1"/>
    <col min="34" max="35" width="9.19921875" bestFit="1" customWidth="1"/>
    <col min="36" max="36" width="10" bestFit="1" customWidth="1"/>
  </cols>
  <sheetData>
    <row r="1" spans="1:40" ht="28.8" x14ac:dyDescent="0.7">
      <c r="A1" s="100" t="s">
        <v>568</v>
      </c>
      <c r="F1" s="235"/>
      <c r="G1" s="194"/>
      <c r="I1" s="195"/>
      <c r="L1" s="196"/>
    </row>
    <row r="2" spans="1:40" x14ac:dyDescent="0.45">
      <c r="A2" t="s">
        <v>517</v>
      </c>
    </row>
    <row r="3" spans="1:40" x14ac:dyDescent="0.45">
      <c r="D3" s="594" t="s">
        <v>141</v>
      </c>
      <c r="E3" s="595"/>
      <c r="F3" s="208" t="s">
        <v>140</v>
      </c>
      <c r="G3" s="197" t="s">
        <v>76</v>
      </c>
      <c r="H3" s="197" t="s">
        <v>87</v>
      </c>
      <c r="I3" s="197" t="s">
        <v>193</v>
      </c>
      <c r="J3" s="198" t="s">
        <v>197</v>
      </c>
      <c r="L3" s="22"/>
      <c r="M3" s="619" t="s">
        <v>529</v>
      </c>
      <c r="N3" s="620"/>
      <c r="O3" s="620"/>
      <c r="P3" s="620"/>
      <c r="Q3" s="620"/>
      <c r="R3" s="620"/>
      <c r="S3" s="620"/>
      <c r="T3" s="620"/>
      <c r="U3" s="621"/>
    </row>
    <row r="4" spans="1:40" x14ac:dyDescent="0.45">
      <c r="D4" s="592" t="s">
        <v>385</v>
      </c>
      <c r="E4" s="593"/>
      <c r="F4" s="211" t="s">
        <v>62</v>
      </c>
      <c r="G4" s="519">
        <f>U19</f>
        <v>0</v>
      </c>
      <c r="H4" s="519">
        <f>AJ19</f>
        <v>0</v>
      </c>
      <c r="I4" s="520">
        <f>G4-H4</f>
        <v>0</v>
      </c>
      <c r="J4" s="40">
        <f>IF(OR(G4=0,I4=0),0,I4/G4)</f>
        <v>0</v>
      </c>
      <c r="L4" s="272"/>
      <c r="M4" s="624"/>
      <c r="N4" s="625"/>
      <c r="O4" s="625"/>
      <c r="P4" s="625"/>
      <c r="Q4" s="625"/>
      <c r="R4" s="625"/>
      <c r="S4" s="625"/>
      <c r="T4" s="625"/>
      <c r="U4" s="626"/>
    </row>
    <row r="5" spans="1:40" x14ac:dyDescent="0.45">
      <c r="D5" s="592" t="s">
        <v>4</v>
      </c>
      <c r="E5" s="593"/>
      <c r="F5" s="200" t="s">
        <v>90</v>
      </c>
      <c r="G5" s="445" t="str">
        <f>V19</f>
        <v>ー</v>
      </c>
      <c r="H5" s="445" t="str">
        <f>AK19</f>
        <v>ー</v>
      </c>
      <c r="I5" s="445" t="str">
        <f>IF(OR(G5="ー",H5="ー"),"ー",G5-H5)</f>
        <v>ー</v>
      </c>
      <c r="J5" s="40" t="str">
        <f>IF(OR(G5="ー",I5="ー"),"ー",I5/G5)</f>
        <v>ー</v>
      </c>
    </row>
    <row r="6" spans="1:40" x14ac:dyDescent="0.45">
      <c r="D6" s="592" t="s">
        <v>516</v>
      </c>
      <c r="E6" s="593"/>
      <c r="F6" s="200" t="s">
        <v>485</v>
      </c>
      <c r="G6" s="440">
        <f>W19</f>
        <v>0</v>
      </c>
      <c r="H6" s="440">
        <f>AL19</f>
        <v>0</v>
      </c>
      <c r="I6" s="521">
        <f>G6-H6</f>
        <v>0</v>
      </c>
      <c r="J6" s="40">
        <f>IF(OR(G6=0,I6=0),0,I6/G6)</f>
        <v>0</v>
      </c>
      <c r="M6" s="594" t="s">
        <v>569</v>
      </c>
      <c r="N6" s="608"/>
      <c r="O6" s="608"/>
      <c r="P6" s="608"/>
      <c r="Q6" s="608"/>
      <c r="R6" s="608"/>
      <c r="S6" s="608"/>
      <c r="T6" s="608"/>
      <c r="U6" s="595"/>
    </row>
    <row r="7" spans="1:40" ht="18" customHeight="1" x14ac:dyDescent="0.45">
      <c r="M7" s="653" t="s">
        <v>141</v>
      </c>
      <c r="N7" s="654"/>
      <c r="O7" s="271" t="s">
        <v>570</v>
      </c>
      <c r="P7" s="289"/>
      <c r="Q7" s="271" t="s">
        <v>87</v>
      </c>
      <c r="R7" s="289"/>
      <c r="S7" s="640" t="str">
        <f>IF(OR(O9&lt;Q9,P9&lt;R9),"やむを得ず増加する場合は特記事項欄に理由を記載してください。(要根拠資料提出)",IF(OR(O9&gt;Q9,P9&gt;R9),"減少する理由を特記事項欄に記載してください。","ー"))</f>
        <v>ー</v>
      </c>
      <c r="T7" s="641"/>
      <c r="U7" s="642"/>
    </row>
    <row r="8" spans="1:40" x14ac:dyDescent="0.45">
      <c r="M8" s="655"/>
      <c r="N8" s="656"/>
      <c r="O8" s="200" t="s">
        <v>571</v>
      </c>
      <c r="P8" s="200" t="s">
        <v>201</v>
      </c>
      <c r="Q8" s="200" t="s">
        <v>571</v>
      </c>
      <c r="R8" s="200" t="s">
        <v>201</v>
      </c>
      <c r="S8" s="657"/>
      <c r="T8" s="658"/>
      <c r="U8" s="659"/>
    </row>
    <row r="9" spans="1:40" x14ac:dyDescent="0.45">
      <c r="D9" s="22"/>
      <c r="E9" s="43"/>
      <c r="M9" s="638" t="s">
        <v>562</v>
      </c>
      <c r="N9" s="639"/>
      <c r="O9" s="1">
        <f>SUMPRODUCT(($K$20:$K$34=O8)*($K$20:$K$34=O8),$J$20:$J$34*$F$20:$F$34)</f>
        <v>0</v>
      </c>
      <c r="P9" s="1">
        <f>SUMPRODUCT(($K$20:$K$34=P8)*($K$20:$K$34=P8),$J$20:$J$34*$F$20:$F$34)</f>
        <v>0</v>
      </c>
      <c r="Q9" s="1">
        <f>SUMPRODUCT(($AB$20:$AB$34=Q8)*($AB$20:$AB$34=Q8),$AA$20:$AA$34*$Y$20:$Y$34)</f>
        <v>0</v>
      </c>
      <c r="R9" s="1">
        <f>SUMPRODUCT(($AB$20:$AB$34=R8)*($AB$20:$AB$34=R8),$AA$20:$AA$34*$Y$20:$Y$34)</f>
        <v>0</v>
      </c>
      <c r="S9" s="643"/>
      <c r="T9" s="644"/>
      <c r="U9" s="645"/>
    </row>
    <row r="10" spans="1:40" x14ac:dyDescent="0.45">
      <c r="A10" s="22"/>
      <c r="D10" s="272"/>
    </row>
    <row r="11" spans="1:40" x14ac:dyDescent="0.45">
      <c r="A11" s="22"/>
      <c r="B11" s="202"/>
      <c r="C11" s="272"/>
    </row>
    <row r="12" spans="1:40" x14ac:dyDescent="0.45">
      <c r="A12" s="22"/>
      <c r="B12" s="203"/>
      <c r="C12" s="272"/>
      <c r="R12" s="272"/>
    </row>
    <row r="13" spans="1:40" x14ac:dyDescent="0.45">
      <c r="B13" s="203"/>
    </row>
    <row r="14" spans="1:40" x14ac:dyDescent="0.45">
      <c r="A14" t="s">
        <v>139</v>
      </c>
    </row>
    <row r="15" spans="1:40" x14ac:dyDescent="0.45">
      <c r="B15" s="588" t="s">
        <v>141</v>
      </c>
      <c r="C15" s="246" t="s">
        <v>76</v>
      </c>
      <c r="D15" s="242"/>
      <c r="E15" s="242"/>
      <c r="F15" s="242"/>
      <c r="G15" s="242"/>
      <c r="H15" s="242"/>
      <c r="I15" s="242"/>
      <c r="J15" s="242"/>
      <c r="K15" s="242"/>
      <c r="L15" s="242"/>
      <c r="M15" s="242"/>
      <c r="N15" s="242"/>
      <c r="O15" s="242"/>
      <c r="P15" s="242"/>
      <c r="Q15" s="242"/>
      <c r="R15" s="242"/>
      <c r="S15" s="242"/>
      <c r="T15" s="242"/>
      <c r="U15" s="242"/>
      <c r="V15" s="242"/>
      <c r="W15" s="240"/>
      <c r="X15" s="246" t="s">
        <v>87</v>
      </c>
      <c r="Y15" s="242"/>
      <c r="Z15" s="242"/>
      <c r="AA15" s="242"/>
      <c r="AB15" s="242"/>
      <c r="AC15" s="242"/>
      <c r="AD15" s="242"/>
      <c r="AE15" s="242"/>
      <c r="AF15" s="242"/>
      <c r="AG15" s="242"/>
      <c r="AH15" s="242"/>
      <c r="AI15" s="242"/>
      <c r="AJ15" s="242"/>
      <c r="AK15" s="242"/>
      <c r="AL15" s="240"/>
      <c r="AM15" s="246" t="s">
        <v>94</v>
      </c>
      <c r="AN15" s="240"/>
    </row>
    <row r="16" spans="1:40" ht="64.8" x14ac:dyDescent="0.45">
      <c r="B16" s="589"/>
      <c r="C16" s="248" t="s">
        <v>572</v>
      </c>
      <c r="D16" s="248" t="s">
        <v>573</v>
      </c>
      <c r="E16" s="248" t="s">
        <v>574</v>
      </c>
      <c r="F16" s="248" t="s">
        <v>86</v>
      </c>
      <c r="G16" s="267" t="s">
        <v>146</v>
      </c>
      <c r="H16" s="290" t="s">
        <v>575</v>
      </c>
      <c r="I16" s="291" t="s">
        <v>576</v>
      </c>
      <c r="J16" s="291" t="s">
        <v>577</v>
      </c>
      <c r="K16" s="291" t="s">
        <v>578</v>
      </c>
      <c r="L16" s="248" t="s">
        <v>488</v>
      </c>
      <c r="M16" s="248" t="s">
        <v>111</v>
      </c>
      <c r="N16" s="248" t="s">
        <v>579</v>
      </c>
      <c r="O16" s="248" t="s">
        <v>492</v>
      </c>
      <c r="P16" s="248" t="s">
        <v>95</v>
      </c>
      <c r="Q16" s="248" t="s">
        <v>80</v>
      </c>
      <c r="R16" s="248" t="s">
        <v>142</v>
      </c>
      <c r="S16" s="248" t="s">
        <v>493</v>
      </c>
      <c r="T16" s="248" t="s">
        <v>470</v>
      </c>
      <c r="U16" s="248" t="s">
        <v>481</v>
      </c>
      <c r="V16" s="248" t="s">
        <v>4</v>
      </c>
      <c r="W16" s="248" t="s">
        <v>518</v>
      </c>
      <c r="X16" s="248" t="s">
        <v>572</v>
      </c>
      <c r="Y16" s="248" t="s">
        <v>97</v>
      </c>
      <c r="Z16" s="267" t="s">
        <v>146</v>
      </c>
      <c r="AA16" s="291" t="s">
        <v>577</v>
      </c>
      <c r="AB16" s="291" t="s">
        <v>578</v>
      </c>
      <c r="AC16" s="248" t="s">
        <v>488</v>
      </c>
      <c r="AD16" s="248" t="s">
        <v>408</v>
      </c>
      <c r="AE16" s="248" t="s">
        <v>492</v>
      </c>
      <c r="AF16" s="248" t="s">
        <v>95</v>
      </c>
      <c r="AG16" s="248" t="s">
        <v>80</v>
      </c>
      <c r="AH16" s="248" t="s">
        <v>143</v>
      </c>
      <c r="AI16" s="248" t="s">
        <v>480</v>
      </c>
      <c r="AJ16" s="248" t="s">
        <v>468</v>
      </c>
      <c r="AK16" s="248" t="s">
        <v>4</v>
      </c>
      <c r="AL16" s="248" t="s">
        <v>518</v>
      </c>
      <c r="AM16" s="248" t="s">
        <v>482</v>
      </c>
      <c r="AN16" s="248" t="s">
        <v>4</v>
      </c>
    </row>
    <row r="17" spans="2:53" x14ac:dyDescent="0.45">
      <c r="B17" s="200" t="s">
        <v>140</v>
      </c>
      <c r="C17" s="209"/>
      <c r="D17" s="209"/>
      <c r="E17" s="200" t="s">
        <v>915</v>
      </c>
      <c r="F17" s="200" t="s">
        <v>77</v>
      </c>
      <c r="G17" s="209"/>
      <c r="H17" s="209"/>
      <c r="I17" s="209"/>
      <c r="J17" s="209"/>
      <c r="K17" s="209"/>
      <c r="L17" s="200" t="s">
        <v>489</v>
      </c>
      <c r="M17" s="200" t="s">
        <v>489</v>
      </c>
      <c r="N17" s="200" t="str">
        <f>"/(台・h)"</f>
        <v>/(台・h)</v>
      </c>
      <c r="O17" s="209"/>
      <c r="P17" s="200" t="s">
        <v>79</v>
      </c>
      <c r="Q17" s="200" t="s">
        <v>81</v>
      </c>
      <c r="R17" s="200" t="s">
        <v>82</v>
      </c>
      <c r="S17" s="200" t="s">
        <v>494</v>
      </c>
      <c r="T17" s="200" t="str">
        <f>"/年"</f>
        <v>/年</v>
      </c>
      <c r="U17" s="211" t="s">
        <v>62</v>
      </c>
      <c r="V17" s="211" t="s">
        <v>490</v>
      </c>
      <c r="W17" s="200" t="s">
        <v>485</v>
      </c>
      <c r="X17" s="455"/>
      <c r="Y17" s="200" t="s">
        <v>77</v>
      </c>
      <c r="Z17" s="455"/>
      <c r="AA17" s="209"/>
      <c r="AB17" s="209"/>
      <c r="AC17" s="200" t="s">
        <v>489</v>
      </c>
      <c r="AD17" s="200" t="str">
        <f>"/(台・h)"</f>
        <v>/(台・h)</v>
      </c>
      <c r="AE17" s="209"/>
      <c r="AF17" s="200" t="s">
        <v>79</v>
      </c>
      <c r="AG17" s="200" t="s">
        <v>81</v>
      </c>
      <c r="AH17" s="200" t="s">
        <v>82</v>
      </c>
      <c r="AI17" s="200" t="str">
        <f>"/年"</f>
        <v>/年</v>
      </c>
      <c r="AJ17" s="211" t="s">
        <v>62</v>
      </c>
      <c r="AK17" s="211" t="s">
        <v>490</v>
      </c>
      <c r="AL17" s="200" t="s">
        <v>485</v>
      </c>
      <c r="AM17" s="211" t="s">
        <v>62</v>
      </c>
      <c r="AN17" s="211" t="s">
        <v>490</v>
      </c>
      <c r="AP17" s="1" t="s">
        <v>76</v>
      </c>
      <c r="AQ17" s="1"/>
      <c r="AR17" s="1"/>
      <c r="AS17" s="1" t="s">
        <v>4</v>
      </c>
      <c r="AT17" s="1"/>
      <c r="AU17" s="1"/>
      <c r="AV17" s="1" t="s">
        <v>87</v>
      </c>
      <c r="AW17" s="1"/>
      <c r="AX17" s="1"/>
      <c r="AY17" s="1" t="s">
        <v>4</v>
      </c>
      <c r="AZ17" s="1"/>
      <c r="BA17" s="1"/>
    </row>
    <row r="18" spans="2:53" x14ac:dyDescent="0.45">
      <c r="B18" s="292" t="s">
        <v>540</v>
      </c>
      <c r="C18" s="293" t="s">
        <v>580</v>
      </c>
      <c r="D18" s="293" t="s">
        <v>581</v>
      </c>
      <c r="E18" s="293">
        <v>2008</v>
      </c>
      <c r="F18" s="214">
        <v>2</v>
      </c>
      <c r="G18" s="470" t="s">
        <v>0</v>
      </c>
      <c r="H18" s="295">
        <f>IF(D18="給湯器（HP）",IF(E18="",1,MIN(1.5,(2023-E18)*0.05+1)),"ー")</f>
        <v>1.5</v>
      </c>
      <c r="I18" s="295" t="str">
        <f>IF(OR(D18="",D18="給湯器（HP）"),"ー",0.1)</f>
        <v>ー</v>
      </c>
      <c r="J18" s="292">
        <v>7.2</v>
      </c>
      <c r="K18" s="448" t="s">
        <v>582</v>
      </c>
      <c r="L18" s="296">
        <f>7.2/1.64</f>
        <v>4.3902439024390247</v>
      </c>
      <c r="M18" s="414">
        <v>1</v>
      </c>
      <c r="N18" s="214">
        <v>1.64</v>
      </c>
      <c r="O18" s="297" t="str">
        <f>AR18</f>
        <v>kWh</v>
      </c>
      <c r="P18" s="214">
        <v>14</v>
      </c>
      <c r="Q18" s="214">
        <v>365</v>
      </c>
      <c r="R18" s="257">
        <f>P18*Q18</f>
        <v>5110</v>
      </c>
      <c r="S18" s="219">
        <f>IF(L18&gt;0,N18*L18*M18*AT18,0)</f>
        <v>71.784000000000006</v>
      </c>
      <c r="T18" s="219">
        <f>IF(R18=0,0,IF(D18="給湯器（HP）",N18*F18*M18*R18*H18,N18*F18*M18*R18/(1-I18)))</f>
        <v>25141.199999999997</v>
      </c>
      <c r="U18" s="432">
        <f>T18*AP18</f>
        <v>11.464387199999999</v>
      </c>
      <c r="V18" s="298" t="str">
        <f>IF($AS18=0,"ー",T18*$AS18)</f>
        <v>ー</v>
      </c>
      <c r="W18" s="438">
        <f>(T18*$AT18)*0.0000258</f>
        <v>6.4669703111999999</v>
      </c>
      <c r="X18" s="299" t="s">
        <v>583</v>
      </c>
      <c r="Y18" s="214">
        <v>2</v>
      </c>
      <c r="Z18" s="470" t="s">
        <v>0</v>
      </c>
      <c r="AA18" s="292">
        <v>7.2</v>
      </c>
      <c r="AB18" s="448" t="s">
        <v>582</v>
      </c>
      <c r="AC18" s="296">
        <f>7.2/1.64</f>
        <v>4.3902439024390247</v>
      </c>
      <c r="AD18" s="281">
        <f>IF(AC18&gt;0,S18/AZ18/AC18,0)</f>
        <v>1.64</v>
      </c>
      <c r="AE18" s="297" t="str">
        <f>AX18</f>
        <v>kWh</v>
      </c>
      <c r="AF18" s="300">
        <f>P18</f>
        <v>14</v>
      </c>
      <c r="AG18" s="301">
        <f>Q18</f>
        <v>365</v>
      </c>
      <c r="AH18" s="257">
        <f>AF18*AG18</f>
        <v>5110</v>
      </c>
      <c r="AI18" s="257">
        <f>AD18*Y18*AH18</f>
        <v>16760.8</v>
      </c>
      <c r="AJ18" s="432">
        <f>AI18*AV18</f>
        <v>7.6429248000000003</v>
      </c>
      <c r="AK18" s="298" t="str">
        <f>IF($AY18=0,"ー",AI18*$AY18)</f>
        <v>ー</v>
      </c>
      <c r="AL18" s="279">
        <f>(AI18*$AZ18)*0.0000258</f>
        <v>4.3113135408000005</v>
      </c>
      <c r="AM18" s="432">
        <f>U18-AJ18</f>
        <v>3.8214623999999988</v>
      </c>
      <c r="AN18" s="298" t="str">
        <f>IF(OR(V18="ー",AK18="ー"),"ー",V18-AK18)</f>
        <v>ー</v>
      </c>
      <c r="AP18" s="1">
        <f>IFERROR(VLOOKUP(G18,係数!$B$3:$I$30,7,FALSE),0)</f>
        <v>4.5600000000000003E-4</v>
      </c>
      <c r="AQ18" s="1" t="str">
        <f>IFERROR(VLOOKUP(G18,係数!$B$3:$I$30,8,FALSE),"")</f>
        <v>tCO2/kWh</v>
      </c>
      <c r="AR18" s="302" t="str">
        <f>IFERROR(VLOOKUP(G18,係数!$B$3:$I$30,4,FALSE),"")</f>
        <v>kWh</v>
      </c>
      <c r="AS18" s="1">
        <f>IFERROR(VLOOKUP(G18,使用量と光熱費!$C$7:$H$11,6,FALSE),0)</f>
        <v>0</v>
      </c>
      <c r="AT18" s="1">
        <f>IFERROR(VLOOKUP(G18,係数!$B$3:$I$30,2,FALSE),0)</f>
        <v>9.9700000000000006</v>
      </c>
      <c r="AU18" s="1">
        <f>IF(G18="電気",3.6,AT18)</f>
        <v>3.6</v>
      </c>
      <c r="AV18" s="1">
        <f>IFERROR(VLOOKUP(Z18,係数!$B$3:$I$30,7,FALSE),0)</f>
        <v>4.5600000000000003E-4</v>
      </c>
      <c r="AW18" s="1" t="str">
        <f>IFERROR(VLOOKUP(Z18,係数!$B$3:$I$30,8,FALSE),"")</f>
        <v>tCO2/kWh</v>
      </c>
      <c r="AX18" s="1" t="str">
        <f>IFERROR(VLOOKUP(Z18,係数!$B$3:$I$30,4,FALSE),"")</f>
        <v>kWh</v>
      </c>
      <c r="AY18" s="1">
        <f>IFERROR(VLOOKUP(Z18,使用量と光熱費!$C$7:$H$11,6,FALSE),0)</f>
        <v>0</v>
      </c>
      <c r="AZ18" s="1">
        <f>IFERROR(VLOOKUP(Z18,係数!$B$3:$I$30,2,FALSE),0)</f>
        <v>9.9700000000000006</v>
      </c>
      <c r="BA18" s="1">
        <f>IF(Z18="電気",3.6,AZ18)</f>
        <v>3.6</v>
      </c>
    </row>
    <row r="19" spans="2:53" x14ac:dyDescent="0.45">
      <c r="B19" s="303" t="s">
        <v>60</v>
      </c>
      <c r="C19" s="304"/>
      <c r="D19" s="304"/>
      <c r="E19" s="304"/>
      <c r="F19" s="188">
        <f>SUM(F20:F34)</f>
        <v>0</v>
      </c>
      <c r="G19" s="305"/>
      <c r="H19" s="305"/>
      <c r="I19" s="304"/>
      <c r="J19" s="304"/>
      <c r="K19" s="449"/>
      <c r="L19" s="304"/>
      <c r="M19" s="305"/>
      <c r="N19" s="222"/>
      <c r="O19" s="305"/>
      <c r="P19" s="305"/>
      <c r="Q19" s="305"/>
      <c r="R19" s="306"/>
      <c r="S19" s="188">
        <f>SUM(S20:S34)</f>
        <v>0</v>
      </c>
      <c r="T19" s="188">
        <f>SUM(T20:T34)</f>
        <v>0</v>
      </c>
      <c r="U19" s="441">
        <f>SUM(U20:U34)</f>
        <v>0</v>
      </c>
      <c r="V19" s="307" t="str">
        <f>IF(SUM(V20:V34)=0,"ー",SUM(V20:V34))</f>
        <v>ー</v>
      </c>
      <c r="W19" s="439">
        <f>SUM(W20:W34)</f>
        <v>0</v>
      </c>
      <c r="X19" s="305"/>
      <c r="Y19" s="188">
        <f>SUM(Y20:Y34)</f>
        <v>0</v>
      </c>
      <c r="Z19" s="305"/>
      <c r="AA19" s="304"/>
      <c r="AB19" s="449"/>
      <c r="AC19" s="304"/>
      <c r="AD19" s="305"/>
      <c r="AE19" s="305"/>
      <c r="AF19" s="305"/>
      <c r="AG19" s="305"/>
      <c r="AH19" s="306"/>
      <c r="AI19" s="188">
        <f>SUM(AI20:AI34)</f>
        <v>0</v>
      </c>
      <c r="AJ19" s="441">
        <f t="shared" ref="AJ19:AL19" si="0">SUM(AJ20:AJ34)</f>
        <v>0</v>
      </c>
      <c r="AK19" s="307" t="str">
        <f>IF(SUM(AK20:AK34)=0,"ー",SUM(AK20:AK34))</f>
        <v>ー</v>
      </c>
      <c r="AL19" s="188">
        <f t="shared" si="0"/>
        <v>0</v>
      </c>
      <c r="AM19" s="441">
        <f>SUM(AM20:AM34)</f>
        <v>0</v>
      </c>
      <c r="AN19" s="307" t="str">
        <f>IF(SUM(AN20:AN34)=0,"ー",SUM(AN20:AN34))</f>
        <v>ー</v>
      </c>
      <c r="AP19" s="2" t="s">
        <v>147</v>
      </c>
      <c r="AQ19" s="1"/>
      <c r="AR19" s="1" t="s">
        <v>148</v>
      </c>
      <c r="AS19" s="1" t="s">
        <v>89</v>
      </c>
      <c r="AT19" s="1" t="s">
        <v>486</v>
      </c>
      <c r="AU19" s="1" t="s">
        <v>491</v>
      </c>
      <c r="AV19" s="2" t="s">
        <v>147</v>
      </c>
      <c r="AW19" s="1"/>
      <c r="AX19" s="1" t="s">
        <v>148</v>
      </c>
      <c r="AY19" s="1" t="s">
        <v>89</v>
      </c>
      <c r="AZ19" s="1" t="s">
        <v>486</v>
      </c>
      <c r="BA19" s="1" t="s">
        <v>491</v>
      </c>
    </row>
    <row r="20" spans="2:53" x14ac:dyDescent="0.45">
      <c r="B20" s="208" t="s">
        <v>173</v>
      </c>
      <c r="C20" s="446"/>
      <c r="D20" s="62"/>
      <c r="E20" s="29"/>
      <c r="F20" s="29"/>
      <c r="G20" s="469"/>
      <c r="H20" s="471" t="str">
        <f t="shared" ref="H20:H34" si="1">IF(D20="給湯器（HP）",IF(E20="",1,MIN(1.5,(2023-E20)*0.05+1)),"ー")</f>
        <v>ー</v>
      </c>
      <c r="I20" s="471" t="str">
        <f t="shared" ref="I20:I34" si="2">IF(OR(D20="",D20="給湯器（HP）"),"ー",0.1)</f>
        <v>ー</v>
      </c>
      <c r="J20" s="29"/>
      <c r="K20" s="231"/>
      <c r="L20" s="192"/>
      <c r="M20" s="192"/>
      <c r="N20" s="29"/>
      <c r="O20" s="3" t="str">
        <f t="shared" ref="O20:O34" si="3">AR20</f>
        <v/>
      </c>
      <c r="P20" s="29"/>
      <c r="Q20" s="29"/>
      <c r="R20" s="189">
        <f>P20*Q20</f>
        <v>0</v>
      </c>
      <c r="S20" s="219">
        <f t="shared" ref="S20" si="4">IF(L20&gt;0,N20*L20*M20*AT20,0)</f>
        <v>0</v>
      </c>
      <c r="T20" s="219">
        <f t="shared" ref="T20" si="5">IF(R20=0,0,IF(D20="給湯器（HP）",N20*F20*M20*R20*H20,N20*F20*M20*R20/(1-I20)))</f>
        <v>0</v>
      </c>
      <c r="U20" s="442">
        <f t="shared" ref="U20" si="6">T20*AP20</f>
        <v>0</v>
      </c>
      <c r="V20" s="307" t="str">
        <f t="shared" ref="V20" si="7">IF($AS20=0,"ー",T20*$AS20)</f>
        <v>ー</v>
      </c>
      <c r="W20" s="440">
        <f t="shared" ref="W20:W34" si="8">(T20*$AT20)*0.0000258</f>
        <v>0</v>
      </c>
      <c r="X20" s="446"/>
      <c r="Y20" s="29"/>
      <c r="Z20" s="469"/>
      <c r="AA20" s="29"/>
      <c r="AB20" s="231"/>
      <c r="AC20" s="192"/>
      <c r="AD20" s="308">
        <f>IF(AND(AC20&gt;0,S20&lt;&gt;0),S20/AZ20/AC20,0)</f>
        <v>0</v>
      </c>
      <c r="AE20" s="190" t="str">
        <f>AX20</f>
        <v/>
      </c>
      <c r="AF20" s="3">
        <f t="shared" ref="AF20:AG34" si="9">P20</f>
        <v>0</v>
      </c>
      <c r="AG20" s="3">
        <f t="shared" si="9"/>
        <v>0</v>
      </c>
      <c r="AH20" s="189">
        <f>AF20*AG20</f>
        <v>0</v>
      </c>
      <c r="AI20" s="189">
        <f>AD20*Y20*AH20</f>
        <v>0</v>
      </c>
      <c r="AJ20" s="442">
        <f>AI20*AV20</f>
        <v>0</v>
      </c>
      <c r="AK20" s="307" t="str">
        <f>IF($AY20=0,"ー",AI20*$AY20)</f>
        <v>ー</v>
      </c>
      <c r="AL20" s="503">
        <f>(AI20*$AZ20)*0.0000258</f>
        <v>0</v>
      </c>
      <c r="AM20" s="442">
        <f t="shared" ref="AM20:AM34" si="10">U20-AJ20</f>
        <v>0</v>
      </c>
      <c r="AN20" s="307" t="str">
        <f t="shared" ref="AN20:AN34" si="11">IF(OR(V20="ー",AK20="ー"),"ー",V20-AK20)</f>
        <v>ー</v>
      </c>
      <c r="AP20" s="1">
        <f>IFERROR(VLOOKUP(G20,係数!$B$3:$I$30,7,FALSE),0)</f>
        <v>0</v>
      </c>
      <c r="AQ20" s="1" t="str">
        <f>IFERROR(VLOOKUP(G20,係数!$B$3:$I$30,8,FALSE),"")</f>
        <v/>
      </c>
      <c r="AR20" s="1" t="str">
        <f>IFERROR(VLOOKUP(G20,係数!$B$3:$I$30,4,FALSE),"")</f>
        <v/>
      </c>
      <c r="AS20" s="1">
        <f>IFERROR(VLOOKUP(G20,使用量と光熱費!$C$7:$H$11,6,FALSE),0)</f>
        <v>0</v>
      </c>
      <c r="AT20" s="1">
        <f>IFERROR(VLOOKUP(G20,係数!$B$3:$I$30,2,FALSE),0)</f>
        <v>0</v>
      </c>
      <c r="AU20" s="1">
        <f t="shared" ref="AU20:AU34" si="12">IF(G20="電気",3.6,AT20)</f>
        <v>0</v>
      </c>
      <c r="AV20" s="1">
        <f>IFERROR(VLOOKUP(Z20,係数!$B$3:$I$30,7,FALSE),0)</f>
        <v>0</v>
      </c>
      <c r="AW20" s="1" t="str">
        <f>IFERROR(VLOOKUP(Z20,係数!$B$3:$I$30,8,FALSE),"")</f>
        <v/>
      </c>
      <c r="AX20" s="1" t="str">
        <f>IFERROR(VLOOKUP(Z20,係数!$B$3:$I$30,4,FALSE),"")</f>
        <v/>
      </c>
      <c r="AY20" s="1">
        <f>IFERROR(VLOOKUP(Z20,使用量と光熱費!$C$7:$H$11,6,FALSE),0)</f>
        <v>0</v>
      </c>
      <c r="AZ20" s="1">
        <f>IFERROR(VLOOKUP(Z20,係数!$B$3:$I$30,2,FALSE),0)</f>
        <v>0</v>
      </c>
      <c r="BA20" s="1">
        <f t="shared" ref="BA20:BA34" si="13">IF(Z20="電気",3.6,AZ20)</f>
        <v>0</v>
      </c>
    </row>
    <row r="21" spans="2:53" x14ac:dyDescent="0.45">
      <c r="B21" s="208" t="s">
        <v>174</v>
      </c>
      <c r="C21" s="446"/>
      <c r="D21" s="62"/>
      <c r="E21" s="29"/>
      <c r="F21" s="29"/>
      <c r="G21" s="469"/>
      <c r="H21" s="471" t="str">
        <f t="shared" si="1"/>
        <v>ー</v>
      </c>
      <c r="I21" s="471" t="str">
        <f t="shared" si="2"/>
        <v>ー</v>
      </c>
      <c r="J21" s="29"/>
      <c r="K21" s="231"/>
      <c r="L21" s="192"/>
      <c r="M21" s="192"/>
      <c r="N21" s="29"/>
      <c r="O21" s="3" t="str">
        <f t="shared" si="3"/>
        <v/>
      </c>
      <c r="P21" s="29"/>
      <c r="Q21" s="29"/>
      <c r="R21" s="189">
        <f t="shared" ref="R21:R34" si="14">P21*Q21</f>
        <v>0</v>
      </c>
      <c r="S21" s="219">
        <f t="shared" ref="S21:S34" si="15">IF(L21&gt;0,N21*L21*M21*AT21,0)</f>
        <v>0</v>
      </c>
      <c r="T21" s="219">
        <f t="shared" ref="T21:T34" si="16">IF(R21=0,0,IF(D21="給湯器（HP）",N21*F21*M21*R21*H21,N21*F21*M21*R21/(1-I21)))</f>
        <v>0</v>
      </c>
      <c r="U21" s="442">
        <f t="shared" ref="U21:U34" si="17">T21*AP21</f>
        <v>0</v>
      </c>
      <c r="V21" s="307" t="str">
        <f t="shared" ref="V21:V34" si="18">IF($AS21=0,"ー",T21*$AS21)</f>
        <v>ー</v>
      </c>
      <c r="W21" s="440">
        <f t="shared" si="8"/>
        <v>0</v>
      </c>
      <c r="X21" s="446"/>
      <c r="Y21" s="29"/>
      <c r="Z21" s="469"/>
      <c r="AA21" s="29"/>
      <c r="AB21" s="231"/>
      <c r="AC21" s="192"/>
      <c r="AD21" s="308">
        <f t="shared" ref="AD21:AD34" si="19">IF(AND(AC21&gt;0,S21&lt;&gt;0),S21/AZ21/AC21,0)</f>
        <v>0</v>
      </c>
      <c r="AE21" s="190" t="str">
        <f t="shared" ref="AE21:AE34" si="20">AX21</f>
        <v/>
      </c>
      <c r="AF21" s="3">
        <f t="shared" si="9"/>
        <v>0</v>
      </c>
      <c r="AG21" s="3">
        <f t="shared" si="9"/>
        <v>0</v>
      </c>
      <c r="AH21" s="189">
        <f t="shared" ref="AH21:AH34" si="21">AF21*AG21</f>
        <v>0</v>
      </c>
      <c r="AI21" s="189">
        <f t="shared" ref="AI21:AI34" si="22">AD21*Y21*AH21</f>
        <v>0</v>
      </c>
      <c r="AJ21" s="442">
        <f t="shared" ref="AJ21:AJ34" si="23">AI21*AV21</f>
        <v>0</v>
      </c>
      <c r="AK21" s="307" t="str">
        <f t="shared" ref="AK21:AK34" si="24">IF($AY21=0,"ー",AI21*$AY21)</f>
        <v>ー</v>
      </c>
      <c r="AL21" s="503">
        <f t="shared" ref="AL21:AL34" si="25">(AI21*$AZ21)*0.0000258</f>
        <v>0</v>
      </c>
      <c r="AM21" s="442">
        <f t="shared" si="10"/>
        <v>0</v>
      </c>
      <c r="AN21" s="307" t="str">
        <f t="shared" si="11"/>
        <v>ー</v>
      </c>
      <c r="AP21" s="1">
        <f>IFERROR(VLOOKUP(G21,係数!$B$3:$I$30,7,FALSE),0)</f>
        <v>0</v>
      </c>
      <c r="AQ21" s="1" t="str">
        <f>IFERROR(VLOOKUP(G21,係数!$B$3:$I$30,8,FALSE),"")</f>
        <v/>
      </c>
      <c r="AR21" s="1" t="str">
        <f>IFERROR(VLOOKUP(G21,係数!$B$3:$I$30,4,FALSE),"")</f>
        <v/>
      </c>
      <c r="AS21" s="1">
        <f>IFERROR(VLOOKUP(G21,使用量と光熱費!$C$7:$H$11,6,FALSE),0)</f>
        <v>0</v>
      </c>
      <c r="AT21" s="1">
        <f>IFERROR(VLOOKUP(G21,係数!$B$3:$I$30,2,FALSE),0)</f>
        <v>0</v>
      </c>
      <c r="AU21" s="1">
        <f t="shared" si="12"/>
        <v>0</v>
      </c>
      <c r="AV21" s="1">
        <f>IFERROR(VLOOKUP(Z21,係数!$B$3:$I$30,7,FALSE),0)</f>
        <v>0</v>
      </c>
      <c r="AW21" s="1" t="str">
        <f>IFERROR(VLOOKUP(Z21,係数!$B$3:$I$30,8,FALSE),"")</f>
        <v/>
      </c>
      <c r="AX21" s="1" t="str">
        <f>IFERROR(VLOOKUP(Z21,係数!$B$3:$I$30,4,FALSE),"")</f>
        <v/>
      </c>
      <c r="AY21" s="1">
        <f>IFERROR(VLOOKUP(Z21,使用量と光熱費!$C$7:$H$11,6,FALSE),0)</f>
        <v>0</v>
      </c>
      <c r="AZ21" s="1">
        <f>IFERROR(VLOOKUP(Z21,係数!$B$3:$I$30,2,FALSE),0)</f>
        <v>0</v>
      </c>
      <c r="BA21" s="1">
        <f t="shared" si="13"/>
        <v>0</v>
      </c>
    </row>
    <row r="22" spans="2:53" x14ac:dyDescent="0.45">
      <c r="B22" s="208" t="s">
        <v>175</v>
      </c>
      <c r="C22" s="446"/>
      <c r="D22" s="62"/>
      <c r="E22" s="29"/>
      <c r="F22" s="29"/>
      <c r="G22" s="469"/>
      <c r="H22" s="471" t="str">
        <f t="shared" si="1"/>
        <v>ー</v>
      </c>
      <c r="I22" s="471" t="str">
        <f t="shared" si="2"/>
        <v>ー</v>
      </c>
      <c r="J22" s="29"/>
      <c r="K22" s="231"/>
      <c r="L22" s="192"/>
      <c r="M22" s="192"/>
      <c r="N22" s="29"/>
      <c r="O22" s="3" t="str">
        <f t="shared" si="3"/>
        <v/>
      </c>
      <c r="P22" s="29"/>
      <c r="Q22" s="29"/>
      <c r="R22" s="189">
        <f t="shared" si="14"/>
        <v>0</v>
      </c>
      <c r="S22" s="219">
        <f t="shared" si="15"/>
        <v>0</v>
      </c>
      <c r="T22" s="219">
        <f t="shared" si="16"/>
        <v>0</v>
      </c>
      <c r="U22" s="442">
        <f t="shared" si="17"/>
        <v>0</v>
      </c>
      <c r="V22" s="307" t="str">
        <f t="shared" si="18"/>
        <v>ー</v>
      </c>
      <c r="W22" s="440">
        <f t="shared" si="8"/>
        <v>0</v>
      </c>
      <c r="X22" s="446"/>
      <c r="Y22" s="29"/>
      <c r="Z22" s="469"/>
      <c r="AA22" s="29"/>
      <c r="AB22" s="231"/>
      <c r="AC22" s="192"/>
      <c r="AD22" s="308">
        <f t="shared" si="19"/>
        <v>0</v>
      </c>
      <c r="AE22" s="190" t="str">
        <f t="shared" si="20"/>
        <v/>
      </c>
      <c r="AF22" s="3">
        <f t="shared" si="9"/>
        <v>0</v>
      </c>
      <c r="AG22" s="3">
        <f t="shared" si="9"/>
        <v>0</v>
      </c>
      <c r="AH22" s="189">
        <f t="shared" si="21"/>
        <v>0</v>
      </c>
      <c r="AI22" s="189">
        <f t="shared" si="22"/>
        <v>0</v>
      </c>
      <c r="AJ22" s="442">
        <f t="shared" si="23"/>
        <v>0</v>
      </c>
      <c r="AK22" s="307" t="str">
        <f t="shared" si="24"/>
        <v>ー</v>
      </c>
      <c r="AL22" s="503">
        <f t="shared" si="25"/>
        <v>0</v>
      </c>
      <c r="AM22" s="442">
        <f t="shared" si="10"/>
        <v>0</v>
      </c>
      <c r="AN22" s="307" t="str">
        <f t="shared" si="11"/>
        <v>ー</v>
      </c>
      <c r="AP22" s="1">
        <f>IFERROR(VLOOKUP(G22,係数!$B$3:$I$30,7,FALSE),0)</f>
        <v>0</v>
      </c>
      <c r="AQ22" s="1" t="str">
        <f>IFERROR(VLOOKUP(G22,係数!$B$3:$I$30,8,FALSE),"")</f>
        <v/>
      </c>
      <c r="AR22" s="1" t="str">
        <f>IFERROR(VLOOKUP(G22,係数!$B$3:$I$30,4,FALSE),"")</f>
        <v/>
      </c>
      <c r="AS22" s="1">
        <f>IFERROR(VLOOKUP(G22,使用量と光熱費!$C$7:$H$11,6,FALSE),0)</f>
        <v>0</v>
      </c>
      <c r="AT22" s="1">
        <f>IFERROR(VLOOKUP(G22,係数!$B$3:$I$30,2,FALSE),0)</f>
        <v>0</v>
      </c>
      <c r="AU22" s="1">
        <f t="shared" si="12"/>
        <v>0</v>
      </c>
      <c r="AV22" s="1">
        <f>IFERROR(VLOOKUP(Z22,係数!$B$3:$I$30,7,FALSE),0)</f>
        <v>0</v>
      </c>
      <c r="AW22" s="1" t="str">
        <f>IFERROR(VLOOKUP(Z22,係数!$B$3:$I$30,8,FALSE),"")</f>
        <v/>
      </c>
      <c r="AX22" s="1" t="str">
        <f>IFERROR(VLOOKUP(Z22,係数!$B$3:$I$30,4,FALSE),"")</f>
        <v/>
      </c>
      <c r="AY22" s="1">
        <f>IFERROR(VLOOKUP(Z22,使用量と光熱費!$C$7:$H$11,6,FALSE),0)</f>
        <v>0</v>
      </c>
      <c r="AZ22" s="1">
        <f>IFERROR(VLOOKUP(Z22,係数!$B$3:$I$30,2,FALSE),0)</f>
        <v>0</v>
      </c>
      <c r="BA22" s="1">
        <f t="shared" si="13"/>
        <v>0</v>
      </c>
    </row>
    <row r="23" spans="2:53" x14ac:dyDescent="0.45">
      <c r="B23" s="208" t="s">
        <v>176</v>
      </c>
      <c r="C23" s="446"/>
      <c r="D23" s="62"/>
      <c r="E23" s="29"/>
      <c r="F23" s="29"/>
      <c r="G23" s="469"/>
      <c r="H23" s="471" t="str">
        <f t="shared" si="1"/>
        <v>ー</v>
      </c>
      <c r="I23" s="471" t="str">
        <f t="shared" si="2"/>
        <v>ー</v>
      </c>
      <c r="J23" s="29"/>
      <c r="K23" s="231"/>
      <c r="L23" s="192"/>
      <c r="M23" s="192"/>
      <c r="N23" s="29"/>
      <c r="O23" s="3" t="str">
        <f t="shared" si="3"/>
        <v/>
      </c>
      <c r="P23" s="29"/>
      <c r="Q23" s="29"/>
      <c r="R23" s="189">
        <f t="shared" si="14"/>
        <v>0</v>
      </c>
      <c r="S23" s="219">
        <f t="shared" si="15"/>
        <v>0</v>
      </c>
      <c r="T23" s="219">
        <f t="shared" si="16"/>
        <v>0</v>
      </c>
      <c r="U23" s="442">
        <f t="shared" si="17"/>
        <v>0</v>
      </c>
      <c r="V23" s="307" t="str">
        <f t="shared" si="18"/>
        <v>ー</v>
      </c>
      <c r="W23" s="440">
        <f t="shared" si="8"/>
        <v>0</v>
      </c>
      <c r="X23" s="446"/>
      <c r="Y23" s="29"/>
      <c r="Z23" s="469"/>
      <c r="AA23" s="29"/>
      <c r="AB23" s="231"/>
      <c r="AC23" s="192"/>
      <c r="AD23" s="308">
        <f t="shared" si="19"/>
        <v>0</v>
      </c>
      <c r="AE23" s="190" t="str">
        <f t="shared" si="20"/>
        <v/>
      </c>
      <c r="AF23" s="3">
        <f t="shared" si="9"/>
        <v>0</v>
      </c>
      <c r="AG23" s="3">
        <f t="shared" si="9"/>
        <v>0</v>
      </c>
      <c r="AH23" s="189">
        <f t="shared" si="21"/>
        <v>0</v>
      </c>
      <c r="AI23" s="189">
        <f t="shared" si="22"/>
        <v>0</v>
      </c>
      <c r="AJ23" s="442">
        <f t="shared" si="23"/>
        <v>0</v>
      </c>
      <c r="AK23" s="307" t="str">
        <f t="shared" si="24"/>
        <v>ー</v>
      </c>
      <c r="AL23" s="503">
        <f t="shared" si="25"/>
        <v>0</v>
      </c>
      <c r="AM23" s="442">
        <f t="shared" si="10"/>
        <v>0</v>
      </c>
      <c r="AN23" s="307" t="str">
        <f t="shared" si="11"/>
        <v>ー</v>
      </c>
      <c r="AP23" s="1">
        <f>IFERROR(VLOOKUP(G23,係数!$B$3:$I$30,7,FALSE),0)</f>
        <v>0</v>
      </c>
      <c r="AQ23" s="1" t="str">
        <f>IFERROR(VLOOKUP(G23,係数!$B$3:$I$30,8,FALSE),"")</f>
        <v/>
      </c>
      <c r="AR23" s="1" t="str">
        <f>IFERROR(VLOOKUP(G23,係数!$B$3:$I$30,4,FALSE),"")</f>
        <v/>
      </c>
      <c r="AS23" s="1">
        <f>IFERROR(VLOOKUP(G23,使用量と光熱費!$C$7:$H$11,6,FALSE),0)</f>
        <v>0</v>
      </c>
      <c r="AT23" s="1">
        <f>IFERROR(VLOOKUP(G23,係数!$B$3:$I$30,2,FALSE),0)</f>
        <v>0</v>
      </c>
      <c r="AU23" s="1">
        <f t="shared" si="12"/>
        <v>0</v>
      </c>
      <c r="AV23" s="1">
        <f>IFERROR(VLOOKUP(Z23,係数!$B$3:$I$30,7,FALSE),0)</f>
        <v>0</v>
      </c>
      <c r="AW23" s="1" t="str">
        <f>IFERROR(VLOOKUP(Z23,係数!$B$3:$I$30,8,FALSE),"")</f>
        <v/>
      </c>
      <c r="AX23" s="1" t="str">
        <f>IFERROR(VLOOKUP(Z23,係数!$B$3:$I$30,4,FALSE),"")</f>
        <v/>
      </c>
      <c r="AY23" s="1">
        <f>IFERROR(VLOOKUP(Z23,使用量と光熱費!$C$7:$H$11,6,FALSE),0)</f>
        <v>0</v>
      </c>
      <c r="AZ23" s="1">
        <f>IFERROR(VLOOKUP(Z23,係数!$B$3:$I$30,2,FALSE),0)</f>
        <v>0</v>
      </c>
      <c r="BA23" s="1">
        <f t="shared" si="13"/>
        <v>0</v>
      </c>
    </row>
    <row r="24" spans="2:53" x14ac:dyDescent="0.45">
      <c r="B24" s="208" t="s">
        <v>177</v>
      </c>
      <c r="C24" s="446"/>
      <c r="D24" s="62"/>
      <c r="E24" s="29"/>
      <c r="F24" s="29"/>
      <c r="G24" s="469"/>
      <c r="H24" s="471" t="str">
        <f t="shared" si="1"/>
        <v>ー</v>
      </c>
      <c r="I24" s="471" t="str">
        <f t="shared" si="2"/>
        <v>ー</v>
      </c>
      <c r="J24" s="29"/>
      <c r="K24" s="231"/>
      <c r="L24" s="192"/>
      <c r="M24" s="192"/>
      <c r="N24" s="29"/>
      <c r="O24" s="3" t="str">
        <f t="shared" si="3"/>
        <v/>
      </c>
      <c r="P24" s="29"/>
      <c r="Q24" s="29"/>
      <c r="R24" s="189">
        <f t="shared" si="14"/>
        <v>0</v>
      </c>
      <c r="S24" s="219">
        <f t="shared" si="15"/>
        <v>0</v>
      </c>
      <c r="T24" s="219">
        <f t="shared" si="16"/>
        <v>0</v>
      </c>
      <c r="U24" s="442">
        <f t="shared" si="17"/>
        <v>0</v>
      </c>
      <c r="V24" s="307" t="str">
        <f t="shared" si="18"/>
        <v>ー</v>
      </c>
      <c r="W24" s="440">
        <f t="shared" si="8"/>
        <v>0</v>
      </c>
      <c r="X24" s="446"/>
      <c r="Y24" s="29"/>
      <c r="Z24" s="469"/>
      <c r="AA24" s="29"/>
      <c r="AB24" s="231"/>
      <c r="AC24" s="192"/>
      <c r="AD24" s="308">
        <f t="shared" si="19"/>
        <v>0</v>
      </c>
      <c r="AE24" s="190" t="str">
        <f t="shared" si="20"/>
        <v/>
      </c>
      <c r="AF24" s="3">
        <f t="shared" si="9"/>
        <v>0</v>
      </c>
      <c r="AG24" s="3">
        <f t="shared" si="9"/>
        <v>0</v>
      </c>
      <c r="AH24" s="189">
        <f t="shared" si="21"/>
        <v>0</v>
      </c>
      <c r="AI24" s="189">
        <f t="shared" si="22"/>
        <v>0</v>
      </c>
      <c r="AJ24" s="442">
        <f t="shared" si="23"/>
        <v>0</v>
      </c>
      <c r="AK24" s="307" t="str">
        <f t="shared" si="24"/>
        <v>ー</v>
      </c>
      <c r="AL24" s="503">
        <f t="shared" si="25"/>
        <v>0</v>
      </c>
      <c r="AM24" s="442">
        <f t="shared" si="10"/>
        <v>0</v>
      </c>
      <c r="AN24" s="307" t="str">
        <f t="shared" si="11"/>
        <v>ー</v>
      </c>
      <c r="AP24" s="1">
        <f>IFERROR(VLOOKUP(G24,係数!$B$3:$I$30,7,FALSE),0)</f>
        <v>0</v>
      </c>
      <c r="AQ24" s="1" t="str">
        <f>IFERROR(VLOOKUP(G24,係数!$B$3:$I$30,8,FALSE),"")</f>
        <v/>
      </c>
      <c r="AR24" s="1" t="str">
        <f>IFERROR(VLOOKUP(G24,係数!$B$3:$I$30,4,FALSE),"")</f>
        <v/>
      </c>
      <c r="AS24" s="1">
        <f>IFERROR(VLOOKUP(G24,使用量と光熱費!$C$7:$H$11,6,FALSE),0)</f>
        <v>0</v>
      </c>
      <c r="AT24" s="1">
        <f>IFERROR(VLOOKUP(G24,係数!$B$3:$I$30,2,FALSE),0)</f>
        <v>0</v>
      </c>
      <c r="AU24" s="1">
        <f t="shared" si="12"/>
        <v>0</v>
      </c>
      <c r="AV24" s="1">
        <f>IFERROR(VLOOKUP(Z24,係数!$B$3:$I$30,7,FALSE),0)</f>
        <v>0</v>
      </c>
      <c r="AW24" s="1" t="str">
        <f>IFERROR(VLOOKUP(Z24,係数!$B$3:$I$30,8,FALSE),"")</f>
        <v/>
      </c>
      <c r="AX24" s="1" t="str">
        <f>IFERROR(VLOOKUP(Z24,係数!$B$3:$I$30,4,FALSE),"")</f>
        <v/>
      </c>
      <c r="AY24" s="1">
        <f>IFERROR(VLOOKUP(Z24,使用量と光熱費!$C$7:$H$11,6,FALSE),0)</f>
        <v>0</v>
      </c>
      <c r="AZ24" s="1">
        <f>IFERROR(VLOOKUP(Z24,係数!$B$3:$I$30,2,FALSE),0)</f>
        <v>0</v>
      </c>
      <c r="BA24" s="1">
        <f t="shared" si="13"/>
        <v>0</v>
      </c>
    </row>
    <row r="25" spans="2:53" x14ac:dyDescent="0.45">
      <c r="B25" s="208" t="s">
        <v>178</v>
      </c>
      <c r="C25" s="446"/>
      <c r="D25" s="62"/>
      <c r="E25" s="29"/>
      <c r="F25" s="29"/>
      <c r="G25" s="469"/>
      <c r="H25" s="471" t="str">
        <f t="shared" si="1"/>
        <v>ー</v>
      </c>
      <c r="I25" s="471" t="str">
        <f t="shared" si="2"/>
        <v>ー</v>
      </c>
      <c r="J25" s="29"/>
      <c r="K25" s="231"/>
      <c r="L25" s="192"/>
      <c r="M25" s="192"/>
      <c r="N25" s="29"/>
      <c r="O25" s="3" t="str">
        <f t="shared" si="3"/>
        <v/>
      </c>
      <c r="P25" s="29"/>
      <c r="Q25" s="29"/>
      <c r="R25" s="189">
        <f t="shared" si="14"/>
        <v>0</v>
      </c>
      <c r="S25" s="219">
        <f t="shared" si="15"/>
        <v>0</v>
      </c>
      <c r="T25" s="219">
        <f t="shared" si="16"/>
        <v>0</v>
      </c>
      <c r="U25" s="442">
        <f t="shared" si="17"/>
        <v>0</v>
      </c>
      <c r="V25" s="307" t="str">
        <f t="shared" si="18"/>
        <v>ー</v>
      </c>
      <c r="W25" s="440">
        <f t="shared" si="8"/>
        <v>0</v>
      </c>
      <c r="X25" s="446"/>
      <c r="Y25" s="29"/>
      <c r="Z25" s="469"/>
      <c r="AA25" s="29"/>
      <c r="AB25" s="231"/>
      <c r="AC25" s="192"/>
      <c r="AD25" s="308">
        <f t="shared" si="19"/>
        <v>0</v>
      </c>
      <c r="AE25" s="190" t="str">
        <f t="shared" si="20"/>
        <v/>
      </c>
      <c r="AF25" s="3">
        <f t="shared" si="9"/>
        <v>0</v>
      </c>
      <c r="AG25" s="3">
        <f t="shared" si="9"/>
        <v>0</v>
      </c>
      <c r="AH25" s="189">
        <f t="shared" si="21"/>
        <v>0</v>
      </c>
      <c r="AI25" s="189">
        <f t="shared" si="22"/>
        <v>0</v>
      </c>
      <c r="AJ25" s="442">
        <f t="shared" si="23"/>
        <v>0</v>
      </c>
      <c r="AK25" s="307" t="str">
        <f t="shared" si="24"/>
        <v>ー</v>
      </c>
      <c r="AL25" s="503">
        <f t="shared" si="25"/>
        <v>0</v>
      </c>
      <c r="AM25" s="442">
        <f t="shared" si="10"/>
        <v>0</v>
      </c>
      <c r="AN25" s="307" t="str">
        <f t="shared" si="11"/>
        <v>ー</v>
      </c>
      <c r="AP25" s="1">
        <f>IFERROR(VLOOKUP(G25,係数!$B$3:$I$30,7,FALSE),0)</f>
        <v>0</v>
      </c>
      <c r="AQ25" s="1" t="str">
        <f>IFERROR(VLOOKUP(G25,係数!$B$3:$I$30,8,FALSE),"")</f>
        <v/>
      </c>
      <c r="AR25" s="1" t="str">
        <f>IFERROR(VLOOKUP(G25,係数!$B$3:$I$30,4,FALSE),"")</f>
        <v/>
      </c>
      <c r="AS25" s="1">
        <f>IFERROR(VLOOKUP(G25,使用量と光熱費!$C$7:$H$11,6,FALSE),0)</f>
        <v>0</v>
      </c>
      <c r="AT25" s="1">
        <f>IFERROR(VLOOKUP(G25,係数!$B$3:$I$30,2,FALSE),0)</f>
        <v>0</v>
      </c>
      <c r="AU25" s="1">
        <f t="shared" si="12"/>
        <v>0</v>
      </c>
      <c r="AV25" s="1">
        <f>IFERROR(VLOOKUP(Z25,係数!$B$3:$I$30,7,FALSE),0)</f>
        <v>0</v>
      </c>
      <c r="AW25" s="1" t="str">
        <f>IFERROR(VLOOKUP(Z25,係数!$B$3:$I$30,8,FALSE),"")</f>
        <v/>
      </c>
      <c r="AX25" s="1" t="str">
        <f>IFERROR(VLOOKUP(Z25,係数!$B$3:$I$30,4,FALSE),"")</f>
        <v/>
      </c>
      <c r="AY25" s="1">
        <f>IFERROR(VLOOKUP(Z25,使用量と光熱費!$C$7:$H$11,6,FALSE),0)</f>
        <v>0</v>
      </c>
      <c r="AZ25" s="1">
        <f>IFERROR(VLOOKUP(Z25,係数!$B$3:$I$30,2,FALSE),0)</f>
        <v>0</v>
      </c>
      <c r="BA25" s="1">
        <f t="shared" si="13"/>
        <v>0</v>
      </c>
    </row>
    <row r="26" spans="2:53" x14ac:dyDescent="0.45">
      <c r="B26" s="208" t="s">
        <v>179</v>
      </c>
      <c r="C26" s="446"/>
      <c r="D26" s="62"/>
      <c r="E26" s="29"/>
      <c r="F26" s="29"/>
      <c r="G26" s="469"/>
      <c r="H26" s="471" t="str">
        <f t="shared" si="1"/>
        <v>ー</v>
      </c>
      <c r="I26" s="471" t="str">
        <f t="shared" si="2"/>
        <v>ー</v>
      </c>
      <c r="J26" s="29"/>
      <c r="K26" s="231"/>
      <c r="L26" s="192"/>
      <c r="M26" s="192"/>
      <c r="N26" s="29"/>
      <c r="O26" s="3" t="str">
        <f t="shared" si="3"/>
        <v/>
      </c>
      <c r="P26" s="29"/>
      <c r="Q26" s="29"/>
      <c r="R26" s="189">
        <f t="shared" si="14"/>
        <v>0</v>
      </c>
      <c r="S26" s="219">
        <f t="shared" si="15"/>
        <v>0</v>
      </c>
      <c r="T26" s="219">
        <f t="shared" si="16"/>
        <v>0</v>
      </c>
      <c r="U26" s="442">
        <f t="shared" si="17"/>
        <v>0</v>
      </c>
      <c r="V26" s="307" t="str">
        <f t="shared" si="18"/>
        <v>ー</v>
      </c>
      <c r="W26" s="440">
        <f t="shared" si="8"/>
        <v>0</v>
      </c>
      <c r="X26" s="446"/>
      <c r="Y26" s="29"/>
      <c r="Z26" s="469"/>
      <c r="AA26" s="29"/>
      <c r="AB26" s="231"/>
      <c r="AC26" s="192"/>
      <c r="AD26" s="308">
        <f t="shared" si="19"/>
        <v>0</v>
      </c>
      <c r="AE26" s="190" t="str">
        <f t="shared" si="20"/>
        <v/>
      </c>
      <c r="AF26" s="3">
        <f t="shared" si="9"/>
        <v>0</v>
      </c>
      <c r="AG26" s="3">
        <f t="shared" si="9"/>
        <v>0</v>
      </c>
      <c r="AH26" s="189">
        <f t="shared" si="21"/>
        <v>0</v>
      </c>
      <c r="AI26" s="189">
        <f t="shared" si="22"/>
        <v>0</v>
      </c>
      <c r="AJ26" s="442">
        <f t="shared" si="23"/>
        <v>0</v>
      </c>
      <c r="AK26" s="307" t="str">
        <f t="shared" si="24"/>
        <v>ー</v>
      </c>
      <c r="AL26" s="503">
        <f t="shared" si="25"/>
        <v>0</v>
      </c>
      <c r="AM26" s="442">
        <f t="shared" si="10"/>
        <v>0</v>
      </c>
      <c r="AN26" s="307" t="str">
        <f t="shared" si="11"/>
        <v>ー</v>
      </c>
      <c r="AP26" s="1">
        <f>IFERROR(VLOOKUP(G26,係数!$B$3:$I$30,7,FALSE),0)</f>
        <v>0</v>
      </c>
      <c r="AQ26" s="1" t="str">
        <f>IFERROR(VLOOKUP(G26,係数!$B$3:$I$30,8,FALSE),"")</f>
        <v/>
      </c>
      <c r="AR26" s="1" t="str">
        <f>IFERROR(VLOOKUP(G26,係数!$B$3:$I$30,4,FALSE),"")</f>
        <v/>
      </c>
      <c r="AS26" s="1">
        <f>IFERROR(VLOOKUP(G26,使用量と光熱費!$C$7:$H$11,6,FALSE),0)</f>
        <v>0</v>
      </c>
      <c r="AT26" s="1">
        <f>IFERROR(VLOOKUP(G26,係数!$B$3:$I$30,2,FALSE),0)</f>
        <v>0</v>
      </c>
      <c r="AU26" s="1">
        <f t="shared" si="12"/>
        <v>0</v>
      </c>
      <c r="AV26" s="1">
        <f>IFERROR(VLOOKUP(Z26,係数!$B$3:$I$30,7,FALSE),0)</f>
        <v>0</v>
      </c>
      <c r="AW26" s="1" t="str">
        <f>IFERROR(VLOOKUP(Z26,係数!$B$3:$I$30,8,FALSE),"")</f>
        <v/>
      </c>
      <c r="AX26" s="1" t="str">
        <f>IFERROR(VLOOKUP(Z26,係数!$B$3:$I$30,4,FALSE),"")</f>
        <v/>
      </c>
      <c r="AY26" s="1">
        <f>IFERROR(VLOOKUP(Z26,使用量と光熱費!$C$7:$H$11,6,FALSE),0)</f>
        <v>0</v>
      </c>
      <c r="AZ26" s="1">
        <f>IFERROR(VLOOKUP(Z26,係数!$B$3:$I$30,2,FALSE),0)</f>
        <v>0</v>
      </c>
      <c r="BA26" s="1">
        <f t="shared" si="13"/>
        <v>0</v>
      </c>
    </row>
    <row r="27" spans="2:53" x14ac:dyDescent="0.45">
      <c r="B27" s="208" t="s">
        <v>180</v>
      </c>
      <c r="C27" s="446"/>
      <c r="D27" s="62"/>
      <c r="E27" s="29"/>
      <c r="F27" s="29"/>
      <c r="G27" s="469"/>
      <c r="H27" s="471" t="str">
        <f t="shared" si="1"/>
        <v>ー</v>
      </c>
      <c r="I27" s="471" t="str">
        <f t="shared" si="2"/>
        <v>ー</v>
      </c>
      <c r="J27" s="29"/>
      <c r="K27" s="231"/>
      <c r="L27" s="192"/>
      <c r="M27" s="192"/>
      <c r="N27" s="29"/>
      <c r="O27" s="3" t="str">
        <f t="shared" si="3"/>
        <v/>
      </c>
      <c r="P27" s="29"/>
      <c r="Q27" s="29"/>
      <c r="R27" s="189">
        <f t="shared" si="14"/>
        <v>0</v>
      </c>
      <c r="S27" s="219">
        <f t="shared" si="15"/>
        <v>0</v>
      </c>
      <c r="T27" s="219">
        <f t="shared" si="16"/>
        <v>0</v>
      </c>
      <c r="U27" s="442">
        <f t="shared" si="17"/>
        <v>0</v>
      </c>
      <c r="V27" s="307" t="str">
        <f t="shared" si="18"/>
        <v>ー</v>
      </c>
      <c r="W27" s="440">
        <f t="shared" si="8"/>
        <v>0</v>
      </c>
      <c r="X27" s="446"/>
      <c r="Y27" s="29"/>
      <c r="Z27" s="469"/>
      <c r="AA27" s="29"/>
      <c r="AB27" s="231"/>
      <c r="AC27" s="192"/>
      <c r="AD27" s="308">
        <f t="shared" si="19"/>
        <v>0</v>
      </c>
      <c r="AE27" s="190" t="str">
        <f t="shared" si="20"/>
        <v/>
      </c>
      <c r="AF27" s="3">
        <f t="shared" si="9"/>
        <v>0</v>
      </c>
      <c r="AG27" s="3">
        <f t="shared" si="9"/>
        <v>0</v>
      </c>
      <c r="AH27" s="189">
        <f t="shared" si="21"/>
        <v>0</v>
      </c>
      <c r="AI27" s="189">
        <f t="shared" si="22"/>
        <v>0</v>
      </c>
      <c r="AJ27" s="442">
        <f t="shared" si="23"/>
        <v>0</v>
      </c>
      <c r="AK27" s="307" t="str">
        <f t="shared" si="24"/>
        <v>ー</v>
      </c>
      <c r="AL27" s="503">
        <f t="shared" si="25"/>
        <v>0</v>
      </c>
      <c r="AM27" s="442">
        <f t="shared" si="10"/>
        <v>0</v>
      </c>
      <c r="AN27" s="307" t="str">
        <f t="shared" si="11"/>
        <v>ー</v>
      </c>
      <c r="AP27" s="1">
        <f>IFERROR(VLOOKUP(G27,係数!$B$3:$I$30,7,FALSE),0)</f>
        <v>0</v>
      </c>
      <c r="AQ27" s="1" t="str">
        <f>IFERROR(VLOOKUP(G27,係数!$B$3:$I$30,8,FALSE),"")</f>
        <v/>
      </c>
      <c r="AR27" s="1" t="str">
        <f>IFERROR(VLOOKUP(G27,係数!$B$3:$I$30,4,FALSE),"")</f>
        <v/>
      </c>
      <c r="AS27" s="1">
        <f>IFERROR(VLOOKUP(G27,使用量と光熱費!$C$7:$H$11,6,FALSE),0)</f>
        <v>0</v>
      </c>
      <c r="AT27" s="1">
        <f>IFERROR(VLOOKUP(G27,係数!$B$3:$I$30,2,FALSE),0)</f>
        <v>0</v>
      </c>
      <c r="AU27" s="1">
        <f t="shared" si="12"/>
        <v>0</v>
      </c>
      <c r="AV27" s="1">
        <f>IFERROR(VLOOKUP(Z27,係数!$B$3:$I$30,7,FALSE),0)</f>
        <v>0</v>
      </c>
      <c r="AW27" s="1" t="str">
        <f>IFERROR(VLOOKUP(Z27,係数!$B$3:$I$30,8,FALSE),"")</f>
        <v/>
      </c>
      <c r="AX27" s="1" t="str">
        <f>IFERROR(VLOOKUP(Z27,係数!$B$3:$I$30,4,FALSE),"")</f>
        <v/>
      </c>
      <c r="AY27" s="1">
        <f>IFERROR(VLOOKUP(Z27,使用量と光熱費!$C$7:$H$11,6,FALSE),0)</f>
        <v>0</v>
      </c>
      <c r="AZ27" s="1">
        <f>IFERROR(VLOOKUP(Z27,係数!$B$3:$I$30,2,FALSE),0)</f>
        <v>0</v>
      </c>
      <c r="BA27" s="1">
        <f t="shared" si="13"/>
        <v>0</v>
      </c>
    </row>
    <row r="28" spans="2:53" x14ac:dyDescent="0.45">
      <c r="B28" s="208" t="s">
        <v>181</v>
      </c>
      <c r="C28" s="446"/>
      <c r="D28" s="62"/>
      <c r="E28" s="29"/>
      <c r="F28" s="29"/>
      <c r="G28" s="469"/>
      <c r="H28" s="471" t="str">
        <f t="shared" si="1"/>
        <v>ー</v>
      </c>
      <c r="I28" s="471" t="str">
        <f t="shared" si="2"/>
        <v>ー</v>
      </c>
      <c r="J28" s="29"/>
      <c r="K28" s="231"/>
      <c r="L28" s="192"/>
      <c r="M28" s="192"/>
      <c r="N28" s="29"/>
      <c r="O28" s="3" t="str">
        <f t="shared" si="3"/>
        <v/>
      </c>
      <c r="P28" s="29"/>
      <c r="Q28" s="29"/>
      <c r="R28" s="189">
        <f t="shared" si="14"/>
        <v>0</v>
      </c>
      <c r="S28" s="219">
        <f t="shared" si="15"/>
        <v>0</v>
      </c>
      <c r="T28" s="219">
        <f t="shared" si="16"/>
        <v>0</v>
      </c>
      <c r="U28" s="442">
        <f t="shared" si="17"/>
        <v>0</v>
      </c>
      <c r="V28" s="307" t="str">
        <f t="shared" si="18"/>
        <v>ー</v>
      </c>
      <c r="W28" s="440">
        <f t="shared" si="8"/>
        <v>0</v>
      </c>
      <c r="X28" s="446"/>
      <c r="Y28" s="29"/>
      <c r="Z28" s="469"/>
      <c r="AA28" s="29"/>
      <c r="AB28" s="231"/>
      <c r="AC28" s="192"/>
      <c r="AD28" s="308">
        <f t="shared" si="19"/>
        <v>0</v>
      </c>
      <c r="AE28" s="190" t="str">
        <f t="shared" si="20"/>
        <v/>
      </c>
      <c r="AF28" s="3">
        <f t="shared" si="9"/>
        <v>0</v>
      </c>
      <c r="AG28" s="3">
        <f t="shared" si="9"/>
        <v>0</v>
      </c>
      <c r="AH28" s="189">
        <f t="shared" si="21"/>
        <v>0</v>
      </c>
      <c r="AI28" s="189">
        <f t="shared" si="22"/>
        <v>0</v>
      </c>
      <c r="AJ28" s="442">
        <f t="shared" si="23"/>
        <v>0</v>
      </c>
      <c r="AK28" s="307" t="str">
        <f t="shared" si="24"/>
        <v>ー</v>
      </c>
      <c r="AL28" s="503">
        <f t="shared" si="25"/>
        <v>0</v>
      </c>
      <c r="AM28" s="442">
        <f t="shared" si="10"/>
        <v>0</v>
      </c>
      <c r="AN28" s="307" t="str">
        <f t="shared" si="11"/>
        <v>ー</v>
      </c>
      <c r="AP28" s="1">
        <f>IFERROR(VLOOKUP(G28,係数!$B$3:$I$30,7,FALSE),0)</f>
        <v>0</v>
      </c>
      <c r="AQ28" s="1" t="str">
        <f>IFERROR(VLOOKUP(G28,係数!$B$3:$I$30,8,FALSE),"")</f>
        <v/>
      </c>
      <c r="AR28" s="1" t="str">
        <f>IFERROR(VLOOKUP(G28,係数!$B$3:$I$30,4,FALSE),"")</f>
        <v/>
      </c>
      <c r="AS28" s="1">
        <f>IFERROR(VLOOKUP(G28,使用量と光熱費!$C$7:$H$11,6,FALSE),0)</f>
        <v>0</v>
      </c>
      <c r="AT28" s="1">
        <f>IFERROR(VLOOKUP(G28,係数!$B$3:$I$30,2,FALSE),0)</f>
        <v>0</v>
      </c>
      <c r="AU28" s="1">
        <f t="shared" si="12"/>
        <v>0</v>
      </c>
      <c r="AV28" s="1">
        <f>IFERROR(VLOOKUP(Z28,係数!$B$3:$I$30,7,FALSE),0)</f>
        <v>0</v>
      </c>
      <c r="AW28" s="1" t="str">
        <f>IFERROR(VLOOKUP(Z28,係数!$B$3:$I$30,8,FALSE),"")</f>
        <v/>
      </c>
      <c r="AX28" s="1" t="str">
        <f>IFERROR(VLOOKUP(Z28,係数!$B$3:$I$30,4,FALSE),"")</f>
        <v/>
      </c>
      <c r="AY28" s="1">
        <f>IFERROR(VLOOKUP(Z28,使用量と光熱費!$C$7:$H$11,6,FALSE),0)</f>
        <v>0</v>
      </c>
      <c r="AZ28" s="1">
        <f>IFERROR(VLOOKUP(Z28,係数!$B$3:$I$30,2,FALSE),0)</f>
        <v>0</v>
      </c>
      <c r="BA28" s="1">
        <f t="shared" si="13"/>
        <v>0</v>
      </c>
    </row>
    <row r="29" spans="2:53" x14ac:dyDescent="0.45">
      <c r="B29" s="208" t="s">
        <v>182</v>
      </c>
      <c r="C29" s="446"/>
      <c r="D29" s="62"/>
      <c r="E29" s="29"/>
      <c r="F29" s="29"/>
      <c r="G29" s="469"/>
      <c r="H29" s="471" t="str">
        <f t="shared" si="1"/>
        <v>ー</v>
      </c>
      <c r="I29" s="471" t="str">
        <f t="shared" si="2"/>
        <v>ー</v>
      </c>
      <c r="J29" s="29"/>
      <c r="K29" s="231"/>
      <c r="L29" s="192"/>
      <c r="M29" s="192"/>
      <c r="N29" s="29"/>
      <c r="O29" s="3" t="str">
        <f t="shared" si="3"/>
        <v/>
      </c>
      <c r="P29" s="29"/>
      <c r="Q29" s="29"/>
      <c r="R29" s="189">
        <f t="shared" si="14"/>
        <v>0</v>
      </c>
      <c r="S29" s="219">
        <f t="shared" si="15"/>
        <v>0</v>
      </c>
      <c r="T29" s="219">
        <f t="shared" si="16"/>
        <v>0</v>
      </c>
      <c r="U29" s="442">
        <f t="shared" si="17"/>
        <v>0</v>
      </c>
      <c r="V29" s="307" t="str">
        <f t="shared" si="18"/>
        <v>ー</v>
      </c>
      <c r="W29" s="440">
        <f t="shared" si="8"/>
        <v>0</v>
      </c>
      <c r="X29" s="446"/>
      <c r="Y29" s="29"/>
      <c r="Z29" s="469"/>
      <c r="AA29" s="29"/>
      <c r="AB29" s="231"/>
      <c r="AC29" s="192"/>
      <c r="AD29" s="308">
        <f t="shared" si="19"/>
        <v>0</v>
      </c>
      <c r="AE29" s="190" t="str">
        <f t="shared" si="20"/>
        <v/>
      </c>
      <c r="AF29" s="3">
        <f t="shared" si="9"/>
        <v>0</v>
      </c>
      <c r="AG29" s="3">
        <f t="shared" si="9"/>
        <v>0</v>
      </c>
      <c r="AH29" s="189">
        <f t="shared" si="21"/>
        <v>0</v>
      </c>
      <c r="AI29" s="189">
        <f t="shared" si="22"/>
        <v>0</v>
      </c>
      <c r="AJ29" s="442">
        <f t="shared" si="23"/>
        <v>0</v>
      </c>
      <c r="AK29" s="307" t="str">
        <f t="shared" si="24"/>
        <v>ー</v>
      </c>
      <c r="AL29" s="503">
        <f t="shared" si="25"/>
        <v>0</v>
      </c>
      <c r="AM29" s="442">
        <f t="shared" si="10"/>
        <v>0</v>
      </c>
      <c r="AN29" s="307" t="str">
        <f t="shared" si="11"/>
        <v>ー</v>
      </c>
      <c r="AP29" s="1">
        <f>IFERROR(VLOOKUP(G29,係数!$B$3:$I$30,7,FALSE),0)</f>
        <v>0</v>
      </c>
      <c r="AQ29" s="1" t="str">
        <f>IFERROR(VLOOKUP(G29,係数!$B$3:$I$30,8,FALSE),"")</f>
        <v/>
      </c>
      <c r="AR29" s="1" t="str">
        <f>IFERROR(VLOOKUP(G29,係数!$B$3:$I$30,4,FALSE),"")</f>
        <v/>
      </c>
      <c r="AS29" s="1">
        <f>IFERROR(VLOOKUP(G29,使用量と光熱費!$C$7:$H$11,6,FALSE),0)</f>
        <v>0</v>
      </c>
      <c r="AT29" s="1">
        <f>IFERROR(VLOOKUP(G29,係数!$B$3:$I$30,2,FALSE),0)</f>
        <v>0</v>
      </c>
      <c r="AU29" s="1">
        <f t="shared" si="12"/>
        <v>0</v>
      </c>
      <c r="AV29" s="1">
        <f>IFERROR(VLOOKUP(Z29,係数!$B$3:$I$30,7,FALSE),0)</f>
        <v>0</v>
      </c>
      <c r="AW29" s="1" t="str">
        <f>IFERROR(VLOOKUP(Z29,係数!$B$3:$I$30,8,FALSE),"")</f>
        <v/>
      </c>
      <c r="AX29" s="1" t="str">
        <f>IFERROR(VLOOKUP(Z29,係数!$B$3:$I$30,4,FALSE),"")</f>
        <v/>
      </c>
      <c r="AY29" s="1">
        <f>IFERROR(VLOOKUP(Z29,使用量と光熱費!$C$7:$H$11,6,FALSE),0)</f>
        <v>0</v>
      </c>
      <c r="AZ29" s="1">
        <f>IFERROR(VLOOKUP(Z29,係数!$B$3:$I$30,2,FALSE),0)</f>
        <v>0</v>
      </c>
      <c r="BA29" s="1">
        <f t="shared" si="13"/>
        <v>0</v>
      </c>
    </row>
    <row r="30" spans="2:53" x14ac:dyDescent="0.45">
      <c r="B30" s="208" t="s">
        <v>183</v>
      </c>
      <c r="C30" s="446"/>
      <c r="D30" s="62"/>
      <c r="E30" s="29"/>
      <c r="F30" s="29"/>
      <c r="G30" s="469"/>
      <c r="H30" s="471" t="str">
        <f t="shared" si="1"/>
        <v>ー</v>
      </c>
      <c r="I30" s="471" t="str">
        <f t="shared" si="2"/>
        <v>ー</v>
      </c>
      <c r="J30" s="29"/>
      <c r="K30" s="231"/>
      <c r="L30" s="192"/>
      <c r="M30" s="192"/>
      <c r="N30" s="29"/>
      <c r="O30" s="3" t="str">
        <f t="shared" si="3"/>
        <v/>
      </c>
      <c r="P30" s="29"/>
      <c r="Q30" s="29"/>
      <c r="R30" s="189">
        <f t="shared" si="14"/>
        <v>0</v>
      </c>
      <c r="S30" s="219">
        <f t="shared" si="15"/>
        <v>0</v>
      </c>
      <c r="T30" s="219">
        <f t="shared" si="16"/>
        <v>0</v>
      </c>
      <c r="U30" s="442">
        <f t="shared" si="17"/>
        <v>0</v>
      </c>
      <c r="V30" s="307" t="str">
        <f t="shared" si="18"/>
        <v>ー</v>
      </c>
      <c r="W30" s="440">
        <f t="shared" si="8"/>
        <v>0</v>
      </c>
      <c r="X30" s="446"/>
      <c r="Y30" s="29"/>
      <c r="Z30" s="469"/>
      <c r="AA30" s="29"/>
      <c r="AB30" s="231"/>
      <c r="AC30" s="192"/>
      <c r="AD30" s="308">
        <f t="shared" si="19"/>
        <v>0</v>
      </c>
      <c r="AE30" s="190" t="str">
        <f t="shared" si="20"/>
        <v/>
      </c>
      <c r="AF30" s="3">
        <f t="shared" si="9"/>
        <v>0</v>
      </c>
      <c r="AG30" s="3">
        <f t="shared" si="9"/>
        <v>0</v>
      </c>
      <c r="AH30" s="189">
        <f t="shared" si="21"/>
        <v>0</v>
      </c>
      <c r="AI30" s="189">
        <f t="shared" si="22"/>
        <v>0</v>
      </c>
      <c r="AJ30" s="442">
        <f t="shared" si="23"/>
        <v>0</v>
      </c>
      <c r="AK30" s="307" t="str">
        <f t="shared" si="24"/>
        <v>ー</v>
      </c>
      <c r="AL30" s="503">
        <f t="shared" si="25"/>
        <v>0</v>
      </c>
      <c r="AM30" s="442">
        <f t="shared" si="10"/>
        <v>0</v>
      </c>
      <c r="AN30" s="307" t="str">
        <f t="shared" si="11"/>
        <v>ー</v>
      </c>
      <c r="AP30" s="1">
        <f>IFERROR(VLOOKUP(G30,係数!$B$3:$I$30,7,FALSE),0)</f>
        <v>0</v>
      </c>
      <c r="AQ30" s="1" t="str">
        <f>IFERROR(VLOOKUP(G30,係数!$B$3:$I$30,8,FALSE),"")</f>
        <v/>
      </c>
      <c r="AR30" s="1" t="str">
        <f>IFERROR(VLOOKUP(G30,係数!$B$3:$I$30,4,FALSE),"")</f>
        <v/>
      </c>
      <c r="AS30" s="1">
        <f>IFERROR(VLOOKUP(G30,使用量と光熱費!$C$7:$H$11,6,FALSE),0)</f>
        <v>0</v>
      </c>
      <c r="AT30" s="1">
        <f>IFERROR(VLOOKUP(G30,係数!$B$3:$I$30,2,FALSE),0)</f>
        <v>0</v>
      </c>
      <c r="AU30" s="1">
        <f t="shared" si="12"/>
        <v>0</v>
      </c>
      <c r="AV30" s="1">
        <f>IFERROR(VLOOKUP(Z30,係数!$B$3:$I$30,7,FALSE),0)</f>
        <v>0</v>
      </c>
      <c r="AW30" s="1" t="str">
        <f>IFERROR(VLOOKUP(Z30,係数!$B$3:$I$30,8,FALSE),"")</f>
        <v/>
      </c>
      <c r="AX30" s="1" t="str">
        <f>IFERROR(VLOOKUP(Z30,係数!$B$3:$I$30,4,FALSE),"")</f>
        <v/>
      </c>
      <c r="AY30" s="1">
        <f>IFERROR(VLOOKUP(Z30,使用量と光熱費!$C$7:$H$11,6,FALSE),0)</f>
        <v>0</v>
      </c>
      <c r="AZ30" s="1">
        <f>IFERROR(VLOOKUP(Z30,係数!$B$3:$I$30,2,FALSE),0)</f>
        <v>0</v>
      </c>
      <c r="BA30" s="1">
        <f t="shared" si="13"/>
        <v>0</v>
      </c>
    </row>
    <row r="31" spans="2:53" x14ac:dyDescent="0.45">
      <c r="B31" s="208" t="s">
        <v>184</v>
      </c>
      <c r="C31" s="446"/>
      <c r="D31" s="62"/>
      <c r="E31" s="29"/>
      <c r="F31" s="29"/>
      <c r="G31" s="469"/>
      <c r="H31" s="471" t="str">
        <f t="shared" si="1"/>
        <v>ー</v>
      </c>
      <c r="I31" s="471" t="str">
        <f t="shared" si="2"/>
        <v>ー</v>
      </c>
      <c r="J31" s="29"/>
      <c r="K31" s="231"/>
      <c r="L31" s="192"/>
      <c r="M31" s="192"/>
      <c r="N31" s="29"/>
      <c r="O31" s="3" t="str">
        <f t="shared" si="3"/>
        <v/>
      </c>
      <c r="P31" s="29"/>
      <c r="Q31" s="29"/>
      <c r="R31" s="189">
        <f t="shared" si="14"/>
        <v>0</v>
      </c>
      <c r="S31" s="219">
        <f t="shared" si="15"/>
        <v>0</v>
      </c>
      <c r="T31" s="219">
        <f t="shared" si="16"/>
        <v>0</v>
      </c>
      <c r="U31" s="442">
        <f t="shared" si="17"/>
        <v>0</v>
      </c>
      <c r="V31" s="307" t="str">
        <f t="shared" si="18"/>
        <v>ー</v>
      </c>
      <c r="W31" s="440">
        <f t="shared" si="8"/>
        <v>0</v>
      </c>
      <c r="X31" s="446"/>
      <c r="Y31" s="29"/>
      <c r="Z31" s="469"/>
      <c r="AA31" s="29"/>
      <c r="AB31" s="231"/>
      <c r="AC31" s="192"/>
      <c r="AD31" s="308">
        <f t="shared" si="19"/>
        <v>0</v>
      </c>
      <c r="AE31" s="190" t="str">
        <f t="shared" si="20"/>
        <v/>
      </c>
      <c r="AF31" s="3">
        <f t="shared" si="9"/>
        <v>0</v>
      </c>
      <c r="AG31" s="3">
        <f t="shared" si="9"/>
        <v>0</v>
      </c>
      <c r="AH31" s="189">
        <f t="shared" si="21"/>
        <v>0</v>
      </c>
      <c r="AI31" s="189">
        <f t="shared" si="22"/>
        <v>0</v>
      </c>
      <c r="AJ31" s="442">
        <f t="shared" si="23"/>
        <v>0</v>
      </c>
      <c r="AK31" s="307" t="str">
        <f t="shared" si="24"/>
        <v>ー</v>
      </c>
      <c r="AL31" s="503">
        <f t="shared" si="25"/>
        <v>0</v>
      </c>
      <c r="AM31" s="442">
        <f t="shared" si="10"/>
        <v>0</v>
      </c>
      <c r="AN31" s="307" t="str">
        <f t="shared" si="11"/>
        <v>ー</v>
      </c>
      <c r="AP31" s="1">
        <f>IFERROR(VLOOKUP(G31,係数!$B$3:$I$30,7,FALSE),0)</f>
        <v>0</v>
      </c>
      <c r="AQ31" s="1" t="str">
        <f>IFERROR(VLOOKUP(G31,係数!$B$3:$I$30,8,FALSE),"")</f>
        <v/>
      </c>
      <c r="AR31" s="1" t="str">
        <f>IFERROR(VLOOKUP(G31,係数!$B$3:$I$30,4,FALSE),"")</f>
        <v/>
      </c>
      <c r="AS31" s="1">
        <f>IFERROR(VLOOKUP(G31,使用量と光熱費!$C$7:$H$11,6,FALSE),0)</f>
        <v>0</v>
      </c>
      <c r="AT31" s="1">
        <f>IFERROR(VLOOKUP(G31,係数!$B$3:$I$30,2,FALSE),0)</f>
        <v>0</v>
      </c>
      <c r="AU31" s="1">
        <f t="shared" si="12"/>
        <v>0</v>
      </c>
      <c r="AV31" s="1">
        <f>IFERROR(VLOOKUP(Z31,係数!$B$3:$I$30,7,FALSE),0)</f>
        <v>0</v>
      </c>
      <c r="AW31" s="1" t="str">
        <f>IFERROR(VLOOKUP(Z31,係数!$B$3:$I$30,8,FALSE),"")</f>
        <v/>
      </c>
      <c r="AX31" s="1" t="str">
        <f>IFERROR(VLOOKUP(Z31,係数!$B$3:$I$30,4,FALSE),"")</f>
        <v/>
      </c>
      <c r="AY31" s="1">
        <f>IFERROR(VLOOKUP(Z31,使用量と光熱費!$C$7:$H$11,6,FALSE),0)</f>
        <v>0</v>
      </c>
      <c r="AZ31" s="1">
        <f>IFERROR(VLOOKUP(Z31,係数!$B$3:$I$30,2,FALSE),0)</f>
        <v>0</v>
      </c>
      <c r="BA31" s="1">
        <f t="shared" si="13"/>
        <v>0</v>
      </c>
    </row>
    <row r="32" spans="2:53" x14ac:dyDescent="0.45">
      <c r="B32" s="208" t="s">
        <v>185</v>
      </c>
      <c r="C32" s="446"/>
      <c r="D32" s="62"/>
      <c r="E32" s="29"/>
      <c r="F32" s="29"/>
      <c r="G32" s="469"/>
      <c r="H32" s="471" t="str">
        <f t="shared" si="1"/>
        <v>ー</v>
      </c>
      <c r="I32" s="471" t="str">
        <f t="shared" si="2"/>
        <v>ー</v>
      </c>
      <c r="J32" s="29"/>
      <c r="K32" s="231"/>
      <c r="L32" s="192"/>
      <c r="M32" s="192"/>
      <c r="N32" s="29"/>
      <c r="O32" s="3" t="str">
        <f t="shared" si="3"/>
        <v/>
      </c>
      <c r="P32" s="29"/>
      <c r="Q32" s="29"/>
      <c r="R32" s="189">
        <f t="shared" si="14"/>
        <v>0</v>
      </c>
      <c r="S32" s="219">
        <f t="shared" si="15"/>
        <v>0</v>
      </c>
      <c r="T32" s="219">
        <f t="shared" si="16"/>
        <v>0</v>
      </c>
      <c r="U32" s="442">
        <f t="shared" si="17"/>
        <v>0</v>
      </c>
      <c r="V32" s="307" t="str">
        <f t="shared" si="18"/>
        <v>ー</v>
      </c>
      <c r="W32" s="440">
        <f t="shared" si="8"/>
        <v>0</v>
      </c>
      <c r="X32" s="446"/>
      <c r="Y32" s="29"/>
      <c r="Z32" s="469"/>
      <c r="AA32" s="29"/>
      <c r="AB32" s="231"/>
      <c r="AC32" s="192"/>
      <c r="AD32" s="308">
        <f t="shared" si="19"/>
        <v>0</v>
      </c>
      <c r="AE32" s="190" t="str">
        <f t="shared" si="20"/>
        <v/>
      </c>
      <c r="AF32" s="3">
        <f t="shared" si="9"/>
        <v>0</v>
      </c>
      <c r="AG32" s="3">
        <f t="shared" si="9"/>
        <v>0</v>
      </c>
      <c r="AH32" s="189">
        <f t="shared" si="21"/>
        <v>0</v>
      </c>
      <c r="AI32" s="189">
        <f t="shared" si="22"/>
        <v>0</v>
      </c>
      <c r="AJ32" s="442">
        <f t="shared" si="23"/>
        <v>0</v>
      </c>
      <c r="AK32" s="307" t="str">
        <f t="shared" si="24"/>
        <v>ー</v>
      </c>
      <c r="AL32" s="503">
        <f t="shared" si="25"/>
        <v>0</v>
      </c>
      <c r="AM32" s="442">
        <f t="shared" si="10"/>
        <v>0</v>
      </c>
      <c r="AN32" s="307" t="str">
        <f t="shared" si="11"/>
        <v>ー</v>
      </c>
      <c r="AP32" s="1">
        <f>IFERROR(VLOOKUP(G32,係数!$B$3:$I$30,7,FALSE),0)</f>
        <v>0</v>
      </c>
      <c r="AQ32" s="1" t="str">
        <f>IFERROR(VLOOKUP(G32,係数!$B$3:$I$30,8,FALSE),"")</f>
        <v/>
      </c>
      <c r="AR32" s="1" t="str">
        <f>IFERROR(VLOOKUP(G32,係数!$B$3:$I$30,4,FALSE),"")</f>
        <v/>
      </c>
      <c r="AS32" s="1">
        <f>IFERROR(VLOOKUP(G32,使用量と光熱費!$C$7:$H$11,6,FALSE),0)</f>
        <v>0</v>
      </c>
      <c r="AT32" s="1">
        <f>IFERROR(VLOOKUP(G32,係数!$B$3:$I$30,2,FALSE),0)</f>
        <v>0</v>
      </c>
      <c r="AU32" s="1">
        <f t="shared" si="12"/>
        <v>0</v>
      </c>
      <c r="AV32" s="1">
        <f>IFERROR(VLOOKUP(Z32,係数!$B$3:$I$30,7,FALSE),0)</f>
        <v>0</v>
      </c>
      <c r="AW32" s="1" t="str">
        <f>IFERROR(VLOOKUP(Z32,係数!$B$3:$I$30,8,FALSE),"")</f>
        <v/>
      </c>
      <c r="AX32" s="1" t="str">
        <f>IFERROR(VLOOKUP(Z32,係数!$B$3:$I$30,4,FALSE),"")</f>
        <v/>
      </c>
      <c r="AY32" s="1">
        <f>IFERROR(VLOOKUP(Z32,使用量と光熱費!$C$7:$H$11,6,FALSE),0)</f>
        <v>0</v>
      </c>
      <c r="AZ32" s="1">
        <f>IFERROR(VLOOKUP(Z32,係数!$B$3:$I$30,2,FALSE),0)</f>
        <v>0</v>
      </c>
      <c r="BA32" s="1">
        <f t="shared" si="13"/>
        <v>0</v>
      </c>
    </row>
    <row r="33" spans="2:53" x14ac:dyDescent="0.45">
      <c r="B33" s="208" t="s">
        <v>186</v>
      </c>
      <c r="C33" s="446"/>
      <c r="D33" s="62"/>
      <c r="E33" s="29"/>
      <c r="F33" s="29"/>
      <c r="G33" s="469"/>
      <c r="H33" s="471" t="str">
        <f t="shared" si="1"/>
        <v>ー</v>
      </c>
      <c r="I33" s="471" t="str">
        <f t="shared" si="2"/>
        <v>ー</v>
      </c>
      <c r="J33" s="29"/>
      <c r="K33" s="231"/>
      <c r="L33" s="192"/>
      <c r="M33" s="192"/>
      <c r="N33" s="29"/>
      <c r="O33" s="3" t="str">
        <f t="shared" si="3"/>
        <v/>
      </c>
      <c r="P33" s="29"/>
      <c r="Q33" s="29"/>
      <c r="R33" s="189">
        <f t="shared" si="14"/>
        <v>0</v>
      </c>
      <c r="S33" s="219">
        <f t="shared" si="15"/>
        <v>0</v>
      </c>
      <c r="T33" s="219">
        <f t="shared" si="16"/>
        <v>0</v>
      </c>
      <c r="U33" s="442">
        <f t="shared" si="17"/>
        <v>0</v>
      </c>
      <c r="V33" s="307" t="str">
        <f t="shared" si="18"/>
        <v>ー</v>
      </c>
      <c r="W33" s="440">
        <f t="shared" si="8"/>
        <v>0</v>
      </c>
      <c r="X33" s="446"/>
      <c r="Y33" s="29"/>
      <c r="Z33" s="469"/>
      <c r="AA33" s="29"/>
      <c r="AB33" s="231"/>
      <c r="AC33" s="192"/>
      <c r="AD33" s="308">
        <f t="shared" si="19"/>
        <v>0</v>
      </c>
      <c r="AE33" s="190" t="str">
        <f t="shared" si="20"/>
        <v/>
      </c>
      <c r="AF33" s="3">
        <f t="shared" si="9"/>
        <v>0</v>
      </c>
      <c r="AG33" s="3">
        <f t="shared" si="9"/>
        <v>0</v>
      </c>
      <c r="AH33" s="189">
        <f t="shared" si="21"/>
        <v>0</v>
      </c>
      <c r="AI33" s="189">
        <f t="shared" si="22"/>
        <v>0</v>
      </c>
      <c r="AJ33" s="442">
        <f t="shared" si="23"/>
        <v>0</v>
      </c>
      <c r="AK33" s="307" t="str">
        <f t="shared" si="24"/>
        <v>ー</v>
      </c>
      <c r="AL33" s="503">
        <f t="shared" si="25"/>
        <v>0</v>
      </c>
      <c r="AM33" s="442">
        <f t="shared" si="10"/>
        <v>0</v>
      </c>
      <c r="AN33" s="307" t="str">
        <f t="shared" si="11"/>
        <v>ー</v>
      </c>
      <c r="AP33" s="1">
        <f>IFERROR(VLOOKUP(G33,係数!$B$3:$I$30,7,FALSE),0)</f>
        <v>0</v>
      </c>
      <c r="AQ33" s="1" t="str">
        <f>IFERROR(VLOOKUP(G33,係数!$B$3:$I$30,8,FALSE),"")</f>
        <v/>
      </c>
      <c r="AR33" s="1" t="str">
        <f>IFERROR(VLOOKUP(G33,係数!$B$3:$I$30,4,FALSE),"")</f>
        <v/>
      </c>
      <c r="AS33" s="1">
        <f>IFERROR(VLOOKUP(G33,使用量と光熱費!$C$7:$H$11,6,FALSE),0)</f>
        <v>0</v>
      </c>
      <c r="AT33" s="1">
        <f>IFERROR(VLOOKUP(G33,係数!$B$3:$I$30,2,FALSE),0)</f>
        <v>0</v>
      </c>
      <c r="AU33" s="1">
        <f t="shared" si="12"/>
        <v>0</v>
      </c>
      <c r="AV33" s="1">
        <f>IFERROR(VLOOKUP(Z33,係数!$B$3:$I$30,7,FALSE),0)</f>
        <v>0</v>
      </c>
      <c r="AW33" s="1" t="str">
        <f>IFERROR(VLOOKUP(Z33,係数!$B$3:$I$30,8,FALSE),"")</f>
        <v/>
      </c>
      <c r="AX33" s="1" t="str">
        <f>IFERROR(VLOOKUP(Z33,係数!$B$3:$I$30,4,FALSE),"")</f>
        <v/>
      </c>
      <c r="AY33" s="1">
        <f>IFERROR(VLOOKUP(Z33,使用量と光熱費!$C$7:$H$11,6,FALSE),0)</f>
        <v>0</v>
      </c>
      <c r="AZ33" s="1">
        <f>IFERROR(VLOOKUP(Z33,係数!$B$3:$I$30,2,FALSE),0)</f>
        <v>0</v>
      </c>
      <c r="BA33" s="1">
        <f t="shared" si="13"/>
        <v>0</v>
      </c>
    </row>
    <row r="34" spans="2:53" x14ac:dyDescent="0.45">
      <c r="B34" s="208" t="s">
        <v>187</v>
      </c>
      <c r="C34" s="446"/>
      <c r="D34" s="62"/>
      <c r="E34" s="29"/>
      <c r="F34" s="29"/>
      <c r="G34" s="469"/>
      <c r="H34" s="471" t="str">
        <f t="shared" si="1"/>
        <v>ー</v>
      </c>
      <c r="I34" s="471" t="str">
        <f t="shared" si="2"/>
        <v>ー</v>
      </c>
      <c r="J34" s="29"/>
      <c r="K34" s="231"/>
      <c r="L34" s="192"/>
      <c r="M34" s="192"/>
      <c r="N34" s="29"/>
      <c r="O34" s="3" t="str">
        <f t="shared" si="3"/>
        <v/>
      </c>
      <c r="P34" s="29"/>
      <c r="Q34" s="29"/>
      <c r="R34" s="189">
        <f t="shared" si="14"/>
        <v>0</v>
      </c>
      <c r="S34" s="219">
        <f t="shared" si="15"/>
        <v>0</v>
      </c>
      <c r="T34" s="219">
        <f t="shared" si="16"/>
        <v>0</v>
      </c>
      <c r="U34" s="442">
        <f t="shared" si="17"/>
        <v>0</v>
      </c>
      <c r="V34" s="307" t="str">
        <f t="shared" si="18"/>
        <v>ー</v>
      </c>
      <c r="W34" s="440">
        <f t="shared" si="8"/>
        <v>0</v>
      </c>
      <c r="X34" s="446"/>
      <c r="Y34" s="29"/>
      <c r="Z34" s="469"/>
      <c r="AA34" s="29"/>
      <c r="AB34" s="231"/>
      <c r="AC34" s="192"/>
      <c r="AD34" s="308">
        <f t="shared" si="19"/>
        <v>0</v>
      </c>
      <c r="AE34" s="190" t="str">
        <f t="shared" si="20"/>
        <v/>
      </c>
      <c r="AF34" s="3">
        <f t="shared" si="9"/>
        <v>0</v>
      </c>
      <c r="AG34" s="3">
        <f t="shared" si="9"/>
        <v>0</v>
      </c>
      <c r="AH34" s="189">
        <f t="shared" si="21"/>
        <v>0</v>
      </c>
      <c r="AI34" s="189">
        <f t="shared" si="22"/>
        <v>0</v>
      </c>
      <c r="AJ34" s="442">
        <f t="shared" si="23"/>
        <v>0</v>
      </c>
      <c r="AK34" s="307" t="str">
        <f t="shared" si="24"/>
        <v>ー</v>
      </c>
      <c r="AL34" s="503">
        <f t="shared" si="25"/>
        <v>0</v>
      </c>
      <c r="AM34" s="442">
        <f t="shared" si="10"/>
        <v>0</v>
      </c>
      <c r="AN34" s="307" t="str">
        <f t="shared" si="11"/>
        <v>ー</v>
      </c>
      <c r="AP34" s="1">
        <f>IFERROR(VLOOKUP(G34,係数!$B$3:$I$30,7,FALSE),0)</f>
        <v>0</v>
      </c>
      <c r="AQ34" s="1" t="str">
        <f>IFERROR(VLOOKUP(G34,係数!$B$3:$I$30,8,FALSE),"")</f>
        <v/>
      </c>
      <c r="AR34" s="1" t="str">
        <f>IFERROR(VLOOKUP(G34,係数!$B$3:$I$30,4,FALSE),"")</f>
        <v/>
      </c>
      <c r="AS34" s="1">
        <f>IFERROR(VLOOKUP(G34,使用量と光熱費!$C$7:$H$11,6,FALSE),0)</f>
        <v>0</v>
      </c>
      <c r="AT34" s="1">
        <f>IFERROR(VLOOKUP(G34,係数!$B$3:$I$30,2,FALSE),0)</f>
        <v>0</v>
      </c>
      <c r="AU34" s="1">
        <f t="shared" si="12"/>
        <v>0</v>
      </c>
      <c r="AV34" s="1">
        <f>IFERROR(VLOOKUP(Z34,係数!$B$3:$I$30,7,FALSE),0)</f>
        <v>0</v>
      </c>
      <c r="AW34" s="1" t="str">
        <f>IFERROR(VLOOKUP(Z34,係数!$B$3:$I$30,8,FALSE),"")</f>
        <v/>
      </c>
      <c r="AX34" s="1" t="str">
        <f>IFERROR(VLOOKUP(Z34,係数!$B$3:$I$30,4,FALSE),"")</f>
        <v/>
      </c>
      <c r="AY34" s="1">
        <f>IFERROR(VLOOKUP(Z34,使用量と光熱費!$C$7:$H$11,6,FALSE),0)</f>
        <v>0</v>
      </c>
      <c r="AZ34" s="1">
        <f>IFERROR(VLOOKUP(Z34,係数!$B$3:$I$30,2,FALSE),0)</f>
        <v>0</v>
      </c>
      <c r="BA34" s="1">
        <f t="shared" si="13"/>
        <v>0</v>
      </c>
    </row>
  </sheetData>
  <sheetProtection algorithmName="SHA-512" hashValue="qb1JbLO0C43MmH8jf+tbG9INCoXBXQHTX5TM323w7Gq5XGSB8zac9IsnYEgs07bp66JaXhlXpVrkW3GD0yyzrw==" saltValue="ZHTyA6F9BCRFT1cyMaSp0w==" spinCount="100000" sheet="1" objects="1" scenarios="1" formatCells="0" formatColumns="0" formatRows="0"/>
  <mergeCells count="11">
    <mergeCell ref="B15:B16"/>
    <mergeCell ref="D3:E3"/>
    <mergeCell ref="D4:E4"/>
    <mergeCell ref="M3:U3"/>
    <mergeCell ref="M4:U4"/>
    <mergeCell ref="D5:E5"/>
    <mergeCell ref="D6:E6"/>
    <mergeCell ref="M6:U6"/>
    <mergeCell ref="M7:N8"/>
    <mergeCell ref="S7:U9"/>
    <mergeCell ref="M9:N9"/>
  </mergeCells>
  <phoneticPr fontId="5"/>
  <conditionalFormatting sqref="J6">
    <cfRule type="expression" dxfId="78" priority="14">
      <formula>$E$1="なし"</formula>
    </cfRule>
  </conditionalFormatting>
  <conditionalFormatting sqref="G6">
    <cfRule type="expression" dxfId="77" priority="13">
      <formula>$E$1="なし"</formula>
    </cfRule>
  </conditionalFormatting>
  <conditionalFormatting sqref="H6">
    <cfRule type="expression" dxfId="76" priority="12">
      <formula>$E$1="なし"</formula>
    </cfRule>
  </conditionalFormatting>
  <conditionalFormatting sqref="AC20:AC34">
    <cfRule type="expression" dxfId="75" priority="11">
      <formula>$D$1="なし"</formula>
    </cfRule>
  </conditionalFormatting>
  <conditionalFormatting sqref="AK20:AK34">
    <cfRule type="expression" dxfId="74" priority="9">
      <formula>$D$1="なし"</formula>
    </cfRule>
  </conditionalFormatting>
  <conditionalFormatting sqref="AL20:AL34">
    <cfRule type="expression" dxfId="73" priority="8">
      <formula>$D$1="なし"</formula>
    </cfRule>
  </conditionalFormatting>
  <conditionalFormatting sqref="AE20:AE34">
    <cfRule type="expression" dxfId="72" priority="7">
      <formula>$D$1="なし"</formula>
    </cfRule>
  </conditionalFormatting>
  <conditionalFormatting sqref="Z18">
    <cfRule type="expression" dxfId="71" priority="6">
      <formula>$D$1="なし"</formula>
    </cfRule>
  </conditionalFormatting>
  <conditionalFormatting sqref="AA20:AA34">
    <cfRule type="expression" dxfId="70" priority="5">
      <formula>$D$1="なし"</formula>
    </cfRule>
  </conditionalFormatting>
  <conditionalFormatting sqref="Q9">
    <cfRule type="cellIs" dxfId="69" priority="4" operator="greaterThan">
      <formula>$O$9</formula>
    </cfRule>
  </conditionalFormatting>
  <conditionalFormatting sqref="R9">
    <cfRule type="cellIs" dxfId="68" priority="3" operator="greaterThan">
      <formula>$P$9</formula>
    </cfRule>
  </conditionalFormatting>
  <conditionalFormatting sqref="S7">
    <cfRule type="cellIs" dxfId="67" priority="2" operator="notEqual">
      <formula>"ー"</formula>
    </cfRule>
  </conditionalFormatting>
  <conditionalFormatting sqref="E20:E34">
    <cfRule type="expression" dxfId="66" priority="1">
      <formula>$D20&lt;&gt;"給湯器（HP）"</formula>
    </cfRule>
  </conditionalFormatting>
  <dataValidations count="3">
    <dataValidation type="list" allowBlank="1" showInputMessage="1" showErrorMessage="1" sqref="AB20:AB34 K20:K34" xr:uid="{00000000-0002-0000-0600-000000000000}">
      <formula1>"t/h,kW"</formula1>
    </dataValidation>
    <dataValidation type="list" allowBlank="1" showInputMessage="1" showErrorMessage="1" sqref="D18 D20:D34" xr:uid="{00000000-0002-0000-0600-000001000000}">
      <formula1>"ボイラー,給湯器（加熱式）,給湯器（HP）"</formula1>
    </dataValidation>
    <dataValidation type="list" allowBlank="1" showInputMessage="1" showErrorMessage="1" sqref="AB18 K18" xr:uid="{00000000-0002-0000-0600-000002000000}">
      <formula1>"　,t/h,kW"</formula1>
    </dataValidation>
  </dataValidations>
  <pageMargins left="0.70866141732283472" right="0.70866141732283472" top="0.74803149606299213" bottom="0.74803149606299213" header="0.31496062992125984" footer="0.31496062992125984"/>
  <pageSetup paperSize="8" scale="36" fitToHeight="0" orientation="landscape" r:id="rId1"/>
  <colBreaks count="1" manualBreakCount="1">
    <brk id="53" max="1048575" man="1"/>
  </colBreaks>
  <ignoredErrors>
    <ignoredError sqref="S19:AN19 I5"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'C:\Users\egashira\Dropbox (エヌエス環境)\01000_03_本社_技術部\技術部\3.受注業務対応\環境計画23-11 千葉県_R5脱炭素化促進事業\03.作業用\簡易ツール\[神奈川県【0529修正】co2santeisheet3.xlsx]係数'!#REF!</xm:f>
          </x14:formula1>
          <xm:sqref>G18 Z18</xm:sqref>
        </x14:dataValidation>
        <x14:dataValidation type="list" allowBlank="1" showInputMessage="1" showErrorMessage="1" xr:uid="{00000000-0002-0000-0600-000004000000}">
          <x14:formula1>
            <xm:f>係数!$B$3:$B$30</xm:f>
          </x14:formula1>
          <xm:sqref>G20:G34 Z20:Z34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4"/>
  <sheetViews>
    <sheetView view="pageBreakPreview" topLeftCell="A2" zoomScale="85" zoomScaleNormal="70" zoomScaleSheetLayoutView="85" workbookViewId="0">
      <selection activeCell="C20" sqref="C20"/>
    </sheetView>
  </sheetViews>
  <sheetFormatPr defaultRowHeight="18" x14ac:dyDescent="0.45"/>
  <cols>
    <col min="2" max="2" width="10.09765625" customWidth="1"/>
    <col min="3" max="3" width="9.69921875" customWidth="1"/>
    <col min="4" max="6" width="9.19921875" customWidth="1"/>
    <col min="7" max="7" width="9.19921875" style="43" customWidth="1"/>
    <col min="8" max="11" width="9.19921875" customWidth="1"/>
    <col min="12" max="12" width="9" customWidth="1"/>
    <col min="13" max="13" width="5" customWidth="1"/>
    <col min="14" max="16" width="9.19921875" customWidth="1"/>
    <col min="17" max="17" width="9.59765625" customWidth="1"/>
    <col min="18" max="26" width="9.19921875" customWidth="1"/>
    <col min="27" max="27" width="4.796875" customWidth="1"/>
    <col min="28" max="32" width="9.19921875" customWidth="1"/>
  </cols>
  <sheetData>
    <row r="1" spans="1:32" ht="28.8" x14ac:dyDescent="0.7">
      <c r="A1" s="100" t="s">
        <v>591</v>
      </c>
      <c r="G1" s="309"/>
      <c r="I1" s="195"/>
      <c r="L1" s="196"/>
    </row>
    <row r="2" spans="1:32" x14ac:dyDescent="0.45">
      <c r="A2" t="s">
        <v>409</v>
      </c>
    </row>
    <row r="3" spans="1:32" x14ac:dyDescent="0.45">
      <c r="D3" s="594" t="s">
        <v>141</v>
      </c>
      <c r="E3" s="595"/>
      <c r="F3" s="208" t="s">
        <v>140</v>
      </c>
      <c r="G3" s="197" t="s">
        <v>76</v>
      </c>
      <c r="H3" s="197" t="s">
        <v>87</v>
      </c>
      <c r="I3" s="197" t="s">
        <v>193</v>
      </c>
      <c r="J3" s="198" t="s">
        <v>197</v>
      </c>
      <c r="N3" s="619" t="s">
        <v>529</v>
      </c>
      <c r="O3" s="620"/>
      <c r="P3" s="620"/>
      <c r="Q3" s="620"/>
      <c r="R3" s="620"/>
      <c r="S3" s="620"/>
      <c r="T3" s="620"/>
      <c r="U3" s="620"/>
      <c r="V3" s="620"/>
      <c r="W3" s="621"/>
      <c r="Y3" s="310"/>
    </row>
    <row r="4" spans="1:32" x14ac:dyDescent="0.45">
      <c r="D4" s="592" t="s">
        <v>384</v>
      </c>
      <c r="E4" s="593"/>
      <c r="F4" s="200" t="s">
        <v>85</v>
      </c>
      <c r="G4" s="515">
        <f>O19</f>
        <v>0</v>
      </c>
      <c r="H4" s="515">
        <f>AC19</f>
        <v>0</v>
      </c>
      <c r="I4" s="515">
        <f>G4-H4</f>
        <v>0</v>
      </c>
      <c r="J4" s="266">
        <f>IFERROR(I4/G4,0)</f>
        <v>0</v>
      </c>
      <c r="N4" s="665"/>
      <c r="O4" s="666"/>
      <c r="P4" s="666"/>
      <c r="Q4" s="666"/>
      <c r="R4" s="666"/>
      <c r="S4" s="666"/>
      <c r="T4" s="666"/>
      <c r="U4" s="666"/>
      <c r="V4" s="666"/>
      <c r="W4" s="667"/>
    </row>
    <row r="5" spans="1:32" x14ac:dyDescent="0.45">
      <c r="D5" s="592" t="s">
        <v>385</v>
      </c>
      <c r="E5" s="593"/>
      <c r="F5" s="211" t="s">
        <v>62</v>
      </c>
      <c r="G5" s="512">
        <f>P19</f>
        <v>0</v>
      </c>
      <c r="H5" s="512">
        <f>AD19</f>
        <v>0</v>
      </c>
      <c r="I5" s="513">
        <f>G5-H5</f>
        <v>0</v>
      </c>
      <c r="J5" s="266">
        <f t="shared" ref="J5:J7" si="0">IFERROR(I5/G5,0)</f>
        <v>0</v>
      </c>
      <c r="N5" s="193"/>
      <c r="O5" s="193"/>
      <c r="P5" s="193"/>
      <c r="Q5" s="193"/>
      <c r="R5" s="193"/>
      <c r="S5" s="193"/>
      <c r="T5" s="193"/>
      <c r="U5" s="193"/>
      <c r="V5" s="193"/>
      <c r="W5" s="193"/>
    </row>
    <row r="6" spans="1:32" x14ac:dyDescent="0.45">
      <c r="D6" s="592" t="s">
        <v>4</v>
      </c>
      <c r="E6" s="593"/>
      <c r="F6" s="200" t="s">
        <v>90</v>
      </c>
      <c r="G6" s="189" t="str">
        <f>IF(使用量と光熱費!$H$7=0,"ー",G4*使用量と光熱費!$H$7)</f>
        <v>ー</v>
      </c>
      <c r="H6" s="189" t="str">
        <f>IF(使用量と光熱費!$H$7=0,"ー",H4*使用量と光熱費!$H$7)</f>
        <v>ー</v>
      </c>
      <c r="I6" s="508" t="str">
        <f>IF(OR(G6="ー",H6="ー"),"ー",G6-H6)</f>
        <v>ー</v>
      </c>
      <c r="J6" s="40">
        <f>IFERROR(I6/G6,0)</f>
        <v>0</v>
      </c>
      <c r="N6" s="637" t="s">
        <v>586</v>
      </c>
      <c r="O6" s="637"/>
      <c r="P6" s="637"/>
      <c r="Q6" s="637"/>
      <c r="R6" s="637"/>
      <c r="S6" s="637"/>
      <c r="T6" s="637"/>
      <c r="U6" s="637"/>
      <c r="V6" s="637"/>
      <c r="W6" s="637"/>
    </row>
    <row r="7" spans="1:32" x14ac:dyDescent="0.45">
      <c r="D7" s="592" t="s">
        <v>484</v>
      </c>
      <c r="E7" s="593"/>
      <c r="F7" s="200" t="s">
        <v>485</v>
      </c>
      <c r="G7" s="439">
        <f>G4*係数!$C$30*0.0000258</f>
        <v>0</v>
      </c>
      <c r="H7" s="439">
        <f>H4*係数!$C$30*0.0000258</f>
        <v>0</v>
      </c>
      <c r="I7" s="514">
        <f>G7-H7</f>
        <v>0</v>
      </c>
      <c r="J7" s="266">
        <f t="shared" si="0"/>
        <v>0</v>
      </c>
      <c r="N7" s="190" t="str">
        <f>IF(OR(H19=0,V19=0),"",IF(H19=V19,"なし",IF(H19&gt;V19,"減少","増加")))</f>
        <v/>
      </c>
      <c r="O7" s="668" t="str">
        <f>IF(OR(N7="",N7="なし"),"ー",IF(N7="減少","減少する理由を特記事項欄に記載してください。","やむを得ず増加する場合は特記事項欄に理由を記載してください。(要根拠資料提出)"))</f>
        <v>ー</v>
      </c>
      <c r="P7" s="668"/>
      <c r="Q7" s="668"/>
      <c r="R7" s="668"/>
      <c r="S7" s="668"/>
      <c r="T7" s="668"/>
      <c r="U7" s="668"/>
      <c r="V7" s="668"/>
      <c r="W7" s="668"/>
    </row>
    <row r="10" spans="1:32" x14ac:dyDescent="0.45">
      <c r="B10" s="203"/>
    </row>
    <row r="11" spans="1:32" x14ac:dyDescent="0.45">
      <c r="B11" s="203"/>
    </row>
    <row r="12" spans="1:32" x14ac:dyDescent="0.45">
      <c r="B12" s="203"/>
    </row>
    <row r="13" spans="1:32" x14ac:dyDescent="0.45">
      <c r="B13" s="203"/>
    </row>
    <row r="14" spans="1:32" x14ac:dyDescent="0.45">
      <c r="A14" t="s">
        <v>139</v>
      </c>
      <c r="B14" s="203"/>
      <c r="Q14" s="202"/>
    </row>
    <row r="15" spans="1:32" x14ac:dyDescent="0.45">
      <c r="B15" s="590" t="s">
        <v>141</v>
      </c>
      <c r="C15" s="246" t="s">
        <v>76</v>
      </c>
      <c r="D15" s="242"/>
      <c r="E15" s="242"/>
      <c r="F15" s="242"/>
      <c r="G15" s="242"/>
      <c r="H15" s="312"/>
      <c r="I15" s="242"/>
      <c r="J15" s="242"/>
      <c r="K15" s="242"/>
      <c r="L15" s="242"/>
      <c r="M15" s="242"/>
      <c r="N15" s="242"/>
      <c r="O15" s="242"/>
      <c r="P15" s="240"/>
      <c r="Q15" s="246" t="s">
        <v>87</v>
      </c>
      <c r="R15" s="242"/>
      <c r="S15" s="242"/>
      <c r="T15" s="242"/>
      <c r="U15" s="242"/>
      <c r="V15" s="242"/>
      <c r="W15" s="242"/>
      <c r="X15" s="242"/>
      <c r="Y15" s="242"/>
      <c r="Z15" s="242"/>
      <c r="AA15" s="242"/>
      <c r="AB15" s="242"/>
      <c r="AC15" s="242"/>
      <c r="AD15" s="240"/>
      <c r="AE15" s="246" t="s">
        <v>94</v>
      </c>
      <c r="AF15" s="240"/>
    </row>
    <row r="16" spans="1:32" ht="54" x14ac:dyDescent="0.45">
      <c r="B16" s="591"/>
      <c r="C16" s="248" t="s">
        <v>170</v>
      </c>
      <c r="D16" s="248" t="s">
        <v>402</v>
      </c>
      <c r="E16" s="248" t="s">
        <v>398</v>
      </c>
      <c r="F16" s="592" t="s">
        <v>403</v>
      </c>
      <c r="G16" s="593"/>
      <c r="H16" s="313" t="s">
        <v>400</v>
      </c>
      <c r="I16" s="248" t="s">
        <v>397</v>
      </c>
      <c r="J16" s="248" t="s">
        <v>401</v>
      </c>
      <c r="K16" s="248" t="s">
        <v>404</v>
      </c>
      <c r="L16" s="248" t="s">
        <v>415</v>
      </c>
      <c r="M16" s="248" t="s">
        <v>587</v>
      </c>
      <c r="N16" s="248" t="s">
        <v>416</v>
      </c>
      <c r="O16" s="248" t="s">
        <v>466</v>
      </c>
      <c r="P16" s="248" t="s">
        <v>474</v>
      </c>
      <c r="Q16" s="248" t="s">
        <v>170</v>
      </c>
      <c r="R16" s="248" t="s">
        <v>410</v>
      </c>
      <c r="S16" s="248" t="s">
        <v>398</v>
      </c>
      <c r="T16" s="592" t="s">
        <v>403</v>
      </c>
      <c r="U16" s="593"/>
      <c r="V16" s="248" t="s">
        <v>414</v>
      </c>
      <c r="W16" s="248" t="s">
        <v>397</v>
      </c>
      <c r="X16" s="248" t="s">
        <v>413</v>
      </c>
      <c r="Y16" s="248" t="s">
        <v>412</v>
      </c>
      <c r="Z16" s="248" t="s">
        <v>411</v>
      </c>
      <c r="AA16" s="248" t="s">
        <v>587</v>
      </c>
      <c r="AB16" s="248" t="s">
        <v>417</v>
      </c>
      <c r="AC16" s="248" t="s">
        <v>469</v>
      </c>
      <c r="AD16" s="248" t="s">
        <v>475</v>
      </c>
      <c r="AE16" s="248" t="s">
        <v>379</v>
      </c>
      <c r="AF16" s="248" t="s">
        <v>380</v>
      </c>
    </row>
    <row r="17" spans="2:32" x14ac:dyDescent="0.45">
      <c r="B17" s="249" t="s">
        <v>140</v>
      </c>
      <c r="C17" s="209"/>
      <c r="D17" s="200" t="s">
        <v>916</v>
      </c>
      <c r="E17" s="209"/>
      <c r="F17" s="664"/>
      <c r="G17" s="664"/>
      <c r="H17" s="200" t="s">
        <v>201</v>
      </c>
      <c r="I17" s="209"/>
      <c r="J17" s="200" t="s">
        <v>204</v>
      </c>
      <c r="K17" s="200" t="s">
        <v>96</v>
      </c>
      <c r="L17" s="209"/>
      <c r="M17" s="209"/>
      <c r="N17" s="200" t="s">
        <v>399</v>
      </c>
      <c r="O17" s="200" t="s">
        <v>85</v>
      </c>
      <c r="P17" s="211" t="s">
        <v>62</v>
      </c>
      <c r="Q17" s="455"/>
      <c r="R17" s="200" t="s">
        <v>916</v>
      </c>
      <c r="S17" s="209"/>
      <c r="T17" s="664"/>
      <c r="U17" s="664"/>
      <c r="V17" s="209"/>
      <c r="W17" s="209"/>
      <c r="X17" s="209"/>
      <c r="Y17" s="200" t="s">
        <v>96</v>
      </c>
      <c r="Z17" s="209"/>
      <c r="AA17" s="200"/>
      <c r="AB17" s="200" t="s">
        <v>399</v>
      </c>
      <c r="AC17" s="200" t="s">
        <v>85</v>
      </c>
      <c r="AD17" s="211" t="s">
        <v>62</v>
      </c>
      <c r="AE17" s="200" t="s">
        <v>85</v>
      </c>
      <c r="AF17" s="211" t="s">
        <v>62</v>
      </c>
    </row>
    <row r="18" spans="2:32" ht="36" x14ac:dyDescent="0.45">
      <c r="B18" s="251" t="s">
        <v>540</v>
      </c>
      <c r="C18" s="314" t="s">
        <v>588</v>
      </c>
      <c r="D18" s="315">
        <v>2</v>
      </c>
      <c r="E18" s="215" t="s">
        <v>589</v>
      </c>
      <c r="F18" s="584" t="str">
        <f>IF(E18="IE1","標準効率",IF(E18="IE2","高効率",IF(E18="IE3","プレミアム効率",IF(E18="IE4","スーパープレミアム効率",""))))</f>
        <v>高効率</v>
      </c>
      <c r="G18" s="585"/>
      <c r="H18" s="212">
        <v>7.5</v>
      </c>
      <c r="I18" s="215" t="s">
        <v>390</v>
      </c>
      <c r="J18" s="316">
        <f>IF(I18="2極",AVERAGEIFS(モーター効率!$C$2:$C$122,モーター効率!$A$2:$A$122,E18,モーター効率!$B$2:$B$122,H18),IF(I18="4極",AVERAGEIFS(モーター効率!$D$2:$D$122,モーター効率!$A$2:$A$122,E18,モーター効率!$B$2:$B$122,H18),IF(I18="6極",AVERAGEIFS(モーター効率!$E$2:$E$122,モーター効率!$A$2:$A$122,E18,モーター効率!$B$2:$B$122,H18),IF(I18="8極",AVERAGEIFS(モーター効率!$F$2:$F$122,モーター効率!$A$2:$A$122,E18,モーター効率!$B$2:$B$122,H18),""))))</f>
        <v>0.88700000000000001</v>
      </c>
      <c r="K18" s="317">
        <f>IF(J18="","",H18/J18)</f>
        <v>8.4554678692220975</v>
      </c>
      <c r="L18" s="296">
        <v>0.8</v>
      </c>
      <c r="M18" s="218" t="s">
        <v>264</v>
      </c>
      <c r="N18" s="315">
        <v>2560</v>
      </c>
      <c r="O18" s="257">
        <f>IF(AND(D18="",K18="",L18="",N18=""),"",IF(M18="○",D18*K18*L18^2*N18,K18*L18*N18*D18))</f>
        <v>34633.596392333711</v>
      </c>
      <c r="P18" s="432">
        <f>IF(O18="","",O18*係数!$H$30)</f>
        <v>15.792919954904173</v>
      </c>
      <c r="Q18" s="452" t="s">
        <v>590</v>
      </c>
      <c r="R18" s="315">
        <v>2</v>
      </c>
      <c r="S18" s="212" t="s">
        <v>487</v>
      </c>
      <c r="T18" s="586" t="str">
        <f>IF(S18="IE1","標準効率",IF(S18="IE2","高効率",IF(S18="IE3","プレミアム効率",IF(S18="IE4","スーパープレミアム効率",""))))</f>
        <v>プレミアム効率</v>
      </c>
      <c r="U18" s="587"/>
      <c r="V18" s="212">
        <v>7.5</v>
      </c>
      <c r="W18" s="215" t="s">
        <v>390</v>
      </c>
      <c r="X18" s="316">
        <f>IF(W18="2極",AVERAGEIFS(モーター効率!$C$2:$C$122,モーター効率!$A$2:$A$122,S18,モーター効率!$B$2:$B$122,V18),IF(W18="4極",AVERAGEIFS(モーター効率!$D$2:$D$122,モーター効率!$A$2:$A$122,S18,モーター効率!$B$2:$B$122,V18),IF(W18="6極",AVERAGEIFS(モーター効率!$E$2:$E$122,モーター効率!$A$2:$A$122,S18,モーター効率!$B$2:$B$122,V18),IF(W18="8極",AVERAGEIFS(モーター効率!$F$2:$F$122,モーター効率!$A$2:$A$122,S18,モーター効率!$B$2:$B$122,V18),""))))</f>
        <v>0.90400000000000003</v>
      </c>
      <c r="Y18" s="317">
        <f>IF(X18="","",V18/X18)</f>
        <v>8.2964601769911503</v>
      </c>
      <c r="Z18" s="318">
        <f>IF(OR(H18=0,L18=0,V18=0),"",IF(H18&lt;V18,H18*L18/V18,L18))</f>
        <v>0.8</v>
      </c>
      <c r="AA18" s="218" t="s">
        <v>328</v>
      </c>
      <c r="AB18" s="319">
        <f>IF(N18="","",N18)</f>
        <v>2560</v>
      </c>
      <c r="AC18" s="257">
        <f>IF(AND(R18="",Y18="",Z18="",AB18=""),"",IF(AA18="○",R18*Y18*Z18^2*AB18,R18*Y18*Z18*AB18))</f>
        <v>27185.840707964606</v>
      </c>
      <c r="AD18" s="432">
        <f>IF(AC18="","",AC18*係数!$H$30)</f>
        <v>12.396743362831861</v>
      </c>
      <c r="AE18" s="320">
        <f>IF(OR(O18="",AC18=""),"",O18-AC18)</f>
        <v>7447.7556843691054</v>
      </c>
      <c r="AF18" s="451">
        <f>IF(OR(P18="",AD18=""),"",P18-AD18)</f>
        <v>3.3961765920723117</v>
      </c>
    </row>
    <row r="19" spans="2:32" x14ac:dyDescent="0.45">
      <c r="B19" s="472" t="s">
        <v>60</v>
      </c>
      <c r="C19" s="222"/>
      <c r="D19">
        <f>SUM(D20:D34)</f>
        <v>0</v>
      </c>
      <c r="E19" s="222"/>
      <c r="F19" s="662"/>
      <c r="G19" s="663"/>
      <c r="H19" s="1">
        <f>SUMPRODUCT(D20:D34*H$20:H$34)</f>
        <v>0</v>
      </c>
      <c r="I19" s="222"/>
      <c r="J19" s="222"/>
      <c r="K19" s="222"/>
      <c r="L19" s="222"/>
      <c r="M19" s="222"/>
      <c r="N19" s="222"/>
      <c r="O19" s="473">
        <f>SUM(O20:O34)</f>
        <v>0</v>
      </c>
      <c r="P19" s="474">
        <f>SUM(P20:P34)</f>
        <v>0</v>
      </c>
      <c r="Q19" s="453"/>
      <c r="R19">
        <f>SUM(R20:R34)</f>
        <v>0</v>
      </c>
      <c r="S19" s="222"/>
      <c r="T19" s="662"/>
      <c r="U19" s="663"/>
      <c r="V19" s="1">
        <f>SUMPRODUCT(R20:R34*V$20:V$34)</f>
        <v>0</v>
      </c>
      <c r="W19" s="222"/>
      <c r="X19" s="222"/>
      <c r="Y19" s="222"/>
      <c r="Z19" s="222"/>
      <c r="AA19" s="222"/>
      <c r="AB19" s="222"/>
      <c r="AC19" s="473">
        <f>SUM(AC20:AC34)</f>
        <v>0</v>
      </c>
      <c r="AD19" s="474">
        <f>SUM(AD20:AD34)</f>
        <v>0</v>
      </c>
      <c r="AE19" s="475">
        <f>SUM(AE20:AE34)</f>
        <v>0</v>
      </c>
      <c r="AF19" s="476">
        <f>SUM(AF20:AF34)</f>
        <v>0</v>
      </c>
    </row>
    <row r="20" spans="2:32" x14ac:dyDescent="0.45">
      <c r="B20" s="208" t="s">
        <v>119</v>
      </c>
      <c r="C20" s="36"/>
      <c r="D20" s="28"/>
      <c r="E20" s="231"/>
      <c r="F20" s="660" t="str">
        <f t="shared" ref="F20:F29" si="1">IF(E20="IE1","標準効率",IF(E20="IE2","高効率",IF(E20="IE3","プレミアム効率",IF(E20="IE4","スーパープレミアム効率",""))))</f>
        <v/>
      </c>
      <c r="G20" s="661"/>
      <c r="H20" s="450"/>
      <c r="I20" s="231"/>
      <c r="J20" s="477" t="str">
        <f>IF(I20="2極",AVERAGEIFS(モーター効率!$C$2:$C$122,モーター効率!$A$2:$A$122,E20,モーター効率!$B$2:$B$122,H20),IF(I20="4極",AVERAGEIFS(モーター効率!$D$2:$D$122,モーター効率!$A$2:$A$122,E20,モーター効率!$B$2:$B$122,H20),IF(I20="6極",AVERAGEIFS(モーター効率!$E$2:$E$122,モーター効率!$A$2:$A$122,E20,モーター効率!$B$2:$B$122,H20),IF(I20="8極",AVERAGEIFS(モーター効率!$F$2:$F$122,モーター効率!$A$2:$A$122,E20,モーター効率!$B$2:$B$122,H20),""))))</f>
        <v/>
      </c>
      <c r="K20" s="478" t="str">
        <f t="shared" ref="K20:K29" si="2">IF(J20="","",H20/J20)</f>
        <v/>
      </c>
      <c r="L20" s="178"/>
      <c r="M20" s="321"/>
      <c r="N20" s="28"/>
      <c r="O20" s="12">
        <f>IF(OR(D20="",K20="",L20="",N20=""),0,IF(M20="○",D20*K20*L20^2*N20,D20*K20*L20*N20))</f>
        <v>0</v>
      </c>
      <c r="P20" s="434">
        <f>IF(O20="","",O20*係数!$H$30)</f>
        <v>0</v>
      </c>
      <c r="Q20" s="447"/>
      <c r="R20" s="28"/>
      <c r="S20" s="47"/>
      <c r="T20" s="660" t="str">
        <f t="shared" ref="T20:T29" si="3">IF(S20="IE1","標準効率",IF(S20="IE2","高効率",IF(S20="IE3","プレミアム効率",IF(S20="IE4","スーパープレミアム効率",""))))</f>
        <v/>
      </c>
      <c r="U20" s="661"/>
      <c r="V20" s="47"/>
      <c r="W20" s="231"/>
      <c r="X20" s="477" t="str">
        <f>IF(W20="2極",AVERAGEIFS(モーター効率!$C$2:$C$122,モーター効率!$A$2:$A$122,S20,モーター効率!$B$2:$B$122,V20),IF(W20="4極",AVERAGEIFS(モーター効率!$D$2:$D$122,モーター効率!$A$2:$A$122,S20,モーター効率!$B$2:$B$122,V20),IF(W20="6極",AVERAGEIFS(モーター効率!$E$2:$E$122,モーター効率!$A$2:$A$122,S20,モーター効率!$B$2:$B$122,V20),IF(W20="8極",AVERAGEIFS(モーター効率!$F$2:$F$122,モーター効率!$A$2:$A$122,S20,モーター効率!$B$2:$B$122,V20),""))))</f>
        <v/>
      </c>
      <c r="Y20" s="478" t="str">
        <f t="shared" ref="Y20:Y29" si="4">IF(X20="","",V20/X20)</f>
        <v/>
      </c>
      <c r="Z20" s="322" t="str">
        <f t="shared" ref="Z20:Z29" si="5">IF(OR(H20=0,L20=0,V20=0),"",IF(H20&lt;V20,H20*L20/V20,L20))</f>
        <v/>
      </c>
      <c r="AA20" s="321"/>
      <c r="AB20" s="1" t="str">
        <f>IF(N20="","",N20)</f>
        <v/>
      </c>
      <c r="AC20" s="12">
        <f>IF(OR(R20="",Y20="",Z20="",AB20=""),0,IF(AA20="○",R20*Y20*Z20^2*AB20,R20*Y20*Z20*AB20))</f>
        <v>0</v>
      </c>
      <c r="AD20" s="434">
        <f>IF(AC20="","",AC20*係数!$H$30)</f>
        <v>0</v>
      </c>
      <c r="AE20" s="323">
        <f>IF(OR(O20="",AC20=""),"",O20-AC20)</f>
        <v>0</v>
      </c>
      <c r="AF20" s="479">
        <f t="shared" ref="AF20:AF29" si="6">IF(OR(P20="",AD20=""),"",P20-AD20)</f>
        <v>0</v>
      </c>
    </row>
    <row r="21" spans="2:32" x14ac:dyDescent="0.45">
      <c r="B21" s="208" t="s">
        <v>120</v>
      </c>
      <c r="C21" s="36"/>
      <c r="D21" s="28"/>
      <c r="E21" s="231"/>
      <c r="F21" s="660" t="str">
        <f t="shared" si="1"/>
        <v/>
      </c>
      <c r="G21" s="661"/>
      <c r="H21" s="450"/>
      <c r="I21" s="231"/>
      <c r="J21" s="477" t="str">
        <f>IF(I21="2極",AVERAGEIFS(モーター効率!$C$2:$C$122,モーター効率!$A$2:$A$122,E21,モーター効率!$B$2:$B$122,H21),IF(I21="4極",AVERAGEIFS(モーター効率!$D$2:$D$122,モーター効率!$A$2:$A$122,E21,モーター効率!$B$2:$B$122,H21),IF(I21="6極",AVERAGEIFS(モーター効率!$E$2:$E$122,モーター効率!$A$2:$A$122,E21,モーター効率!$B$2:$B$122,H21),IF(I21="8極",AVERAGEIFS(モーター効率!$F$2:$F$122,モーター効率!$A$2:$A$122,E21,モーター効率!$B$2:$B$122,H21),""))))</f>
        <v/>
      </c>
      <c r="K21" s="478" t="str">
        <f t="shared" si="2"/>
        <v/>
      </c>
      <c r="L21" s="178"/>
      <c r="M21" s="324"/>
      <c r="N21" s="28"/>
      <c r="O21" s="12">
        <f t="shared" ref="O21:O29" si="7">IF(OR(D21="",K21="",L21="",N21=""),0,IF(M21="○",D21*K21*L21^2*N21,D21*K21*L21*N21))</f>
        <v>0</v>
      </c>
      <c r="P21" s="434">
        <f>IF(O21="","",O21*係数!$H$30)</f>
        <v>0</v>
      </c>
      <c r="Q21" s="447"/>
      <c r="R21" s="28"/>
      <c r="S21" s="47"/>
      <c r="T21" s="660" t="str">
        <f t="shared" si="3"/>
        <v/>
      </c>
      <c r="U21" s="661"/>
      <c r="V21" s="47"/>
      <c r="W21" s="231"/>
      <c r="X21" s="477" t="str">
        <f>IF(W21="2極",AVERAGEIFS(モーター効率!$C$2:$C$122,モーター効率!$A$2:$A$122,S21,モーター効率!$B$2:$B$122,V21),IF(W21="4極",AVERAGEIFS(モーター効率!$D$2:$D$122,モーター効率!$A$2:$A$122,S21,モーター効率!$B$2:$B$122,V21),IF(W21="6極",AVERAGEIFS(モーター効率!$E$2:$E$122,モーター効率!$A$2:$A$122,S21,モーター効率!$B$2:$B$122,V21),IF(W21="8極",AVERAGEIFS(モーター効率!$F$2:$F$122,モーター効率!$A$2:$A$122,S21,モーター効率!$B$2:$B$122,V21),""))))</f>
        <v/>
      </c>
      <c r="Y21" s="478" t="str">
        <f t="shared" si="4"/>
        <v/>
      </c>
      <c r="Z21" s="322" t="str">
        <f t="shared" si="5"/>
        <v/>
      </c>
      <c r="AA21" s="324"/>
      <c r="AB21" s="1" t="str">
        <f>IF(N21="","",N21)</f>
        <v/>
      </c>
      <c r="AC21" s="12">
        <f t="shared" ref="AC21:AC29" si="8">IF(OR(R21="",Y21="",Z21="",AB21=""),0,IF(AA21="○",R21*Y21*Z21^2*AB21,R21*Y21*Z21*AB21))</f>
        <v>0</v>
      </c>
      <c r="AD21" s="434">
        <f>IF(AC21="","",AC21*係数!$H$30)</f>
        <v>0</v>
      </c>
      <c r="AE21" s="323">
        <f t="shared" ref="AE21:AE29" si="9">IF(OR(O21="",AC21=""),"",O21-AC21)</f>
        <v>0</v>
      </c>
      <c r="AF21" s="479">
        <f t="shared" si="6"/>
        <v>0</v>
      </c>
    </row>
    <row r="22" spans="2:32" x14ac:dyDescent="0.45">
      <c r="B22" s="208" t="s">
        <v>121</v>
      </c>
      <c r="C22" s="36"/>
      <c r="D22" s="28"/>
      <c r="E22" s="231"/>
      <c r="F22" s="660" t="str">
        <f t="shared" si="1"/>
        <v/>
      </c>
      <c r="G22" s="661"/>
      <c r="H22" s="450"/>
      <c r="I22" s="231"/>
      <c r="J22" s="477" t="str">
        <f>IF(I22="2極",AVERAGEIFS(モーター効率!$C$2:$C$122,モーター効率!$A$2:$A$122,E22,モーター効率!$B$2:$B$122,H22),IF(I22="4極",AVERAGEIFS(モーター効率!$D$2:$D$122,モーター効率!$A$2:$A$122,E22,モーター効率!$B$2:$B$122,H22),IF(I22="6極",AVERAGEIFS(モーター効率!$E$2:$E$122,モーター効率!$A$2:$A$122,E22,モーター効率!$B$2:$B$122,H22),IF(I22="8極",AVERAGEIFS(モーター効率!$F$2:$F$122,モーター効率!$A$2:$A$122,E22,モーター効率!$B$2:$B$122,H22),""))))</f>
        <v/>
      </c>
      <c r="K22" s="478" t="str">
        <f t="shared" si="2"/>
        <v/>
      </c>
      <c r="L22" s="178"/>
      <c r="M22" s="324"/>
      <c r="N22" s="28"/>
      <c r="O22" s="12">
        <f t="shared" si="7"/>
        <v>0</v>
      </c>
      <c r="P22" s="434">
        <f>IF(O22="","",O22*係数!$H$30)</f>
        <v>0</v>
      </c>
      <c r="Q22" s="447"/>
      <c r="R22" s="28"/>
      <c r="S22" s="47"/>
      <c r="T22" s="660" t="str">
        <f t="shared" si="3"/>
        <v/>
      </c>
      <c r="U22" s="661"/>
      <c r="V22" s="47"/>
      <c r="W22" s="231"/>
      <c r="X22" s="477" t="str">
        <f>IF(W22="2極",AVERAGEIFS(モーター効率!$C$2:$C$122,モーター効率!$A$2:$A$122,S22,モーター効率!$B$2:$B$122,V22),IF(W22="4極",AVERAGEIFS(モーター効率!$D$2:$D$122,モーター効率!$A$2:$A$122,S22,モーター効率!$B$2:$B$122,V22),IF(W22="6極",AVERAGEIFS(モーター効率!$E$2:$E$122,モーター効率!$A$2:$A$122,S22,モーター効率!$B$2:$B$122,V22),IF(W22="8極",AVERAGEIFS(モーター効率!$F$2:$F$122,モーター効率!$A$2:$A$122,S22,モーター効率!$B$2:$B$122,V22),""))))</f>
        <v/>
      </c>
      <c r="Y22" s="478" t="str">
        <f t="shared" si="4"/>
        <v/>
      </c>
      <c r="Z22" s="322" t="str">
        <f t="shared" si="5"/>
        <v/>
      </c>
      <c r="AA22" s="324"/>
      <c r="AB22" s="1" t="str">
        <f t="shared" ref="AB22:AB29" si="10">IF(N22="","",N22)</f>
        <v/>
      </c>
      <c r="AC22" s="12">
        <f t="shared" si="8"/>
        <v>0</v>
      </c>
      <c r="AD22" s="434">
        <f>IF(AC22="","",AC22*係数!$H$30)</f>
        <v>0</v>
      </c>
      <c r="AE22" s="323">
        <f t="shared" si="9"/>
        <v>0</v>
      </c>
      <c r="AF22" s="479">
        <f t="shared" si="6"/>
        <v>0</v>
      </c>
    </row>
    <row r="23" spans="2:32" x14ac:dyDescent="0.45">
      <c r="B23" s="208" t="s">
        <v>122</v>
      </c>
      <c r="C23" s="36"/>
      <c r="D23" s="28"/>
      <c r="E23" s="231"/>
      <c r="F23" s="660" t="str">
        <f t="shared" si="1"/>
        <v/>
      </c>
      <c r="G23" s="661"/>
      <c r="H23" s="450"/>
      <c r="I23" s="231"/>
      <c r="J23" s="477" t="str">
        <f>IF(I23="2極",AVERAGEIFS(モーター効率!$C$2:$C$122,モーター効率!$A$2:$A$122,E23,モーター効率!$B$2:$B$122,H23),IF(I23="4極",AVERAGEIFS(モーター効率!$D$2:$D$122,モーター効率!$A$2:$A$122,E23,モーター効率!$B$2:$B$122,H23),IF(I23="6極",AVERAGEIFS(モーター効率!$E$2:$E$122,モーター効率!$A$2:$A$122,E23,モーター効率!$B$2:$B$122,H23),IF(I23="8極",AVERAGEIFS(モーター効率!$F$2:$F$122,モーター効率!$A$2:$A$122,E23,モーター効率!$B$2:$B$122,H23),""))))</f>
        <v/>
      </c>
      <c r="K23" s="478" t="str">
        <f t="shared" si="2"/>
        <v/>
      </c>
      <c r="L23" s="178"/>
      <c r="M23" s="324"/>
      <c r="N23" s="28"/>
      <c r="O23" s="12">
        <f t="shared" si="7"/>
        <v>0</v>
      </c>
      <c r="P23" s="434">
        <f>IF(O23="","",O23*係数!$H$30)</f>
        <v>0</v>
      </c>
      <c r="Q23" s="447"/>
      <c r="R23" s="28"/>
      <c r="S23" s="47"/>
      <c r="T23" s="660" t="str">
        <f t="shared" si="3"/>
        <v/>
      </c>
      <c r="U23" s="661"/>
      <c r="V23" s="47"/>
      <c r="W23" s="231"/>
      <c r="X23" s="477" t="str">
        <f>IF(W23="2極",AVERAGEIFS(モーター効率!$C$2:$C$122,モーター効率!$A$2:$A$122,S23,モーター効率!$B$2:$B$122,V23),IF(W23="4極",AVERAGEIFS(モーター効率!$D$2:$D$122,モーター効率!$A$2:$A$122,S23,モーター効率!$B$2:$B$122,V23),IF(W23="6極",AVERAGEIFS(モーター効率!$E$2:$E$122,モーター効率!$A$2:$A$122,S23,モーター効率!$B$2:$B$122,V23),IF(W23="8極",AVERAGEIFS(モーター効率!$F$2:$F$122,モーター効率!$A$2:$A$122,S23,モーター効率!$B$2:$B$122,V23),""))))</f>
        <v/>
      </c>
      <c r="Y23" s="478" t="str">
        <f t="shared" si="4"/>
        <v/>
      </c>
      <c r="Z23" s="322" t="str">
        <f t="shared" si="5"/>
        <v/>
      </c>
      <c r="AA23" s="324"/>
      <c r="AB23" s="1" t="str">
        <f t="shared" si="10"/>
        <v/>
      </c>
      <c r="AC23" s="12">
        <f t="shared" si="8"/>
        <v>0</v>
      </c>
      <c r="AD23" s="434">
        <f>IF(AC23="","",AC23*係数!$H$30)</f>
        <v>0</v>
      </c>
      <c r="AE23" s="323">
        <f t="shared" si="9"/>
        <v>0</v>
      </c>
      <c r="AF23" s="479">
        <f t="shared" si="6"/>
        <v>0</v>
      </c>
    </row>
    <row r="24" spans="2:32" x14ac:dyDescent="0.45">
      <c r="B24" s="208" t="s">
        <v>123</v>
      </c>
      <c r="C24" s="36"/>
      <c r="D24" s="28"/>
      <c r="E24" s="231"/>
      <c r="F24" s="660" t="str">
        <f t="shared" si="1"/>
        <v/>
      </c>
      <c r="G24" s="661"/>
      <c r="H24" s="450"/>
      <c r="I24" s="231"/>
      <c r="J24" s="477" t="str">
        <f>IF(I24="2極",AVERAGEIFS(モーター効率!$C$2:$C$122,モーター効率!$A$2:$A$122,E24,モーター効率!$B$2:$B$122,H24),IF(I24="4極",AVERAGEIFS(モーター効率!$D$2:$D$122,モーター効率!$A$2:$A$122,E24,モーター効率!$B$2:$B$122,H24),IF(I24="6極",AVERAGEIFS(モーター効率!$E$2:$E$122,モーター効率!$A$2:$A$122,E24,モーター効率!$B$2:$B$122,H24),IF(I24="8極",AVERAGEIFS(モーター効率!$F$2:$F$122,モーター効率!$A$2:$A$122,E24,モーター効率!$B$2:$B$122,H24),""))))</f>
        <v/>
      </c>
      <c r="K24" s="478" t="str">
        <f t="shared" si="2"/>
        <v/>
      </c>
      <c r="L24" s="178"/>
      <c r="M24" s="324"/>
      <c r="N24" s="28"/>
      <c r="O24" s="12">
        <f t="shared" si="7"/>
        <v>0</v>
      </c>
      <c r="P24" s="434">
        <f>IF(O24="","",O24*係数!$H$30)</f>
        <v>0</v>
      </c>
      <c r="Q24" s="447"/>
      <c r="R24" s="28"/>
      <c r="S24" s="47"/>
      <c r="T24" s="660" t="str">
        <f t="shared" si="3"/>
        <v/>
      </c>
      <c r="U24" s="661"/>
      <c r="V24" s="47"/>
      <c r="W24" s="231"/>
      <c r="X24" s="477" t="str">
        <f>IF(W24="2極",AVERAGEIFS(モーター効率!$C$2:$C$122,モーター効率!$A$2:$A$122,S24,モーター効率!$B$2:$B$122,V24),IF(W24="4極",AVERAGEIFS(モーター効率!$D$2:$D$122,モーター効率!$A$2:$A$122,S24,モーター効率!$B$2:$B$122,V24),IF(W24="6極",AVERAGEIFS(モーター効率!$E$2:$E$122,モーター効率!$A$2:$A$122,S24,モーター効率!$B$2:$B$122,V24),IF(W24="8極",AVERAGEIFS(モーター効率!$F$2:$F$122,モーター効率!$A$2:$A$122,S24,モーター効率!$B$2:$B$122,V24),""))))</f>
        <v/>
      </c>
      <c r="Y24" s="478" t="str">
        <f t="shared" si="4"/>
        <v/>
      </c>
      <c r="Z24" s="322" t="str">
        <f t="shared" si="5"/>
        <v/>
      </c>
      <c r="AA24" s="324"/>
      <c r="AB24" s="1" t="str">
        <f t="shared" si="10"/>
        <v/>
      </c>
      <c r="AC24" s="12">
        <f t="shared" si="8"/>
        <v>0</v>
      </c>
      <c r="AD24" s="434">
        <f>IF(AC24="","",AC24*係数!$H$30)</f>
        <v>0</v>
      </c>
      <c r="AE24" s="323">
        <f t="shared" si="9"/>
        <v>0</v>
      </c>
      <c r="AF24" s="479">
        <f t="shared" si="6"/>
        <v>0</v>
      </c>
    </row>
    <row r="25" spans="2:32" x14ac:dyDescent="0.45">
      <c r="B25" s="208" t="s">
        <v>124</v>
      </c>
      <c r="C25" s="36"/>
      <c r="D25" s="28"/>
      <c r="E25" s="231"/>
      <c r="F25" s="660" t="str">
        <f t="shared" si="1"/>
        <v/>
      </c>
      <c r="G25" s="661"/>
      <c r="H25" s="450"/>
      <c r="I25" s="231"/>
      <c r="J25" s="477" t="str">
        <f>IF(I25="2極",AVERAGEIFS(モーター効率!$C$2:$C$122,モーター効率!$A$2:$A$122,E25,モーター効率!$B$2:$B$122,H25),IF(I25="4極",AVERAGEIFS(モーター効率!$D$2:$D$122,モーター効率!$A$2:$A$122,E25,モーター効率!$B$2:$B$122,H25),IF(I25="6極",AVERAGEIFS(モーター効率!$E$2:$E$122,モーター効率!$A$2:$A$122,E25,モーター効率!$B$2:$B$122,H25),IF(I25="8極",AVERAGEIFS(モーター効率!$F$2:$F$122,モーター効率!$A$2:$A$122,E25,モーター効率!$B$2:$B$122,H25),""))))</f>
        <v/>
      </c>
      <c r="K25" s="478" t="str">
        <f t="shared" si="2"/>
        <v/>
      </c>
      <c r="L25" s="178"/>
      <c r="M25" s="324"/>
      <c r="N25" s="28"/>
      <c r="O25" s="12">
        <f t="shared" si="7"/>
        <v>0</v>
      </c>
      <c r="P25" s="434">
        <f>IF(O25="","",O25*係数!$H$30)</f>
        <v>0</v>
      </c>
      <c r="Q25" s="447"/>
      <c r="R25" s="28"/>
      <c r="S25" s="47"/>
      <c r="T25" s="660" t="str">
        <f t="shared" si="3"/>
        <v/>
      </c>
      <c r="U25" s="661"/>
      <c r="V25" s="47"/>
      <c r="W25" s="231"/>
      <c r="X25" s="477" t="str">
        <f>IF(W25="2極",AVERAGEIFS(モーター効率!$C$2:$C$122,モーター効率!$A$2:$A$122,S25,モーター効率!$B$2:$B$122,V25),IF(W25="4極",AVERAGEIFS(モーター効率!$D$2:$D$122,モーター効率!$A$2:$A$122,S25,モーター効率!$B$2:$B$122,V25),IF(W25="6極",AVERAGEIFS(モーター効率!$E$2:$E$122,モーター効率!$A$2:$A$122,S25,モーター効率!$B$2:$B$122,V25),IF(W25="8極",AVERAGEIFS(モーター効率!$F$2:$F$122,モーター効率!$A$2:$A$122,S25,モーター効率!$B$2:$B$122,V25),""))))</f>
        <v/>
      </c>
      <c r="Y25" s="478" t="str">
        <f t="shared" si="4"/>
        <v/>
      </c>
      <c r="Z25" s="322" t="str">
        <f t="shared" si="5"/>
        <v/>
      </c>
      <c r="AA25" s="324"/>
      <c r="AB25" s="1" t="str">
        <f t="shared" si="10"/>
        <v/>
      </c>
      <c r="AC25" s="12">
        <f t="shared" si="8"/>
        <v>0</v>
      </c>
      <c r="AD25" s="434">
        <f>IF(AC25="","",AC25*係数!$H$30)</f>
        <v>0</v>
      </c>
      <c r="AE25" s="323">
        <f t="shared" si="9"/>
        <v>0</v>
      </c>
      <c r="AF25" s="479">
        <f t="shared" si="6"/>
        <v>0</v>
      </c>
    </row>
    <row r="26" spans="2:32" x14ac:dyDescent="0.45">
      <c r="B26" s="208" t="s">
        <v>125</v>
      </c>
      <c r="C26" s="36"/>
      <c r="D26" s="28"/>
      <c r="E26" s="231"/>
      <c r="F26" s="660" t="str">
        <f t="shared" si="1"/>
        <v/>
      </c>
      <c r="G26" s="661"/>
      <c r="H26" s="450"/>
      <c r="I26" s="231"/>
      <c r="J26" s="477" t="str">
        <f>IF(I26="2極",AVERAGEIFS(モーター効率!$C$2:$C$122,モーター効率!$A$2:$A$122,E26,モーター効率!$B$2:$B$122,H26),IF(I26="4極",AVERAGEIFS(モーター効率!$D$2:$D$122,モーター効率!$A$2:$A$122,E26,モーター効率!$B$2:$B$122,H26),IF(I26="6極",AVERAGEIFS(モーター効率!$E$2:$E$122,モーター効率!$A$2:$A$122,E26,モーター効率!$B$2:$B$122,H26),IF(I26="8極",AVERAGEIFS(モーター効率!$F$2:$F$122,モーター効率!$A$2:$A$122,E26,モーター効率!$B$2:$B$122,H26),""))))</f>
        <v/>
      </c>
      <c r="K26" s="478" t="str">
        <f t="shared" si="2"/>
        <v/>
      </c>
      <c r="L26" s="178"/>
      <c r="M26" s="324"/>
      <c r="N26" s="28"/>
      <c r="O26" s="12">
        <f t="shared" si="7"/>
        <v>0</v>
      </c>
      <c r="P26" s="434">
        <f>IF(O26="","",O26*係数!$H$30)</f>
        <v>0</v>
      </c>
      <c r="Q26" s="447"/>
      <c r="R26" s="28"/>
      <c r="S26" s="47"/>
      <c r="T26" s="660" t="str">
        <f t="shared" si="3"/>
        <v/>
      </c>
      <c r="U26" s="661"/>
      <c r="V26" s="47"/>
      <c r="W26" s="231"/>
      <c r="X26" s="477" t="str">
        <f>IF(W26="2極",AVERAGEIFS(モーター効率!$C$2:$C$122,モーター効率!$A$2:$A$122,S26,モーター効率!$B$2:$B$122,V26),IF(W26="4極",AVERAGEIFS(モーター効率!$D$2:$D$122,モーター効率!$A$2:$A$122,S26,モーター効率!$B$2:$B$122,V26),IF(W26="6極",AVERAGEIFS(モーター効率!$E$2:$E$122,モーター効率!$A$2:$A$122,S26,モーター効率!$B$2:$B$122,V26),IF(W26="8極",AVERAGEIFS(モーター効率!$F$2:$F$122,モーター効率!$A$2:$A$122,S26,モーター効率!$B$2:$B$122,V26),""))))</f>
        <v/>
      </c>
      <c r="Y26" s="478" t="str">
        <f t="shared" si="4"/>
        <v/>
      </c>
      <c r="Z26" s="322" t="str">
        <f t="shared" si="5"/>
        <v/>
      </c>
      <c r="AA26" s="324"/>
      <c r="AB26" s="1" t="str">
        <f t="shared" si="10"/>
        <v/>
      </c>
      <c r="AC26" s="12">
        <f t="shared" si="8"/>
        <v>0</v>
      </c>
      <c r="AD26" s="434">
        <f>IF(AC26="","",AC26*係数!$H$30)</f>
        <v>0</v>
      </c>
      <c r="AE26" s="323">
        <f t="shared" si="9"/>
        <v>0</v>
      </c>
      <c r="AF26" s="479">
        <f t="shared" si="6"/>
        <v>0</v>
      </c>
    </row>
    <row r="27" spans="2:32" x14ac:dyDescent="0.45">
      <c r="B27" s="208" t="s">
        <v>126</v>
      </c>
      <c r="C27" s="36"/>
      <c r="D27" s="28"/>
      <c r="E27" s="231"/>
      <c r="F27" s="660" t="str">
        <f t="shared" si="1"/>
        <v/>
      </c>
      <c r="G27" s="661"/>
      <c r="H27" s="450"/>
      <c r="I27" s="231"/>
      <c r="J27" s="477" t="str">
        <f>IF(I27="2極",AVERAGEIFS(モーター効率!$C$2:$C$122,モーター効率!$A$2:$A$122,E27,モーター効率!$B$2:$B$122,H27),IF(I27="4極",AVERAGEIFS(モーター効率!$D$2:$D$122,モーター効率!$A$2:$A$122,E27,モーター効率!$B$2:$B$122,H27),IF(I27="6極",AVERAGEIFS(モーター効率!$E$2:$E$122,モーター効率!$A$2:$A$122,E27,モーター効率!$B$2:$B$122,H27),IF(I27="8極",AVERAGEIFS(モーター効率!$F$2:$F$122,モーター効率!$A$2:$A$122,E27,モーター効率!$B$2:$B$122,H27),""))))</f>
        <v/>
      </c>
      <c r="K27" s="478" t="str">
        <f t="shared" si="2"/>
        <v/>
      </c>
      <c r="L27" s="178"/>
      <c r="M27" s="324"/>
      <c r="N27" s="28"/>
      <c r="O27" s="12">
        <f t="shared" si="7"/>
        <v>0</v>
      </c>
      <c r="P27" s="434">
        <f>IF(O27="","",O27*係数!$H$30)</f>
        <v>0</v>
      </c>
      <c r="Q27" s="447"/>
      <c r="R27" s="28"/>
      <c r="S27" s="47"/>
      <c r="T27" s="660" t="str">
        <f t="shared" si="3"/>
        <v/>
      </c>
      <c r="U27" s="661"/>
      <c r="V27" s="47"/>
      <c r="W27" s="231"/>
      <c r="X27" s="477" t="str">
        <f>IF(W27="2極",AVERAGEIFS(モーター効率!$C$2:$C$122,モーター効率!$A$2:$A$122,S27,モーター効率!$B$2:$B$122,V27),IF(W27="4極",AVERAGEIFS(モーター効率!$D$2:$D$122,モーター効率!$A$2:$A$122,S27,モーター効率!$B$2:$B$122,V27),IF(W27="6極",AVERAGEIFS(モーター効率!$E$2:$E$122,モーター効率!$A$2:$A$122,S27,モーター効率!$B$2:$B$122,V27),IF(W27="8極",AVERAGEIFS(モーター効率!$F$2:$F$122,モーター効率!$A$2:$A$122,S27,モーター効率!$B$2:$B$122,V27),""))))</f>
        <v/>
      </c>
      <c r="Y27" s="478" t="str">
        <f t="shared" si="4"/>
        <v/>
      </c>
      <c r="Z27" s="322" t="str">
        <f t="shared" si="5"/>
        <v/>
      </c>
      <c r="AA27" s="324"/>
      <c r="AB27" s="1" t="str">
        <f t="shared" si="10"/>
        <v/>
      </c>
      <c r="AC27" s="12">
        <f t="shared" si="8"/>
        <v>0</v>
      </c>
      <c r="AD27" s="434">
        <f>IF(AC27="","",AC27*係数!$H$30)</f>
        <v>0</v>
      </c>
      <c r="AE27" s="323">
        <f t="shared" si="9"/>
        <v>0</v>
      </c>
      <c r="AF27" s="479">
        <f t="shared" si="6"/>
        <v>0</v>
      </c>
    </row>
    <row r="28" spans="2:32" x14ac:dyDescent="0.45">
      <c r="B28" s="208" t="s">
        <v>127</v>
      </c>
      <c r="C28" s="36"/>
      <c r="D28" s="28"/>
      <c r="E28" s="231"/>
      <c r="F28" s="660" t="str">
        <f t="shared" si="1"/>
        <v/>
      </c>
      <c r="G28" s="661"/>
      <c r="H28" s="450"/>
      <c r="I28" s="231"/>
      <c r="J28" s="477" t="str">
        <f>IF(I28="2極",AVERAGEIFS(モーター効率!$C$2:$C$122,モーター効率!$A$2:$A$122,E28,モーター効率!$B$2:$B$122,H28),IF(I28="4極",AVERAGEIFS(モーター効率!$D$2:$D$122,モーター効率!$A$2:$A$122,E28,モーター効率!$B$2:$B$122,H28),IF(I28="6極",AVERAGEIFS(モーター効率!$E$2:$E$122,モーター効率!$A$2:$A$122,E28,モーター効率!$B$2:$B$122,H28),IF(I28="8極",AVERAGEIFS(モーター効率!$F$2:$F$122,モーター効率!$A$2:$A$122,E28,モーター効率!$B$2:$B$122,H28),""))))</f>
        <v/>
      </c>
      <c r="K28" s="478" t="str">
        <f t="shared" si="2"/>
        <v/>
      </c>
      <c r="L28" s="178"/>
      <c r="M28" s="324"/>
      <c r="N28" s="28"/>
      <c r="O28" s="12">
        <f t="shared" si="7"/>
        <v>0</v>
      </c>
      <c r="P28" s="434">
        <f>IF(O28="","",O28*係数!$H$30)</f>
        <v>0</v>
      </c>
      <c r="Q28" s="447"/>
      <c r="R28" s="28"/>
      <c r="S28" s="47"/>
      <c r="T28" s="660" t="str">
        <f t="shared" si="3"/>
        <v/>
      </c>
      <c r="U28" s="661"/>
      <c r="V28" s="47"/>
      <c r="W28" s="231"/>
      <c r="X28" s="477" t="str">
        <f>IF(W28="2極",AVERAGEIFS(モーター効率!$C$2:$C$122,モーター効率!$A$2:$A$122,S28,モーター効率!$B$2:$B$122,V28),IF(W28="4極",AVERAGEIFS(モーター効率!$D$2:$D$122,モーター効率!$A$2:$A$122,S28,モーター効率!$B$2:$B$122,V28),IF(W28="6極",AVERAGEIFS(モーター効率!$E$2:$E$122,モーター効率!$A$2:$A$122,S28,モーター効率!$B$2:$B$122,V28),IF(W28="8極",AVERAGEIFS(モーター効率!$F$2:$F$122,モーター効率!$A$2:$A$122,S28,モーター効率!$B$2:$B$122,V28),""))))</f>
        <v/>
      </c>
      <c r="Y28" s="478" t="str">
        <f t="shared" si="4"/>
        <v/>
      </c>
      <c r="Z28" s="322" t="str">
        <f t="shared" si="5"/>
        <v/>
      </c>
      <c r="AA28" s="324"/>
      <c r="AB28" s="1" t="str">
        <f t="shared" si="10"/>
        <v/>
      </c>
      <c r="AC28" s="12">
        <f t="shared" si="8"/>
        <v>0</v>
      </c>
      <c r="AD28" s="434">
        <f>IF(AC28="","",AC28*係数!$H$30)</f>
        <v>0</v>
      </c>
      <c r="AE28" s="323">
        <f t="shared" si="9"/>
        <v>0</v>
      </c>
      <c r="AF28" s="479">
        <f t="shared" si="6"/>
        <v>0</v>
      </c>
    </row>
    <row r="29" spans="2:32" x14ac:dyDescent="0.45">
      <c r="B29" s="208" t="s">
        <v>128</v>
      </c>
      <c r="C29" s="36"/>
      <c r="D29" s="28"/>
      <c r="E29" s="231"/>
      <c r="F29" s="660" t="str">
        <f t="shared" si="1"/>
        <v/>
      </c>
      <c r="G29" s="661"/>
      <c r="H29" s="450"/>
      <c r="I29" s="231"/>
      <c r="J29" s="477" t="str">
        <f>IF(I29="2極",AVERAGEIFS(モーター効率!$C$2:$C$122,モーター効率!$A$2:$A$122,E29,モーター効率!$B$2:$B$122,H29),IF(I29="4極",AVERAGEIFS(モーター効率!$D$2:$D$122,モーター効率!$A$2:$A$122,E29,モーター効率!$B$2:$B$122,H29),IF(I29="6極",AVERAGEIFS(モーター効率!$E$2:$E$122,モーター効率!$A$2:$A$122,E29,モーター効率!$B$2:$B$122,H29),IF(I29="8極",AVERAGEIFS(モーター効率!$F$2:$F$122,モーター効率!$A$2:$A$122,E29,モーター効率!$B$2:$B$122,H29),""))))</f>
        <v/>
      </c>
      <c r="K29" s="478" t="str">
        <f t="shared" si="2"/>
        <v/>
      </c>
      <c r="L29" s="178"/>
      <c r="M29" s="324"/>
      <c r="N29" s="28"/>
      <c r="O29" s="12">
        <f t="shared" si="7"/>
        <v>0</v>
      </c>
      <c r="P29" s="434">
        <f>IF(O29="","",O29*係数!$H$30)</f>
        <v>0</v>
      </c>
      <c r="Q29" s="447"/>
      <c r="R29" s="28"/>
      <c r="S29" s="47"/>
      <c r="T29" s="660" t="str">
        <f t="shared" si="3"/>
        <v/>
      </c>
      <c r="U29" s="661"/>
      <c r="V29" s="47"/>
      <c r="W29" s="231"/>
      <c r="X29" s="477" t="str">
        <f>IF(W29="2極",AVERAGEIFS(モーター効率!$C$2:$C$122,モーター効率!$A$2:$A$122,S29,モーター効率!$B$2:$B$122,V29),IF(W29="4極",AVERAGEIFS(モーター効率!$D$2:$D$122,モーター効率!$A$2:$A$122,S29,モーター効率!$B$2:$B$122,V29),IF(W29="6極",AVERAGEIFS(モーター効率!$E$2:$E$122,モーター効率!$A$2:$A$122,S29,モーター効率!$B$2:$B$122,V29),IF(W29="8極",AVERAGEIFS(モーター効率!$F$2:$F$122,モーター効率!$A$2:$A$122,S29,モーター効率!$B$2:$B$122,V29),""))))</f>
        <v/>
      </c>
      <c r="Y29" s="478" t="str">
        <f t="shared" si="4"/>
        <v/>
      </c>
      <c r="Z29" s="322" t="str">
        <f t="shared" si="5"/>
        <v/>
      </c>
      <c r="AA29" s="324"/>
      <c r="AB29" s="1" t="str">
        <f t="shared" si="10"/>
        <v/>
      </c>
      <c r="AC29" s="12">
        <f t="shared" si="8"/>
        <v>0</v>
      </c>
      <c r="AD29" s="434">
        <f>IF(AC29="","",AC29*係数!$H$30)</f>
        <v>0</v>
      </c>
      <c r="AE29" s="323">
        <f t="shared" si="9"/>
        <v>0</v>
      </c>
      <c r="AF29" s="479">
        <f t="shared" si="6"/>
        <v>0</v>
      </c>
    </row>
    <row r="30" spans="2:32" x14ac:dyDescent="0.45">
      <c r="B30" s="208" t="s">
        <v>129</v>
      </c>
      <c r="C30" s="36"/>
      <c r="D30" s="28"/>
      <c r="E30" s="231"/>
      <c r="F30" s="660" t="str">
        <f t="shared" ref="F30:F34" si="11">IF(E30="IE1","標準効率",IF(E30="IE2","高効率",IF(E30="IE3","プレミアム効率",IF(E30="IE4","スーパープレミアム効率",""))))</f>
        <v/>
      </c>
      <c r="G30" s="661"/>
      <c r="H30" s="450"/>
      <c r="I30" s="231"/>
      <c r="J30" s="477" t="str">
        <f>IF(I30="2極",AVERAGEIFS(モーター効率!$C$2:$C$122,モーター効率!$A$2:$A$122,E30,モーター効率!$B$2:$B$122,H30),IF(I30="4極",AVERAGEIFS(モーター効率!$D$2:$D$122,モーター効率!$A$2:$A$122,E30,モーター効率!$B$2:$B$122,H30),IF(I30="6極",AVERAGEIFS(モーター効率!$E$2:$E$122,モーター効率!$A$2:$A$122,E30,モーター効率!$B$2:$B$122,H30),IF(I30="8極",AVERAGEIFS(モーター効率!$F$2:$F$122,モーター効率!$A$2:$A$122,E30,モーター効率!$B$2:$B$122,H30),""))))</f>
        <v/>
      </c>
      <c r="K30" s="478" t="str">
        <f t="shared" ref="K30:K34" si="12">IF(J30="","",H30/J30)</f>
        <v/>
      </c>
      <c r="L30" s="178"/>
      <c r="M30" s="324"/>
      <c r="N30" s="28"/>
      <c r="O30" s="12">
        <f t="shared" ref="O30:O34" si="13">IF(OR(D30="",K30="",L30="",N30=""),0,IF(M30="○",D30*K30*L30^2*N30,D30*K30*L30*N30))</f>
        <v>0</v>
      </c>
      <c r="P30" s="434">
        <f>IF(O30="","",O30*係数!$H$30)</f>
        <v>0</v>
      </c>
      <c r="Q30" s="447"/>
      <c r="R30" s="28"/>
      <c r="S30" s="47"/>
      <c r="T30" s="660" t="str">
        <f t="shared" ref="T30:T34" si="14">IF(S30="IE1","標準効率",IF(S30="IE2","高効率",IF(S30="IE3","プレミアム効率",IF(S30="IE4","スーパープレミアム効率",""))))</f>
        <v/>
      </c>
      <c r="U30" s="661"/>
      <c r="V30" s="47"/>
      <c r="W30" s="231"/>
      <c r="X30" s="477" t="str">
        <f>IF(W30="2極",AVERAGEIFS(モーター効率!$C$2:$C$122,モーター効率!$A$2:$A$122,S30,モーター効率!$B$2:$B$122,V30),IF(W30="4極",AVERAGEIFS(モーター効率!$D$2:$D$122,モーター効率!$A$2:$A$122,S30,モーター効率!$B$2:$B$122,V30),IF(W30="6極",AVERAGEIFS(モーター効率!$E$2:$E$122,モーター効率!$A$2:$A$122,S30,モーター効率!$B$2:$B$122,V30),IF(W30="8極",AVERAGEIFS(モーター効率!$F$2:$F$122,モーター効率!$A$2:$A$122,S30,モーター効率!$B$2:$B$122,V30),""))))</f>
        <v/>
      </c>
      <c r="Y30" s="478" t="str">
        <f t="shared" ref="Y30:Y34" si="15">IF(X30="","",V30/X30)</f>
        <v/>
      </c>
      <c r="Z30" s="322" t="str">
        <f t="shared" ref="Z30:Z34" si="16">IF(OR(H30=0,L30=0,V30=0),"",IF(H30&lt;V30,H30*L30/V30,L30))</f>
        <v/>
      </c>
      <c r="AA30" s="324"/>
      <c r="AB30" s="1" t="str">
        <f t="shared" ref="AB30:AB34" si="17">IF(N30="","",N30)</f>
        <v/>
      </c>
      <c r="AC30" s="12">
        <f t="shared" ref="AC30:AC34" si="18">IF(OR(R30="",Y30="",Z30="",AB30=""),0,IF(AA30="○",R30*Y30*Z30^2*AB30,R30*Y30*Z30*AB30))</f>
        <v>0</v>
      </c>
      <c r="AD30" s="434">
        <f>IF(AC30="","",AC30*係数!$H$30)</f>
        <v>0</v>
      </c>
      <c r="AE30" s="323">
        <f t="shared" ref="AE30:AE34" si="19">IF(OR(O30="",AC30=""),"",O30-AC30)</f>
        <v>0</v>
      </c>
      <c r="AF30" s="479">
        <f t="shared" ref="AF30:AF34" si="20">IF(OR(P30="",AD30=""),"",P30-AD30)</f>
        <v>0</v>
      </c>
    </row>
    <row r="31" spans="2:32" x14ac:dyDescent="0.45">
      <c r="B31" s="208" t="s">
        <v>130</v>
      </c>
      <c r="C31" s="36"/>
      <c r="D31" s="28"/>
      <c r="E31" s="231"/>
      <c r="F31" s="660" t="str">
        <f t="shared" si="11"/>
        <v/>
      </c>
      <c r="G31" s="661"/>
      <c r="H31" s="450"/>
      <c r="I31" s="231"/>
      <c r="J31" s="477" t="str">
        <f>IF(I31="2極",AVERAGEIFS(モーター効率!$C$2:$C$122,モーター効率!$A$2:$A$122,E31,モーター効率!$B$2:$B$122,H31),IF(I31="4極",AVERAGEIFS(モーター効率!$D$2:$D$122,モーター効率!$A$2:$A$122,E31,モーター効率!$B$2:$B$122,H31),IF(I31="6極",AVERAGEIFS(モーター効率!$E$2:$E$122,モーター効率!$A$2:$A$122,E31,モーター効率!$B$2:$B$122,H31),IF(I31="8極",AVERAGEIFS(モーター効率!$F$2:$F$122,モーター効率!$A$2:$A$122,E31,モーター効率!$B$2:$B$122,H31),""))))</f>
        <v/>
      </c>
      <c r="K31" s="478" t="str">
        <f t="shared" si="12"/>
        <v/>
      </c>
      <c r="L31" s="178"/>
      <c r="M31" s="324"/>
      <c r="N31" s="28"/>
      <c r="O31" s="12">
        <f t="shared" si="13"/>
        <v>0</v>
      </c>
      <c r="P31" s="434">
        <f>IF(O31="","",O31*係数!$H$30)</f>
        <v>0</v>
      </c>
      <c r="Q31" s="447"/>
      <c r="R31" s="28"/>
      <c r="S31" s="47"/>
      <c r="T31" s="660" t="str">
        <f t="shared" si="14"/>
        <v/>
      </c>
      <c r="U31" s="661"/>
      <c r="V31" s="47"/>
      <c r="W31" s="231"/>
      <c r="X31" s="477" t="str">
        <f>IF(W31="2極",AVERAGEIFS(モーター効率!$C$2:$C$122,モーター効率!$A$2:$A$122,S31,モーター効率!$B$2:$B$122,V31),IF(W31="4極",AVERAGEIFS(モーター効率!$D$2:$D$122,モーター効率!$A$2:$A$122,S31,モーター効率!$B$2:$B$122,V31),IF(W31="6極",AVERAGEIFS(モーター効率!$E$2:$E$122,モーター効率!$A$2:$A$122,S31,モーター効率!$B$2:$B$122,V31),IF(W31="8極",AVERAGEIFS(モーター効率!$F$2:$F$122,モーター効率!$A$2:$A$122,S31,モーター効率!$B$2:$B$122,V31),""))))</f>
        <v/>
      </c>
      <c r="Y31" s="478" t="str">
        <f t="shared" si="15"/>
        <v/>
      </c>
      <c r="Z31" s="322" t="str">
        <f t="shared" si="16"/>
        <v/>
      </c>
      <c r="AA31" s="324"/>
      <c r="AB31" s="1" t="str">
        <f t="shared" si="17"/>
        <v/>
      </c>
      <c r="AC31" s="12">
        <f t="shared" si="18"/>
        <v>0</v>
      </c>
      <c r="AD31" s="434">
        <f>IF(AC31="","",AC31*係数!$H$30)</f>
        <v>0</v>
      </c>
      <c r="AE31" s="323">
        <f t="shared" si="19"/>
        <v>0</v>
      </c>
      <c r="AF31" s="479">
        <f t="shared" si="20"/>
        <v>0</v>
      </c>
    </row>
    <row r="32" spans="2:32" x14ac:dyDescent="0.45">
      <c r="B32" s="208" t="s">
        <v>131</v>
      </c>
      <c r="C32" s="36"/>
      <c r="D32" s="28"/>
      <c r="E32" s="231"/>
      <c r="F32" s="660" t="str">
        <f t="shared" si="11"/>
        <v/>
      </c>
      <c r="G32" s="661"/>
      <c r="H32" s="450"/>
      <c r="I32" s="231"/>
      <c r="J32" s="477" t="str">
        <f>IF(I32="2極",AVERAGEIFS(モーター効率!$C$2:$C$122,モーター効率!$A$2:$A$122,E32,モーター効率!$B$2:$B$122,H32),IF(I32="4極",AVERAGEIFS(モーター効率!$D$2:$D$122,モーター効率!$A$2:$A$122,E32,モーター効率!$B$2:$B$122,H32),IF(I32="6極",AVERAGEIFS(モーター効率!$E$2:$E$122,モーター効率!$A$2:$A$122,E32,モーター効率!$B$2:$B$122,H32),IF(I32="8極",AVERAGEIFS(モーター効率!$F$2:$F$122,モーター効率!$A$2:$A$122,E32,モーター効率!$B$2:$B$122,H32),""))))</f>
        <v/>
      </c>
      <c r="K32" s="478" t="str">
        <f t="shared" si="12"/>
        <v/>
      </c>
      <c r="L32" s="178"/>
      <c r="M32" s="324"/>
      <c r="N32" s="28"/>
      <c r="O32" s="12">
        <f t="shared" si="13"/>
        <v>0</v>
      </c>
      <c r="P32" s="434">
        <f>IF(O32="","",O32*係数!$H$30)</f>
        <v>0</v>
      </c>
      <c r="Q32" s="447"/>
      <c r="R32" s="28"/>
      <c r="S32" s="47"/>
      <c r="T32" s="660" t="str">
        <f t="shared" si="14"/>
        <v/>
      </c>
      <c r="U32" s="661"/>
      <c r="V32" s="47"/>
      <c r="W32" s="231"/>
      <c r="X32" s="477" t="str">
        <f>IF(W32="2極",AVERAGEIFS(モーター効率!$C$2:$C$122,モーター効率!$A$2:$A$122,S32,モーター効率!$B$2:$B$122,V32),IF(W32="4極",AVERAGEIFS(モーター効率!$D$2:$D$122,モーター効率!$A$2:$A$122,S32,モーター効率!$B$2:$B$122,V32),IF(W32="6極",AVERAGEIFS(モーター効率!$E$2:$E$122,モーター効率!$A$2:$A$122,S32,モーター効率!$B$2:$B$122,V32),IF(W32="8極",AVERAGEIFS(モーター効率!$F$2:$F$122,モーター効率!$A$2:$A$122,S32,モーター効率!$B$2:$B$122,V32),""))))</f>
        <v/>
      </c>
      <c r="Y32" s="478" t="str">
        <f t="shared" si="15"/>
        <v/>
      </c>
      <c r="Z32" s="322" t="str">
        <f t="shared" si="16"/>
        <v/>
      </c>
      <c r="AA32" s="324"/>
      <c r="AB32" s="1" t="str">
        <f t="shared" si="17"/>
        <v/>
      </c>
      <c r="AC32" s="12">
        <f t="shared" si="18"/>
        <v>0</v>
      </c>
      <c r="AD32" s="434">
        <f>IF(AC32="","",AC32*係数!$H$30)</f>
        <v>0</v>
      </c>
      <c r="AE32" s="323">
        <f t="shared" si="19"/>
        <v>0</v>
      </c>
      <c r="AF32" s="479">
        <f t="shared" si="20"/>
        <v>0</v>
      </c>
    </row>
    <row r="33" spans="2:32" x14ac:dyDescent="0.45">
      <c r="B33" s="208" t="s">
        <v>132</v>
      </c>
      <c r="C33" s="36"/>
      <c r="D33" s="28"/>
      <c r="E33" s="231"/>
      <c r="F33" s="660" t="str">
        <f t="shared" si="11"/>
        <v/>
      </c>
      <c r="G33" s="661"/>
      <c r="H33" s="450"/>
      <c r="I33" s="231"/>
      <c r="J33" s="477" t="str">
        <f>IF(I33="2極",AVERAGEIFS(モーター効率!$C$2:$C$122,モーター効率!$A$2:$A$122,E33,モーター効率!$B$2:$B$122,H33),IF(I33="4極",AVERAGEIFS(モーター効率!$D$2:$D$122,モーター効率!$A$2:$A$122,E33,モーター効率!$B$2:$B$122,H33),IF(I33="6極",AVERAGEIFS(モーター効率!$E$2:$E$122,モーター効率!$A$2:$A$122,E33,モーター効率!$B$2:$B$122,H33),IF(I33="8極",AVERAGEIFS(モーター効率!$F$2:$F$122,モーター効率!$A$2:$A$122,E33,モーター効率!$B$2:$B$122,H33),""))))</f>
        <v/>
      </c>
      <c r="K33" s="478" t="str">
        <f t="shared" si="12"/>
        <v/>
      </c>
      <c r="L33" s="178"/>
      <c r="M33" s="324"/>
      <c r="N33" s="28"/>
      <c r="O33" s="12">
        <f t="shared" si="13"/>
        <v>0</v>
      </c>
      <c r="P33" s="434">
        <f>IF(O33="","",O33*係数!$H$30)</f>
        <v>0</v>
      </c>
      <c r="Q33" s="447"/>
      <c r="R33" s="28"/>
      <c r="S33" s="47"/>
      <c r="T33" s="660" t="str">
        <f t="shared" si="14"/>
        <v/>
      </c>
      <c r="U33" s="661"/>
      <c r="V33" s="47"/>
      <c r="W33" s="231"/>
      <c r="X33" s="477" t="str">
        <f>IF(W33="2極",AVERAGEIFS(モーター効率!$C$2:$C$122,モーター効率!$A$2:$A$122,S33,モーター効率!$B$2:$B$122,V33),IF(W33="4極",AVERAGEIFS(モーター効率!$D$2:$D$122,モーター効率!$A$2:$A$122,S33,モーター効率!$B$2:$B$122,V33),IF(W33="6極",AVERAGEIFS(モーター効率!$E$2:$E$122,モーター効率!$A$2:$A$122,S33,モーター効率!$B$2:$B$122,V33),IF(W33="8極",AVERAGEIFS(モーター効率!$F$2:$F$122,モーター効率!$A$2:$A$122,S33,モーター効率!$B$2:$B$122,V33),""))))</f>
        <v/>
      </c>
      <c r="Y33" s="478" t="str">
        <f t="shared" si="15"/>
        <v/>
      </c>
      <c r="Z33" s="322" t="str">
        <f t="shared" si="16"/>
        <v/>
      </c>
      <c r="AA33" s="324"/>
      <c r="AB33" s="1" t="str">
        <f t="shared" si="17"/>
        <v/>
      </c>
      <c r="AC33" s="12">
        <f t="shared" si="18"/>
        <v>0</v>
      </c>
      <c r="AD33" s="434">
        <f>IF(AC33="","",AC33*係数!$H$30)</f>
        <v>0</v>
      </c>
      <c r="AE33" s="323">
        <f t="shared" si="19"/>
        <v>0</v>
      </c>
      <c r="AF33" s="479">
        <f t="shared" si="20"/>
        <v>0</v>
      </c>
    </row>
    <row r="34" spans="2:32" x14ac:dyDescent="0.45">
      <c r="B34" s="208" t="s">
        <v>133</v>
      </c>
      <c r="C34" s="36"/>
      <c r="D34" s="28"/>
      <c r="E34" s="231"/>
      <c r="F34" s="660" t="str">
        <f t="shared" si="11"/>
        <v/>
      </c>
      <c r="G34" s="661"/>
      <c r="H34" s="450"/>
      <c r="I34" s="231"/>
      <c r="J34" s="477" t="str">
        <f>IF(I34="2極",AVERAGEIFS(モーター効率!$C$2:$C$122,モーター効率!$A$2:$A$122,E34,モーター効率!$B$2:$B$122,H34),IF(I34="4極",AVERAGEIFS(モーター効率!$D$2:$D$122,モーター効率!$A$2:$A$122,E34,モーター効率!$B$2:$B$122,H34),IF(I34="6極",AVERAGEIFS(モーター効率!$E$2:$E$122,モーター効率!$A$2:$A$122,E34,モーター効率!$B$2:$B$122,H34),IF(I34="8極",AVERAGEIFS(モーター効率!$F$2:$F$122,モーター効率!$A$2:$A$122,E34,モーター効率!$B$2:$B$122,H34),""))))</f>
        <v/>
      </c>
      <c r="K34" s="478" t="str">
        <f t="shared" si="12"/>
        <v/>
      </c>
      <c r="L34" s="178"/>
      <c r="M34" s="324"/>
      <c r="N34" s="28"/>
      <c r="O34" s="12">
        <f t="shared" si="13"/>
        <v>0</v>
      </c>
      <c r="P34" s="434">
        <f>IF(O34="","",O34*係数!$H$30)</f>
        <v>0</v>
      </c>
      <c r="Q34" s="447"/>
      <c r="R34" s="28"/>
      <c r="S34" s="47"/>
      <c r="T34" s="660" t="str">
        <f t="shared" si="14"/>
        <v/>
      </c>
      <c r="U34" s="661"/>
      <c r="V34" s="47"/>
      <c r="W34" s="231"/>
      <c r="X34" s="477" t="str">
        <f>IF(W34="2極",AVERAGEIFS(モーター効率!$C$2:$C$122,モーター効率!$A$2:$A$122,S34,モーター効率!$B$2:$B$122,V34),IF(W34="4極",AVERAGEIFS(モーター効率!$D$2:$D$122,モーター効率!$A$2:$A$122,S34,モーター効率!$B$2:$B$122,V34),IF(W34="6極",AVERAGEIFS(モーター効率!$E$2:$E$122,モーター効率!$A$2:$A$122,S34,モーター効率!$B$2:$B$122,V34),IF(W34="8極",AVERAGEIFS(モーター効率!$F$2:$F$122,モーター効率!$A$2:$A$122,S34,モーター効率!$B$2:$B$122,V34),""))))</f>
        <v/>
      </c>
      <c r="Y34" s="478" t="str">
        <f t="shared" si="15"/>
        <v/>
      </c>
      <c r="Z34" s="322" t="str">
        <f t="shared" si="16"/>
        <v/>
      </c>
      <c r="AA34" s="324"/>
      <c r="AB34" s="1" t="str">
        <f t="shared" si="17"/>
        <v/>
      </c>
      <c r="AC34" s="12">
        <f t="shared" si="18"/>
        <v>0</v>
      </c>
      <c r="AD34" s="434">
        <f>IF(AC34="","",AC34*係数!$H$30)</f>
        <v>0</v>
      </c>
      <c r="AE34" s="323">
        <f t="shared" si="19"/>
        <v>0</v>
      </c>
      <c r="AF34" s="479">
        <f t="shared" si="20"/>
        <v>0</v>
      </c>
    </row>
  </sheetData>
  <sheetProtection algorithmName="SHA-512" hashValue="cvrEehrT2GotvN9BnJg3bSobTNNWhDAYCKmgWQjSA7IVPwb9db0o05R4pNqzGHvaCN+nOU4tQC1gSuHzmO/0gQ==" saltValue="LLOTd4gSo4gITcvHgost5w==" spinCount="100000" sheet="1" objects="1" scenarios="1" formatCells="0" formatColumns="0" formatRows="0"/>
  <mergeCells count="48">
    <mergeCell ref="F33:G33"/>
    <mergeCell ref="T33:U33"/>
    <mergeCell ref="F34:G34"/>
    <mergeCell ref="T34:U34"/>
    <mergeCell ref="F30:G30"/>
    <mergeCell ref="T30:U30"/>
    <mergeCell ref="F31:G31"/>
    <mergeCell ref="T31:U31"/>
    <mergeCell ref="F32:G32"/>
    <mergeCell ref="T32:U32"/>
    <mergeCell ref="N3:W3"/>
    <mergeCell ref="N4:W4"/>
    <mergeCell ref="N6:W6"/>
    <mergeCell ref="O7:W7"/>
    <mergeCell ref="D3:E3"/>
    <mergeCell ref="D4:E4"/>
    <mergeCell ref="D5:E5"/>
    <mergeCell ref="D6:E6"/>
    <mergeCell ref="D7:E7"/>
    <mergeCell ref="B15:B16"/>
    <mergeCell ref="F16:G16"/>
    <mergeCell ref="T16:U16"/>
    <mergeCell ref="F17:G17"/>
    <mergeCell ref="T17:U17"/>
    <mergeCell ref="F18:G18"/>
    <mergeCell ref="T18:U18"/>
    <mergeCell ref="F19:G19"/>
    <mergeCell ref="T19:U19"/>
    <mergeCell ref="F20:G20"/>
    <mergeCell ref="T20:U20"/>
    <mergeCell ref="F21:G21"/>
    <mergeCell ref="T21:U21"/>
    <mergeCell ref="F22:G22"/>
    <mergeCell ref="T22:U22"/>
    <mergeCell ref="F23:G23"/>
    <mergeCell ref="T23:U23"/>
    <mergeCell ref="F24:G24"/>
    <mergeCell ref="T24:U24"/>
    <mergeCell ref="F25:G25"/>
    <mergeCell ref="T25:U25"/>
    <mergeCell ref="F26:G26"/>
    <mergeCell ref="T26:U26"/>
    <mergeCell ref="F27:G27"/>
    <mergeCell ref="T27:U27"/>
    <mergeCell ref="F28:G28"/>
    <mergeCell ref="T28:U28"/>
    <mergeCell ref="F29:G29"/>
    <mergeCell ref="T29:U29"/>
  </mergeCells>
  <phoneticPr fontId="5"/>
  <conditionalFormatting sqref="AD20:AD34">
    <cfRule type="expression" dxfId="65" priority="9">
      <formula>#REF!="なし"</formula>
    </cfRule>
  </conditionalFormatting>
  <conditionalFormatting sqref="J4:J6">
    <cfRule type="expression" dxfId="64" priority="8">
      <formula>$E$1="なし"</formula>
    </cfRule>
  </conditionalFormatting>
  <conditionalFormatting sqref="G6">
    <cfRule type="expression" dxfId="63" priority="7">
      <formula>$E$1="なし"</formula>
    </cfRule>
  </conditionalFormatting>
  <conditionalFormatting sqref="H6">
    <cfRule type="expression" dxfId="62" priority="6">
      <formula>$E$1="なし"</formula>
    </cfRule>
  </conditionalFormatting>
  <conditionalFormatting sqref="J7">
    <cfRule type="expression" dxfId="61" priority="5">
      <formula>$E$1="なし"</formula>
    </cfRule>
  </conditionalFormatting>
  <conditionalFormatting sqref="G7">
    <cfRule type="expression" dxfId="60" priority="4">
      <formula>$E$1="なし"</formula>
    </cfRule>
  </conditionalFormatting>
  <conditionalFormatting sqref="H7">
    <cfRule type="expression" dxfId="59" priority="3">
      <formula>$E$1="なし"</formula>
    </cfRule>
  </conditionalFormatting>
  <conditionalFormatting sqref="V19">
    <cfRule type="cellIs" dxfId="58" priority="2" operator="greaterThan">
      <formula>$H$19</formula>
    </cfRule>
  </conditionalFormatting>
  <conditionalFormatting sqref="O7:W7">
    <cfRule type="cellIs" dxfId="57" priority="1" operator="notEqual">
      <formula>"ー"</formula>
    </cfRule>
  </conditionalFormatting>
  <dataValidations count="4">
    <dataValidation type="list" allowBlank="1" showInputMessage="1" showErrorMessage="1" sqref="M18 M20:M34 AA18 AA20:AA34" xr:uid="{00000000-0002-0000-0700-000000000000}">
      <formula1>"○"</formula1>
    </dataValidation>
    <dataValidation type="list" errorStyle="warning" allowBlank="1" showInputMessage="1" showErrorMessage="1" errorTitle="プルダウンにない出力のモーターの場合" error="手入力の上、根拠となる資料を別途提出してください。" sqref="H20:H34" xr:uid="{00000000-0002-0000-0700-000001000000}">
      <formula1>INDIRECT("range"&amp;E20)</formula1>
    </dataValidation>
    <dataValidation type="list" allowBlank="1" showInputMessage="1" showErrorMessage="1" sqref="V18 H18 V20:V34" xr:uid="{00000000-0002-0000-0700-000002000000}">
      <formula1>INDIRECT("range"&amp;E18)</formula1>
    </dataValidation>
    <dataValidation type="list" allowBlank="1" showInputMessage="1" showErrorMessage="1" sqref="E20:E34 S20:S34 E18 S18" xr:uid="{00000000-0002-0000-0700-000003000000}">
      <formula1>"IE1,IE2,IE3,IE4"</formula1>
    </dataValidation>
  </dataValidations>
  <pageMargins left="0.7" right="0.7" top="0.75" bottom="0.75" header="0.3" footer="0.3"/>
  <pageSetup paperSize="8" scale="61" orientation="landscape" r:id="rId1"/>
  <colBreaks count="1" manualBreakCount="1">
    <brk id="32" max="1048575" man="1"/>
  </colBreaks>
  <ignoredErrors>
    <ignoredError sqref="I6 AD19:AF19"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4000000}">
          <x14:formula1>
            <xm:f>IF($S$18="IE4",'C:\Users\egashira\Dropbox (エヌエス環境)\01000_03_本社_技術部\技術部\3.受注業務対応\環境計画23-11 千葉県_R5脱炭素化促進事業\03.作業用\簡易ツール\[神奈川県【0529修正】co2santeisheet3.xlsx]モーター効率'!#REF!,'C:\Users\egashira\Dropbox (エヌエス環境)\01000_03_本社_技術部\技術部\3.受注業務対応\環境計画23-11 千葉県_R5脱炭素化促進事業\03.作業用\簡易ツール\[神奈川県【0529修正】co2santeisheet3.xlsx]モーター効率'!#REF!)</xm:f>
          </x14:formula1>
          <xm:sqref>W18</xm:sqref>
        </x14:dataValidation>
        <x14:dataValidation type="list" allowBlank="1" showInputMessage="1" showErrorMessage="1" xr:uid="{00000000-0002-0000-0700-000005000000}">
          <x14:formula1>
            <xm:f>IF($E$20="IE4",'C:\Users\egashira\Dropbox (エヌエス環境)\01000_03_本社_技術部\技術部\3.受注業務対応\環境計画23-11 千葉県_R5脱炭素化促進事業\03.作業用\簡易ツール\[神奈川県【0529修正】co2santeisheet3.xlsx]モーター効率'!#REF!,'C:\Users\egashira\Dropbox (エヌエス環境)\01000_03_本社_技術部\技術部\3.受注業務対応\環境計画23-11 千葉県_R5脱炭素化促進事業\03.作業用\簡易ツール\[神奈川県【0529修正】co2santeisheet3.xlsx]モーター効率'!#REF!)</xm:f>
          </x14:formula1>
          <xm:sqref>I18</xm:sqref>
        </x14:dataValidation>
        <x14:dataValidation type="list" allowBlank="1" showInputMessage="1" showErrorMessage="1" xr:uid="{00000000-0002-0000-0700-000006000000}">
          <x14:formula1>
            <xm:f>IF($E$20="IE4",モーター効率!$C$1:$F$1,モーター効率!$C$1:$E$1)</xm:f>
          </x14:formula1>
          <xm:sqref>I20:I34 W20:W34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2"/>
  <sheetViews>
    <sheetView view="pageBreakPreview" zoomScaleNormal="70" zoomScaleSheetLayoutView="100" workbookViewId="0">
      <pane ySplit="1" topLeftCell="A2" activePane="bottomLeft" state="frozen"/>
      <selection activeCell="B30" sqref="B30"/>
      <selection pane="bottomLeft" activeCell="C18" sqref="C18"/>
    </sheetView>
  </sheetViews>
  <sheetFormatPr defaultRowHeight="18" x14ac:dyDescent="0.45"/>
  <cols>
    <col min="1" max="1" width="10.5" customWidth="1"/>
    <col min="2" max="2" width="6.59765625" customWidth="1"/>
    <col min="3" max="3" width="10.09765625" customWidth="1"/>
    <col min="4" max="5" width="12.19921875" customWidth="1"/>
    <col min="6" max="11" width="10.09765625" customWidth="1"/>
    <col min="12" max="12" width="15.5" customWidth="1"/>
    <col min="13" max="15" width="10.09765625" customWidth="1"/>
    <col min="16" max="16" width="15.5" customWidth="1"/>
    <col min="17" max="22" width="10.09765625" customWidth="1"/>
    <col min="23" max="23" width="4.296875" hidden="1" customWidth="1"/>
    <col min="24" max="24" width="7.19921875" customWidth="1"/>
  </cols>
  <sheetData>
    <row r="1" spans="1:23" ht="28.8" x14ac:dyDescent="0.7">
      <c r="A1" s="100" t="s">
        <v>495</v>
      </c>
      <c r="G1" s="194"/>
      <c r="I1" s="195"/>
      <c r="L1" s="196"/>
    </row>
    <row r="2" spans="1:23" x14ac:dyDescent="0.45">
      <c r="A2" t="s">
        <v>496</v>
      </c>
    </row>
    <row r="3" spans="1:23" ht="22.95" customHeight="1" x14ac:dyDescent="0.45">
      <c r="D3" s="617" t="s">
        <v>141</v>
      </c>
      <c r="E3" s="618"/>
      <c r="F3" s="197" t="s">
        <v>140</v>
      </c>
      <c r="G3" s="197" t="s">
        <v>76</v>
      </c>
      <c r="H3" s="197" t="s">
        <v>87</v>
      </c>
      <c r="I3" s="197" t="s">
        <v>193</v>
      </c>
      <c r="J3" s="198" t="s">
        <v>197</v>
      </c>
      <c r="L3" s="187"/>
      <c r="M3" s="617" t="s">
        <v>529</v>
      </c>
      <c r="N3" s="672"/>
      <c r="O3" s="672"/>
      <c r="P3" s="672"/>
      <c r="Q3" s="672"/>
      <c r="R3" s="672"/>
      <c r="S3" s="672"/>
      <c r="T3" s="672"/>
      <c r="U3" s="618"/>
    </row>
    <row r="4" spans="1:23" ht="22.95" customHeight="1" x14ac:dyDescent="0.45">
      <c r="D4" s="629" t="s">
        <v>84</v>
      </c>
      <c r="E4" s="630"/>
      <c r="F4" s="197" t="s">
        <v>85</v>
      </c>
      <c r="G4" s="522">
        <f>J17</f>
        <v>0</v>
      </c>
      <c r="H4" s="522">
        <f>S17</f>
        <v>0</v>
      </c>
      <c r="I4" s="522">
        <f>G4-H4</f>
        <v>0</v>
      </c>
      <c r="J4" s="182">
        <f>IFERROR(I4/G4,0)</f>
        <v>0</v>
      </c>
      <c r="M4" s="673"/>
      <c r="N4" s="674"/>
      <c r="O4" s="674"/>
      <c r="P4" s="674"/>
      <c r="Q4" s="674"/>
      <c r="R4" s="674"/>
      <c r="S4" s="674"/>
      <c r="T4" s="674"/>
      <c r="U4" s="675"/>
    </row>
    <row r="5" spans="1:23" ht="22.95" customHeight="1" x14ac:dyDescent="0.45">
      <c r="D5" s="629" t="s">
        <v>58</v>
      </c>
      <c r="E5" s="630"/>
      <c r="F5" s="199" t="s">
        <v>62</v>
      </c>
      <c r="G5" s="523">
        <f>K17</f>
        <v>0</v>
      </c>
      <c r="H5" s="523">
        <f>T17</f>
        <v>0</v>
      </c>
      <c r="I5" s="524">
        <f>G5-H5</f>
        <v>0</v>
      </c>
      <c r="J5" s="182">
        <f t="shared" ref="J5:J7" si="0">IFERROR(I5/G5,0)</f>
        <v>0</v>
      </c>
      <c r="M5" s="330"/>
      <c r="N5" s="330"/>
      <c r="O5" s="330"/>
      <c r="P5" s="330"/>
      <c r="Q5" s="330"/>
      <c r="R5" s="330"/>
      <c r="S5" s="330"/>
      <c r="T5" s="330"/>
      <c r="U5" s="330"/>
    </row>
    <row r="6" spans="1:23" ht="22.95" customHeight="1" x14ac:dyDescent="0.45">
      <c r="D6" s="617" t="s">
        <v>196</v>
      </c>
      <c r="E6" s="618"/>
      <c r="F6" s="197" t="s">
        <v>90</v>
      </c>
      <c r="G6" s="508" t="str">
        <f>IF(使用量と光熱費!$H$7=0,"ー",G4*使用量と光熱費!$H$7)</f>
        <v>ー</v>
      </c>
      <c r="H6" s="508" t="str">
        <f>IF(使用量と光熱費!$H$7=0,"ー",H4*使用量と光熱費!$H$7)</f>
        <v>ー</v>
      </c>
      <c r="I6" s="508" t="str">
        <f>IF(OR(G6="ー",H6="ー"),"ー",G6-H6)</f>
        <v>ー</v>
      </c>
      <c r="J6" s="182">
        <f>IFERROR(I6/G6,0)</f>
        <v>0</v>
      </c>
      <c r="M6" s="619" t="s">
        <v>595</v>
      </c>
      <c r="N6" s="620"/>
      <c r="O6" s="620"/>
      <c r="P6" s="620"/>
      <c r="Q6" s="620"/>
      <c r="R6" s="620"/>
      <c r="S6" s="620"/>
      <c r="T6" s="620"/>
      <c r="U6" s="621"/>
    </row>
    <row r="7" spans="1:23" ht="28.5" customHeight="1" x14ac:dyDescent="0.45">
      <c r="D7" s="629" t="s">
        <v>484</v>
      </c>
      <c r="E7" s="630"/>
      <c r="F7" s="197" t="s">
        <v>485</v>
      </c>
      <c r="G7" s="525">
        <f>G4*係数!$C$30*0.0000258</f>
        <v>0</v>
      </c>
      <c r="H7" s="525">
        <f>H4*係数!$C$30*0.0000258</f>
        <v>0</v>
      </c>
      <c r="I7" s="526">
        <f>G7-H7</f>
        <v>0</v>
      </c>
      <c r="J7" s="182">
        <f t="shared" si="0"/>
        <v>0</v>
      </c>
      <c r="M7" s="41" t="str">
        <f>IF(OR(D17=0,M17=0),"",IF(D17=M17,"なし",IF(D17&gt;M17,"減少","増加")))</f>
        <v/>
      </c>
      <c r="N7" s="676" t="str">
        <f>IF(OR(M7="",M7="なし"),"ー",IF(M7="減少","減少する理由を特記事項欄に記載してください。","やむを得ず増加する場合は特記事項欄に理由を記載してください。(要根拠資料提出)"))</f>
        <v>ー</v>
      </c>
      <c r="O7" s="677"/>
      <c r="P7" s="677"/>
      <c r="Q7" s="677"/>
      <c r="R7" s="677"/>
      <c r="S7" s="677"/>
      <c r="T7" s="677"/>
      <c r="U7" s="678"/>
    </row>
    <row r="8" spans="1:23" ht="18.600000000000001" customHeight="1" x14ac:dyDescent="0.45">
      <c r="M8" s="193"/>
      <c r="N8" s="193"/>
      <c r="O8" s="193"/>
      <c r="Q8" s="193"/>
      <c r="R8" s="193"/>
      <c r="S8" s="193"/>
    </row>
    <row r="9" spans="1:23" ht="18.600000000000001" customHeight="1" x14ac:dyDescent="0.45">
      <c r="M9" s="193"/>
      <c r="N9" s="193"/>
      <c r="O9" s="193"/>
      <c r="Q9" s="193"/>
      <c r="R9" s="193"/>
      <c r="S9" s="193"/>
    </row>
    <row r="10" spans="1:23" ht="17.55" customHeight="1" x14ac:dyDescent="0.45">
      <c r="L10" s="193"/>
      <c r="M10" s="193"/>
    </row>
    <row r="11" spans="1:23" x14ac:dyDescent="0.45">
      <c r="B11" s="202"/>
      <c r="L11" s="193"/>
      <c r="M11" s="193"/>
    </row>
    <row r="12" spans="1:23" x14ac:dyDescent="0.45">
      <c r="A12" t="s">
        <v>139</v>
      </c>
      <c r="L12" s="202"/>
    </row>
    <row r="13" spans="1:23" x14ac:dyDescent="0.45">
      <c r="B13" s="588" t="s">
        <v>141</v>
      </c>
      <c r="C13" s="246" t="s">
        <v>76</v>
      </c>
      <c r="D13" s="242"/>
      <c r="E13" s="242"/>
      <c r="F13" s="242"/>
      <c r="G13" s="242"/>
      <c r="H13" s="242"/>
      <c r="I13" s="242"/>
      <c r="J13" s="242"/>
      <c r="K13" s="240"/>
      <c r="L13" s="246" t="s">
        <v>87</v>
      </c>
      <c r="M13" s="242"/>
      <c r="N13" s="242"/>
      <c r="O13" s="242"/>
      <c r="P13" s="242"/>
      <c r="Q13" s="242"/>
      <c r="R13" s="242"/>
      <c r="S13" s="242"/>
      <c r="T13" s="240"/>
      <c r="U13" s="204" t="s">
        <v>94</v>
      </c>
      <c r="V13" s="204"/>
      <c r="W13" s="669" t="s">
        <v>526</v>
      </c>
    </row>
    <row r="14" spans="1:23" ht="32.4" x14ac:dyDescent="0.45">
      <c r="B14" s="589"/>
      <c r="C14" s="205" t="s">
        <v>170</v>
      </c>
      <c r="D14" s="205" t="s">
        <v>501</v>
      </c>
      <c r="E14" s="205" t="s">
        <v>503</v>
      </c>
      <c r="F14" s="205" t="s">
        <v>497</v>
      </c>
      <c r="G14" s="205" t="s">
        <v>498</v>
      </c>
      <c r="H14" s="205" t="s">
        <v>500</v>
      </c>
      <c r="I14" s="205" t="s">
        <v>510</v>
      </c>
      <c r="J14" s="205" t="s">
        <v>466</v>
      </c>
      <c r="K14" s="205" t="s">
        <v>467</v>
      </c>
      <c r="L14" s="205" t="s">
        <v>170</v>
      </c>
      <c r="M14" s="205" t="s">
        <v>501</v>
      </c>
      <c r="N14" s="205" t="s">
        <v>503</v>
      </c>
      <c r="O14" s="205" t="s">
        <v>497</v>
      </c>
      <c r="P14" s="205" t="s">
        <v>498</v>
      </c>
      <c r="Q14" s="205" t="s">
        <v>500</v>
      </c>
      <c r="R14" s="205" t="s">
        <v>510</v>
      </c>
      <c r="S14" s="205" t="s">
        <v>466</v>
      </c>
      <c r="T14" s="205" t="s">
        <v>468</v>
      </c>
      <c r="U14" s="207" t="s">
        <v>476</v>
      </c>
      <c r="V14" s="207" t="s">
        <v>477</v>
      </c>
      <c r="W14" s="670"/>
    </row>
    <row r="15" spans="1:23" ht="21.6" customHeight="1" x14ac:dyDescent="0.45">
      <c r="B15" s="208" t="s">
        <v>140</v>
      </c>
      <c r="C15" s="209"/>
      <c r="D15" s="200" t="s">
        <v>502</v>
      </c>
      <c r="E15" s="209"/>
      <c r="F15" s="200" t="s">
        <v>499</v>
      </c>
      <c r="G15" s="200" t="s">
        <v>499</v>
      </c>
      <c r="H15" s="200" t="s">
        <v>204</v>
      </c>
      <c r="I15" s="200" t="s">
        <v>82</v>
      </c>
      <c r="J15" s="200" t="s">
        <v>85</v>
      </c>
      <c r="K15" s="211" t="s">
        <v>62</v>
      </c>
      <c r="L15" s="455"/>
      <c r="M15" s="200" t="s">
        <v>502</v>
      </c>
      <c r="N15" s="209"/>
      <c r="O15" s="200" t="s">
        <v>499</v>
      </c>
      <c r="P15" s="200" t="s">
        <v>499</v>
      </c>
      <c r="Q15" s="200" t="s">
        <v>204</v>
      </c>
      <c r="R15" s="200" t="s">
        <v>82</v>
      </c>
      <c r="S15" s="200" t="s">
        <v>85</v>
      </c>
      <c r="T15" s="211" t="s">
        <v>62</v>
      </c>
      <c r="U15" s="200" t="s">
        <v>85</v>
      </c>
      <c r="V15" s="211" t="s">
        <v>62</v>
      </c>
      <c r="W15" s="671"/>
    </row>
    <row r="16" spans="1:23" s="31" customFormat="1" ht="36" x14ac:dyDescent="0.45">
      <c r="B16" s="331" t="s">
        <v>540</v>
      </c>
      <c r="C16" s="332" t="s">
        <v>596</v>
      </c>
      <c r="D16" s="462">
        <v>500</v>
      </c>
      <c r="E16" s="332" t="s">
        <v>597</v>
      </c>
      <c r="F16" s="462">
        <v>379</v>
      </c>
      <c r="G16" s="462">
        <v>1901</v>
      </c>
      <c r="H16" s="333">
        <f>IF(D16&lt;=500,0.4,0.5)</f>
        <v>0.4</v>
      </c>
      <c r="I16" s="460">
        <f>24*365</f>
        <v>8760</v>
      </c>
      <c r="J16" s="457">
        <f>(F16+G16*H16^2)*I16/1000</f>
        <v>5984.481600000001</v>
      </c>
      <c r="K16" s="432">
        <f>J16*係数!$H$30</f>
        <v>2.7289236096000007</v>
      </c>
      <c r="L16" s="332" t="s">
        <v>598</v>
      </c>
      <c r="M16" s="462">
        <v>100</v>
      </c>
      <c r="N16" s="332" t="s">
        <v>597</v>
      </c>
      <c r="O16" s="462">
        <v>150</v>
      </c>
      <c r="P16" s="462">
        <v>1380</v>
      </c>
      <c r="Q16" s="333">
        <f>IF(M16="","",IF(M16&lt;=500,0.4,0.5))</f>
        <v>0.4</v>
      </c>
      <c r="R16" s="457">
        <f>IF(I16="","",I16)</f>
        <v>8760</v>
      </c>
      <c r="S16" s="457">
        <f>IFERROR((O16+P16*Q16^2)*R16/1000,0)</f>
        <v>3248.2080000000005</v>
      </c>
      <c r="T16" s="432">
        <f>S16*係数!$H$30</f>
        <v>1.4811828480000002</v>
      </c>
      <c r="U16" s="334">
        <f>J16-S16</f>
        <v>2736.2736000000004</v>
      </c>
      <c r="V16" s="432">
        <f>K16-T16</f>
        <v>1.2477407616000005</v>
      </c>
      <c r="W16" s="335" t="b">
        <f>OR(IF(D16&lt;=500,0.4,0.5)&lt;H16,IF(M16&lt;=500,0.4,0.5)&lt;Q16)</f>
        <v>0</v>
      </c>
    </row>
    <row r="17" spans="2:23" x14ac:dyDescent="0.45">
      <c r="B17" s="200" t="s">
        <v>60</v>
      </c>
      <c r="C17" s="222"/>
      <c r="D17" s="464">
        <f>SUM(D18:D32)</f>
        <v>0</v>
      </c>
      <c r="E17" s="221"/>
      <c r="F17" s="463">
        <f>SUM(F18:F32)</f>
        <v>0</v>
      </c>
      <c r="G17" s="464">
        <f>SUM(G18:G32)</f>
        <v>0</v>
      </c>
      <c r="H17" s="223"/>
      <c r="I17" s="459"/>
      <c r="J17" s="458">
        <f>SUM(J18:J32)</f>
        <v>0</v>
      </c>
      <c r="K17" s="433">
        <f>SUM(K18:K32)</f>
        <v>0</v>
      </c>
      <c r="L17" s="221"/>
      <c r="M17" s="464">
        <f>SUM(M18:M32)</f>
        <v>0</v>
      </c>
      <c r="N17" s="221"/>
      <c r="O17" s="463">
        <f>SUM(O18:O32)</f>
        <v>0</v>
      </c>
      <c r="P17" s="464">
        <f>SUM(P18:P32)</f>
        <v>0</v>
      </c>
      <c r="Q17" s="223"/>
      <c r="R17" s="459"/>
      <c r="S17" s="458">
        <f>SUM(S18:S32)</f>
        <v>0</v>
      </c>
      <c r="T17" s="433">
        <f>SUM(T18:T32)</f>
        <v>0</v>
      </c>
      <c r="U17" s="285">
        <f>SUM(U18:U32)</f>
        <v>0</v>
      </c>
      <c r="V17" s="433">
        <f>SUM(V18:V32)</f>
        <v>0</v>
      </c>
      <c r="W17" s="336" t="b">
        <f>OR(W18:W32)</f>
        <v>1</v>
      </c>
    </row>
    <row r="18" spans="2:23" x14ac:dyDescent="0.45">
      <c r="B18" s="208" t="s">
        <v>119</v>
      </c>
      <c r="C18" s="36"/>
      <c r="D18" s="466"/>
      <c r="E18" s="36"/>
      <c r="F18" s="465"/>
      <c r="G18" s="465"/>
      <c r="H18" s="259">
        <f>IF(D18&lt;=500,0.4,0.5)</f>
        <v>0.4</v>
      </c>
      <c r="I18" s="461"/>
      <c r="J18" s="456">
        <f>(F18+G18*H18^2)*I18/1000</f>
        <v>0</v>
      </c>
      <c r="K18" s="434">
        <f>J18*係数!$H$30</f>
        <v>0</v>
      </c>
      <c r="L18" s="36"/>
      <c r="M18" s="466"/>
      <c r="N18" s="36"/>
      <c r="O18" s="465"/>
      <c r="P18" s="465"/>
      <c r="Q18" s="259" t="str">
        <f>IF(M18="","",IF(M18&lt;=500,0.4,0.5))</f>
        <v/>
      </c>
      <c r="R18" s="456" t="str">
        <f>IF(I18="","",I18)</f>
        <v/>
      </c>
      <c r="S18" s="456">
        <f>IFERROR((O18+P18*Q18^2)*R18/1000,0)</f>
        <v>0</v>
      </c>
      <c r="T18" s="434">
        <f>S18*係数!$H$30</f>
        <v>0</v>
      </c>
      <c r="U18" s="288">
        <f>J18-S18</f>
        <v>0</v>
      </c>
      <c r="V18" s="434">
        <f>K18-T18</f>
        <v>0</v>
      </c>
      <c r="W18" s="3" t="b">
        <f>OR(IF(D18&lt;=500,0.4,0.5)&lt;H18,IF(M18&lt;=500,0.4,0.5)&lt;Q18)</f>
        <v>1</v>
      </c>
    </row>
    <row r="19" spans="2:23" x14ac:dyDescent="0.45">
      <c r="B19" s="208" t="s">
        <v>120</v>
      </c>
      <c r="C19" s="36"/>
      <c r="D19" s="466"/>
      <c r="E19" s="36"/>
      <c r="F19" s="465"/>
      <c r="G19" s="465"/>
      <c r="H19" s="259">
        <f>IF(D19&lt;=500,0.4,0.5)</f>
        <v>0.4</v>
      </c>
      <c r="I19" s="461"/>
      <c r="J19" s="456">
        <f t="shared" ref="J19:J32" si="1">(F19+G19*H19^2)*I19/1000</f>
        <v>0</v>
      </c>
      <c r="K19" s="434">
        <f>J19*係数!$H$30</f>
        <v>0</v>
      </c>
      <c r="L19" s="36"/>
      <c r="M19" s="466"/>
      <c r="N19" s="36"/>
      <c r="O19" s="465"/>
      <c r="P19" s="465"/>
      <c r="Q19" s="259" t="str">
        <f t="shared" ref="Q19:Q32" si="2">IF(M19="","",IF(M19&lt;=500,0.4,0.5))</f>
        <v/>
      </c>
      <c r="R19" s="456" t="str">
        <f t="shared" ref="R19:R32" si="3">IF(I19="","",I19)</f>
        <v/>
      </c>
      <c r="S19" s="456">
        <f t="shared" ref="S19:S32" si="4">IFERROR((O19+P19*Q19^2)*R19/1000,0)</f>
        <v>0</v>
      </c>
      <c r="T19" s="434">
        <f>S19*係数!$H$30</f>
        <v>0</v>
      </c>
      <c r="U19" s="288">
        <f t="shared" ref="U19:V32" si="5">J19-S19</f>
        <v>0</v>
      </c>
      <c r="V19" s="434">
        <f t="shared" si="5"/>
        <v>0</v>
      </c>
      <c r="W19" s="3" t="b">
        <f t="shared" ref="W19:W32" si="6">OR(IF(D19&lt;=500,0.4,0.5)&lt;H19,IF(M19&lt;=500,0.4,0.5)&lt;Q19)</f>
        <v>1</v>
      </c>
    </row>
    <row r="20" spans="2:23" x14ac:dyDescent="0.45">
      <c r="B20" s="208" t="s">
        <v>121</v>
      </c>
      <c r="C20" s="36"/>
      <c r="D20" s="466"/>
      <c r="E20" s="36"/>
      <c r="F20" s="465"/>
      <c r="G20" s="465"/>
      <c r="H20" s="259">
        <f>IF(D20&lt;=500,0.4,0.5)</f>
        <v>0.4</v>
      </c>
      <c r="I20" s="461"/>
      <c r="J20" s="456">
        <f t="shared" si="1"/>
        <v>0</v>
      </c>
      <c r="K20" s="434">
        <f>J20*係数!$H$30</f>
        <v>0</v>
      </c>
      <c r="L20" s="36"/>
      <c r="M20" s="466"/>
      <c r="N20" s="36"/>
      <c r="O20" s="465"/>
      <c r="P20" s="465"/>
      <c r="Q20" s="259" t="str">
        <f t="shared" si="2"/>
        <v/>
      </c>
      <c r="R20" s="456" t="str">
        <f t="shared" si="3"/>
        <v/>
      </c>
      <c r="S20" s="456">
        <f t="shared" si="4"/>
        <v>0</v>
      </c>
      <c r="T20" s="434">
        <f>S20*係数!$H$30</f>
        <v>0</v>
      </c>
      <c r="U20" s="288">
        <f t="shared" si="5"/>
        <v>0</v>
      </c>
      <c r="V20" s="434">
        <f t="shared" si="5"/>
        <v>0</v>
      </c>
      <c r="W20" s="3" t="b">
        <f t="shared" si="6"/>
        <v>1</v>
      </c>
    </row>
    <row r="21" spans="2:23" x14ac:dyDescent="0.45">
      <c r="B21" s="208" t="s">
        <v>122</v>
      </c>
      <c r="C21" s="36"/>
      <c r="D21" s="466"/>
      <c r="E21" s="36"/>
      <c r="F21" s="465"/>
      <c r="G21" s="465"/>
      <c r="H21" s="259">
        <f t="shared" ref="H21:H32" si="7">IF(D21&lt;=500,0.4,0.5)</f>
        <v>0.4</v>
      </c>
      <c r="I21" s="461"/>
      <c r="J21" s="456">
        <f t="shared" si="1"/>
        <v>0</v>
      </c>
      <c r="K21" s="434">
        <f>J21*係数!$H$30</f>
        <v>0</v>
      </c>
      <c r="L21" s="36"/>
      <c r="M21" s="466"/>
      <c r="N21" s="36"/>
      <c r="O21" s="465"/>
      <c r="P21" s="465"/>
      <c r="Q21" s="259" t="str">
        <f t="shared" si="2"/>
        <v/>
      </c>
      <c r="R21" s="456" t="str">
        <f t="shared" si="3"/>
        <v/>
      </c>
      <c r="S21" s="456">
        <f t="shared" si="4"/>
        <v>0</v>
      </c>
      <c r="T21" s="434">
        <f>S21*係数!$H$30</f>
        <v>0</v>
      </c>
      <c r="U21" s="288">
        <f t="shared" si="5"/>
        <v>0</v>
      </c>
      <c r="V21" s="434">
        <f t="shared" si="5"/>
        <v>0</v>
      </c>
      <c r="W21" s="3" t="b">
        <f t="shared" si="6"/>
        <v>1</v>
      </c>
    </row>
    <row r="22" spans="2:23" x14ac:dyDescent="0.45">
      <c r="B22" s="208" t="s">
        <v>123</v>
      </c>
      <c r="C22" s="36"/>
      <c r="D22" s="466"/>
      <c r="E22" s="36"/>
      <c r="F22" s="465"/>
      <c r="G22" s="465"/>
      <c r="H22" s="259">
        <f t="shared" si="7"/>
        <v>0.4</v>
      </c>
      <c r="I22" s="461"/>
      <c r="J22" s="456">
        <f t="shared" si="1"/>
        <v>0</v>
      </c>
      <c r="K22" s="434">
        <f>J22*係数!$H$30</f>
        <v>0</v>
      </c>
      <c r="L22" s="36"/>
      <c r="M22" s="466"/>
      <c r="N22" s="36"/>
      <c r="O22" s="465"/>
      <c r="P22" s="465"/>
      <c r="Q22" s="259" t="str">
        <f t="shared" si="2"/>
        <v/>
      </c>
      <c r="R22" s="456" t="str">
        <f t="shared" si="3"/>
        <v/>
      </c>
      <c r="S22" s="456">
        <f t="shared" si="4"/>
        <v>0</v>
      </c>
      <c r="T22" s="434">
        <f>S22*係数!$H$30</f>
        <v>0</v>
      </c>
      <c r="U22" s="288">
        <f t="shared" si="5"/>
        <v>0</v>
      </c>
      <c r="V22" s="434">
        <f t="shared" si="5"/>
        <v>0</v>
      </c>
      <c r="W22" s="3" t="b">
        <f t="shared" si="6"/>
        <v>1</v>
      </c>
    </row>
    <row r="23" spans="2:23" x14ac:dyDescent="0.45">
      <c r="B23" s="208" t="s">
        <v>124</v>
      </c>
      <c r="C23" s="36"/>
      <c r="D23" s="466"/>
      <c r="E23" s="36"/>
      <c r="F23" s="465"/>
      <c r="G23" s="465"/>
      <c r="H23" s="259">
        <f t="shared" si="7"/>
        <v>0.4</v>
      </c>
      <c r="I23" s="461"/>
      <c r="J23" s="456">
        <f t="shared" si="1"/>
        <v>0</v>
      </c>
      <c r="K23" s="434">
        <f>J23*係数!$H$30</f>
        <v>0</v>
      </c>
      <c r="L23" s="36"/>
      <c r="M23" s="466"/>
      <c r="N23" s="36"/>
      <c r="O23" s="465"/>
      <c r="P23" s="465"/>
      <c r="Q23" s="259" t="str">
        <f t="shared" si="2"/>
        <v/>
      </c>
      <c r="R23" s="456" t="str">
        <f t="shared" si="3"/>
        <v/>
      </c>
      <c r="S23" s="456">
        <f t="shared" si="4"/>
        <v>0</v>
      </c>
      <c r="T23" s="434">
        <f>S23*係数!$H$30</f>
        <v>0</v>
      </c>
      <c r="U23" s="288">
        <f t="shared" si="5"/>
        <v>0</v>
      </c>
      <c r="V23" s="434">
        <f t="shared" si="5"/>
        <v>0</v>
      </c>
      <c r="W23" s="3" t="b">
        <f t="shared" si="6"/>
        <v>1</v>
      </c>
    </row>
    <row r="24" spans="2:23" x14ac:dyDescent="0.45">
      <c r="B24" s="208" t="s">
        <v>125</v>
      </c>
      <c r="C24" s="36"/>
      <c r="D24" s="466"/>
      <c r="E24" s="36"/>
      <c r="F24" s="465"/>
      <c r="G24" s="465"/>
      <c r="H24" s="259">
        <f t="shared" si="7"/>
        <v>0.4</v>
      </c>
      <c r="I24" s="461"/>
      <c r="J24" s="456">
        <f t="shared" si="1"/>
        <v>0</v>
      </c>
      <c r="K24" s="434">
        <f>J24*係数!$H$30</f>
        <v>0</v>
      </c>
      <c r="L24" s="36"/>
      <c r="M24" s="466"/>
      <c r="N24" s="36"/>
      <c r="O24" s="465"/>
      <c r="P24" s="465"/>
      <c r="Q24" s="259" t="str">
        <f t="shared" si="2"/>
        <v/>
      </c>
      <c r="R24" s="456" t="str">
        <f t="shared" si="3"/>
        <v/>
      </c>
      <c r="S24" s="456">
        <f t="shared" si="4"/>
        <v>0</v>
      </c>
      <c r="T24" s="434">
        <f>S24*係数!$H$30</f>
        <v>0</v>
      </c>
      <c r="U24" s="288">
        <f t="shared" si="5"/>
        <v>0</v>
      </c>
      <c r="V24" s="434">
        <f t="shared" si="5"/>
        <v>0</v>
      </c>
      <c r="W24" s="3" t="b">
        <f t="shared" si="6"/>
        <v>1</v>
      </c>
    </row>
    <row r="25" spans="2:23" x14ac:dyDescent="0.45">
      <c r="B25" s="208" t="s">
        <v>126</v>
      </c>
      <c r="C25" s="36"/>
      <c r="D25" s="466"/>
      <c r="E25" s="36"/>
      <c r="F25" s="465"/>
      <c r="G25" s="465"/>
      <c r="H25" s="259">
        <f t="shared" si="7"/>
        <v>0.4</v>
      </c>
      <c r="I25" s="461"/>
      <c r="J25" s="456">
        <f t="shared" si="1"/>
        <v>0</v>
      </c>
      <c r="K25" s="434">
        <f>J25*係数!$H$30</f>
        <v>0</v>
      </c>
      <c r="L25" s="36"/>
      <c r="M25" s="466"/>
      <c r="N25" s="36"/>
      <c r="O25" s="465"/>
      <c r="P25" s="465"/>
      <c r="Q25" s="259" t="str">
        <f t="shared" si="2"/>
        <v/>
      </c>
      <c r="R25" s="456" t="str">
        <f t="shared" si="3"/>
        <v/>
      </c>
      <c r="S25" s="456">
        <f t="shared" si="4"/>
        <v>0</v>
      </c>
      <c r="T25" s="434">
        <f>S25*係数!$H$30</f>
        <v>0</v>
      </c>
      <c r="U25" s="288">
        <f t="shared" si="5"/>
        <v>0</v>
      </c>
      <c r="V25" s="434">
        <f t="shared" si="5"/>
        <v>0</v>
      </c>
      <c r="W25" s="3" t="b">
        <f t="shared" si="6"/>
        <v>1</v>
      </c>
    </row>
    <row r="26" spans="2:23" x14ac:dyDescent="0.45">
      <c r="B26" s="208" t="s">
        <v>127</v>
      </c>
      <c r="C26" s="36"/>
      <c r="D26" s="466"/>
      <c r="E26" s="36"/>
      <c r="F26" s="465"/>
      <c r="G26" s="465"/>
      <c r="H26" s="259">
        <f t="shared" si="7"/>
        <v>0.4</v>
      </c>
      <c r="I26" s="461"/>
      <c r="J26" s="456">
        <f t="shared" si="1"/>
        <v>0</v>
      </c>
      <c r="K26" s="434">
        <f>J26*係数!$H$30</f>
        <v>0</v>
      </c>
      <c r="L26" s="36"/>
      <c r="M26" s="466"/>
      <c r="N26" s="36"/>
      <c r="O26" s="465"/>
      <c r="P26" s="465"/>
      <c r="Q26" s="259" t="str">
        <f t="shared" si="2"/>
        <v/>
      </c>
      <c r="R26" s="456" t="str">
        <f t="shared" si="3"/>
        <v/>
      </c>
      <c r="S26" s="456">
        <f t="shared" si="4"/>
        <v>0</v>
      </c>
      <c r="T26" s="434">
        <f>S26*係数!$H$30</f>
        <v>0</v>
      </c>
      <c r="U26" s="288">
        <f t="shared" si="5"/>
        <v>0</v>
      </c>
      <c r="V26" s="434">
        <f t="shared" si="5"/>
        <v>0</v>
      </c>
      <c r="W26" s="3" t="b">
        <f t="shared" si="6"/>
        <v>1</v>
      </c>
    </row>
    <row r="27" spans="2:23" x14ac:dyDescent="0.45">
      <c r="B27" s="208" t="s">
        <v>128</v>
      </c>
      <c r="C27" s="36"/>
      <c r="D27" s="466"/>
      <c r="E27" s="36"/>
      <c r="F27" s="465"/>
      <c r="G27" s="465"/>
      <c r="H27" s="259">
        <f t="shared" si="7"/>
        <v>0.4</v>
      </c>
      <c r="I27" s="461"/>
      <c r="J27" s="456">
        <f t="shared" si="1"/>
        <v>0</v>
      </c>
      <c r="K27" s="434">
        <f>J27*係数!$H$30</f>
        <v>0</v>
      </c>
      <c r="L27" s="36"/>
      <c r="M27" s="466"/>
      <c r="N27" s="36"/>
      <c r="O27" s="465"/>
      <c r="P27" s="465"/>
      <c r="Q27" s="259" t="str">
        <f t="shared" si="2"/>
        <v/>
      </c>
      <c r="R27" s="456" t="str">
        <f t="shared" si="3"/>
        <v/>
      </c>
      <c r="S27" s="456">
        <f t="shared" si="4"/>
        <v>0</v>
      </c>
      <c r="T27" s="434">
        <f>S27*係数!$H$30</f>
        <v>0</v>
      </c>
      <c r="U27" s="288">
        <f t="shared" si="5"/>
        <v>0</v>
      </c>
      <c r="V27" s="434">
        <f t="shared" si="5"/>
        <v>0</v>
      </c>
      <c r="W27" s="3" t="b">
        <f t="shared" si="6"/>
        <v>1</v>
      </c>
    </row>
    <row r="28" spans="2:23" x14ac:dyDescent="0.45">
      <c r="B28" s="208" t="s">
        <v>129</v>
      </c>
      <c r="C28" s="36"/>
      <c r="D28" s="466"/>
      <c r="E28" s="36"/>
      <c r="F28" s="465"/>
      <c r="G28" s="465"/>
      <c r="H28" s="259">
        <f t="shared" si="7"/>
        <v>0.4</v>
      </c>
      <c r="I28" s="461"/>
      <c r="J28" s="456">
        <f t="shared" si="1"/>
        <v>0</v>
      </c>
      <c r="K28" s="434">
        <f>J28*係数!$H$30</f>
        <v>0</v>
      </c>
      <c r="L28" s="36"/>
      <c r="M28" s="466"/>
      <c r="N28" s="36"/>
      <c r="O28" s="465"/>
      <c r="P28" s="465"/>
      <c r="Q28" s="259" t="str">
        <f t="shared" si="2"/>
        <v/>
      </c>
      <c r="R28" s="456" t="str">
        <f t="shared" si="3"/>
        <v/>
      </c>
      <c r="S28" s="456">
        <f t="shared" si="4"/>
        <v>0</v>
      </c>
      <c r="T28" s="434">
        <f>S28*係数!$H$30</f>
        <v>0</v>
      </c>
      <c r="U28" s="288">
        <f t="shared" si="5"/>
        <v>0</v>
      </c>
      <c r="V28" s="434">
        <f t="shared" si="5"/>
        <v>0</v>
      </c>
      <c r="W28" s="3" t="b">
        <f t="shared" si="6"/>
        <v>1</v>
      </c>
    </row>
    <row r="29" spans="2:23" x14ac:dyDescent="0.45">
      <c r="B29" s="208" t="s">
        <v>130</v>
      </c>
      <c r="C29" s="36"/>
      <c r="D29" s="466"/>
      <c r="E29" s="36"/>
      <c r="F29" s="465"/>
      <c r="G29" s="465"/>
      <c r="H29" s="259">
        <f t="shared" si="7"/>
        <v>0.4</v>
      </c>
      <c r="I29" s="461"/>
      <c r="J29" s="456">
        <f t="shared" si="1"/>
        <v>0</v>
      </c>
      <c r="K29" s="434">
        <f>J29*係数!$H$30</f>
        <v>0</v>
      </c>
      <c r="L29" s="36"/>
      <c r="M29" s="466"/>
      <c r="N29" s="36"/>
      <c r="O29" s="465"/>
      <c r="P29" s="465"/>
      <c r="Q29" s="259" t="str">
        <f t="shared" si="2"/>
        <v/>
      </c>
      <c r="R29" s="456" t="str">
        <f t="shared" si="3"/>
        <v/>
      </c>
      <c r="S29" s="456">
        <f t="shared" si="4"/>
        <v>0</v>
      </c>
      <c r="T29" s="434">
        <f>S29*係数!$H$30</f>
        <v>0</v>
      </c>
      <c r="U29" s="288">
        <f t="shared" si="5"/>
        <v>0</v>
      </c>
      <c r="V29" s="434">
        <f t="shared" si="5"/>
        <v>0</v>
      </c>
      <c r="W29" s="3" t="b">
        <f t="shared" si="6"/>
        <v>1</v>
      </c>
    </row>
    <row r="30" spans="2:23" x14ac:dyDescent="0.45">
      <c r="B30" s="208" t="s">
        <v>131</v>
      </c>
      <c r="C30" s="36"/>
      <c r="D30" s="466"/>
      <c r="E30" s="36"/>
      <c r="F30" s="465"/>
      <c r="G30" s="465"/>
      <c r="H30" s="259">
        <f t="shared" si="7"/>
        <v>0.4</v>
      </c>
      <c r="I30" s="461"/>
      <c r="J30" s="456">
        <f t="shared" si="1"/>
        <v>0</v>
      </c>
      <c r="K30" s="434">
        <f>J30*係数!$H$30</f>
        <v>0</v>
      </c>
      <c r="L30" s="36"/>
      <c r="M30" s="466"/>
      <c r="N30" s="36"/>
      <c r="O30" s="465"/>
      <c r="P30" s="465"/>
      <c r="Q30" s="259" t="str">
        <f t="shared" si="2"/>
        <v/>
      </c>
      <c r="R30" s="456" t="str">
        <f t="shared" si="3"/>
        <v/>
      </c>
      <c r="S30" s="456">
        <f t="shared" si="4"/>
        <v>0</v>
      </c>
      <c r="T30" s="434">
        <f>S30*係数!$H$30</f>
        <v>0</v>
      </c>
      <c r="U30" s="288">
        <f t="shared" si="5"/>
        <v>0</v>
      </c>
      <c r="V30" s="434">
        <f t="shared" si="5"/>
        <v>0</v>
      </c>
      <c r="W30" s="3" t="b">
        <f t="shared" si="6"/>
        <v>1</v>
      </c>
    </row>
    <row r="31" spans="2:23" x14ac:dyDescent="0.45">
      <c r="B31" s="208" t="s">
        <v>132</v>
      </c>
      <c r="C31" s="36"/>
      <c r="D31" s="466"/>
      <c r="E31" s="36"/>
      <c r="F31" s="465"/>
      <c r="G31" s="465"/>
      <c r="H31" s="259">
        <f t="shared" si="7"/>
        <v>0.4</v>
      </c>
      <c r="I31" s="461"/>
      <c r="J31" s="456">
        <f t="shared" si="1"/>
        <v>0</v>
      </c>
      <c r="K31" s="434">
        <f>J31*係数!$H$30</f>
        <v>0</v>
      </c>
      <c r="L31" s="36"/>
      <c r="M31" s="466"/>
      <c r="N31" s="36"/>
      <c r="O31" s="465"/>
      <c r="P31" s="465"/>
      <c r="Q31" s="259" t="str">
        <f t="shared" si="2"/>
        <v/>
      </c>
      <c r="R31" s="456" t="str">
        <f t="shared" si="3"/>
        <v/>
      </c>
      <c r="S31" s="456">
        <f t="shared" si="4"/>
        <v>0</v>
      </c>
      <c r="T31" s="434">
        <f>S31*係数!$H$30</f>
        <v>0</v>
      </c>
      <c r="U31" s="288">
        <f t="shared" si="5"/>
        <v>0</v>
      </c>
      <c r="V31" s="434">
        <f t="shared" si="5"/>
        <v>0</v>
      </c>
      <c r="W31" s="3" t="b">
        <f t="shared" si="6"/>
        <v>1</v>
      </c>
    </row>
    <row r="32" spans="2:23" x14ac:dyDescent="0.45">
      <c r="B32" s="208" t="s">
        <v>133</v>
      </c>
      <c r="C32" s="36"/>
      <c r="D32" s="466"/>
      <c r="E32" s="36"/>
      <c r="F32" s="465"/>
      <c r="G32" s="465"/>
      <c r="H32" s="259">
        <f t="shared" si="7"/>
        <v>0.4</v>
      </c>
      <c r="I32" s="461"/>
      <c r="J32" s="456">
        <f t="shared" si="1"/>
        <v>0</v>
      </c>
      <c r="K32" s="434">
        <f>J32*係数!$H$30</f>
        <v>0</v>
      </c>
      <c r="L32" s="36"/>
      <c r="M32" s="466"/>
      <c r="N32" s="36"/>
      <c r="O32" s="465"/>
      <c r="P32" s="465"/>
      <c r="Q32" s="259" t="str">
        <f t="shared" si="2"/>
        <v/>
      </c>
      <c r="R32" s="456" t="str">
        <f t="shared" si="3"/>
        <v/>
      </c>
      <c r="S32" s="456">
        <f t="shared" si="4"/>
        <v>0</v>
      </c>
      <c r="T32" s="434">
        <f>S32*係数!$H$30</f>
        <v>0</v>
      </c>
      <c r="U32" s="288">
        <f t="shared" si="5"/>
        <v>0</v>
      </c>
      <c r="V32" s="434">
        <f t="shared" si="5"/>
        <v>0</v>
      </c>
      <c r="W32" s="3" t="b">
        <f t="shared" si="6"/>
        <v>1</v>
      </c>
    </row>
  </sheetData>
  <sheetProtection algorithmName="SHA-512" hashValue="bFk6KMzkIPI1pevOQy0tMte6Ns3qUPX2/9gdn/siPSkJirx3b317eCYfduDrA0RgscimmjDQQYMULwhF9AXg5A==" saltValue="8/tjR9syr1e2M3kEECRIYw==" spinCount="100000" sheet="1" objects="1" scenarios="1" formatCells="0" formatColumns="0" formatRows="0"/>
  <mergeCells count="11">
    <mergeCell ref="B13:B14"/>
    <mergeCell ref="W13:W15"/>
    <mergeCell ref="D3:E3"/>
    <mergeCell ref="D4:E4"/>
    <mergeCell ref="D5:E5"/>
    <mergeCell ref="D6:E6"/>
    <mergeCell ref="D7:E7"/>
    <mergeCell ref="M3:U3"/>
    <mergeCell ref="M4:U4"/>
    <mergeCell ref="M6:U6"/>
    <mergeCell ref="N7:U7"/>
  </mergeCells>
  <phoneticPr fontId="5"/>
  <conditionalFormatting sqref="J7">
    <cfRule type="expression" dxfId="56" priority="5">
      <formula>$E$1="なし"</formula>
    </cfRule>
  </conditionalFormatting>
  <conditionalFormatting sqref="G7">
    <cfRule type="expression" dxfId="55" priority="4">
      <formula>$E$1="なし"</formula>
    </cfRule>
  </conditionalFormatting>
  <conditionalFormatting sqref="H7">
    <cfRule type="expression" dxfId="54" priority="3">
      <formula>$E$1="なし"</formula>
    </cfRule>
  </conditionalFormatting>
  <conditionalFormatting sqref="M17">
    <cfRule type="cellIs" dxfId="53" priority="2" operator="greaterThan">
      <formula>$D$17</formula>
    </cfRule>
  </conditionalFormatting>
  <conditionalFormatting sqref="N7">
    <cfRule type="cellIs" dxfId="52" priority="1" operator="notEqual">
      <formula>"ー"</formula>
    </cfRule>
  </conditionalFormatting>
  <pageMargins left="0.7" right="0.7" top="0.75" bottom="0.75" header="0.3" footer="0.3"/>
  <pageSetup paperSize="8" scale="71" orientation="landscape" r:id="rId1"/>
  <ignoredErrors>
    <ignoredError sqref="I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1 P Q V u 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K 1 P 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T 0 F Y o i k e 4 D g A A A B E A A A A T A B w A R m 9 y b X V s Y X M v U 2 V j d G l v b j E u b S C i G A A o o B Q A A A A A A A A A A A A A A A A A A A A A A A A A A A A r T k 0 u y c z P U w i G 0 I b W A F B L A Q I t A B Q A A g A I A C t T 0 F b l a W u D p w A A A P g A A A A S A A A A A A A A A A A A A A A A A A A A A A B D b 2 5 m a W c v U G F j a 2 F n Z S 5 4 b W x Q S w E C L Q A U A A I A C A A r U 9 B W D 8 r p q 6 Q A A A D p A A A A E w A A A A A A A A A A A A A A A A D z A A A A W 0 N v b n R l b n R f V H l w Z X N d L n h t b F B L A Q I t A B Q A A g A I A C t T 0 F Y 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2 u A t + m u W 2 Q Z C u 1 g m Z 0 1 e 8 A A A A A A I A A A A A A B B m A A A A A Q A A I A A A A C 4 S 1 s 0 u m f c W A c 9 x P E d U y A r J N I 1 b j M N 5 H 3 v R e r v / C 5 x 8 A A A A A A 6 A A A A A A g A A I A A A A B p l e C q a D H e D q 7 x S 2 V E 6 v H l P T i G 9 V b k y j y 0 r 2 5 c P v o 9 J U A A A A D w o J i d n 2 I P q u X 9 P z n F 3 B A W e T M h v A n y M k o K g w + u i i H H G L b Q q P S e t C A s e z t f n t / i P 1 A l h + F v P I H O t 6 t T y O v L H K B r K a Z Y E 9 A m I o r X C j o 6 S 8 u X e Q A A A A O c C b x 7 A I n F 9 l l D f d 5 0 3 Q 3 b V f q u n S u G N h u u c o 6 R L E O 7 3 J v U r E 7 5 x o p L M f T j U U R z z C D S p + P p i U Y k j 8 o 0 A p 4 S g i k E = < / D a t a M a s h u p > 
</file>

<file path=customXml/itemProps1.xml><?xml version="1.0" encoding="utf-8"?>
<ds:datastoreItem xmlns:ds="http://schemas.openxmlformats.org/officeDocument/2006/customXml" ds:itemID="{F8518A62-9E67-4F2E-B8B2-5A36057920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提出するシートについて</vt:lpstr>
      <vt:lpstr>記入例</vt:lpstr>
      <vt:lpstr>使用量と光熱費</vt:lpstr>
      <vt:lpstr>照明</vt:lpstr>
      <vt:lpstr>空調（電気）</vt:lpstr>
      <vt:lpstr>空調（GHP)</vt:lpstr>
      <vt:lpstr>ボイラー・給湯器</vt:lpstr>
      <vt:lpstr>モーター</vt:lpstr>
      <vt:lpstr>変圧器</vt:lpstr>
      <vt:lpstr>その他</vt:lpstr>
      <vt:lpstr>取組項目</vt:lpstr>
      <vt:lpstr>診断結果【更新】</vt:lpstr>
      <vt:lpstr>診断結果【使用量】</vt:lpstr>
      <vt:lpstr>診断結果【取組】</vt:lpstr>
      <vt:lpstr>Sheet13</vt:lpstr>
      <vt:lpstr>係数</vt:lpstr>
      <vt:lpstr>負荷率</vt:lpstr>
      <vt:lpstr>モーター効率</vt:lpstr>
      <vt:lpstr>ボイラー・給湯器!Print_Area</vt:lpstr>
      <vt:lpstr>モーター!Print_Area</vt:lpstr>
      <vt:lpstr>'空調（GHP)'!Print_Area</vt:lpstr>
      <vt:lpstr>'空調（電気）'!Print_Area</vt:lpstr>
      <vt:lpstr>係数!Print_Area</vt:lpstr>
      <vt:lpstr>取組項目!Print_Area</vt:lpstr>
      <vt:lpstr>照明!Print_Area</vt:lpstr>
      <vt:lpstr>診断結果【使用量】!Print_Area</vt:lpstr>
      <vt:lpstr>取組項目!Print_Titles</vt:lpstr>
      <vt:lpstr>診断結果【取組】!Print_Titles</vt:lpstr>
      <vt:lpstr>rangeIE1</vt:lpstr>
      <vt:lpstr>rangeIE2</vt:lpstr>
      <vt:lpstr>rangeIE3</vt:lpstr>
      <vt:lpstr>rangeIE4</vt:lpstr>
      <vt:lpstr>係数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2023-09-14T04:00:28Z</dcterms:modified>
</cp:coreProperties>
</file>