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updateLinks="never"/>
  <xr:revisionPtr revIDLastSave="0" documentId="13_ncr:1_{EDC246AF-5E97-4A66-8F54-70AE7918DB01}" xr6:coauthVersionLast="47" xr6:coauthVersionMax="47" xr10:uidLastSave="{00000000-0000-0000-0000-000000000000}"/>
  <bookViews>
    <workbookView xWindow="-120" yWindow="-120" windowWidth="29040" windowHeight="15720" tabRatio="627" xr2:uid="{00000000-000D-0000-FFFF-FFFF00000000}"/>
  </bookViews>
  <sheets>
    <sheet name="提出するシートについて" sheetId="27" r:id="rId1"/>
    <sheet name="記入例" sheetId="26" r:id="rId2"/>
    <sheet name="使用量と光熱費" sheetId="1" r:id="rId3"/>
    <sheet name="照明" sheetId="8" r:id="rId4"/>
    <sheet name="空調（電気）" sheetId="9" r:id="rId5"/>
    <sheet name="空調（GHP)" sheetId="23" r:id="rId6"/>
    <sheet name="ボイラー・給湯器" sheetId="24" r:id="rId7"/>
    <sheet name="モーター" sheetId="22" r:id="rId8"/>
    <sheet name="変圧器" sheetId="25" r:id="rId9"/>
    <sheet name="冷凍庫・冷蔵庫" sheetId="28" r:id="rId10"/>
    <sheet name="取組項目" sheetId="20" r:id="rId11"/>
    <sheet name="診断結果【更新】" sheetId="14" r:id="rId12"/>
    <sheet name="診断結果【使用量】" sheetId="16" r:id="rId13"/>
    <sheet name="診断結果【取組】" sheetId="19" r:id="rId14"/>
    <sheet name="Sheet13" sheetId="13" state="hidden" r:id="rId15"/>
    <sheet name="係数" sheetId="4" r:id="rId16"/>
    <sheet name="負荷率" sheetId="6" state="hidden" r:id="rId17"/>
    <sheet name="モーター効率" sheetId="21" state="hidden" r:id="rId18"/>
  </sheets>
  <externalReferences>
    <externalReference r:id="rId19"/>
    <externalReference r:id="rId20"/>
    <externalReference r:id="rId21"/>
  </externalReferences>
  <definedNames>
    <definedName name="_Fill" hidden="1">[1]昨年!$B$2:$J$2</definedName>
    <definedName name="haishutukeisuu" localSheetId="1" hidden="1">{"'第２表'!$W$27:$AA$68"}</definedName>
    <definedName name="haishutukeisuu" hidden="1">{"'第２表'!$W$27:$AA$68"}</definedName>
    <definedName name="HTML_CodePage" hidden="1">932</definedName>
    <definedName name="HTML_Control" localSheetId="1"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lpu" localSheetId="1" hidden="1">{"'第２表'!$W$27:$AA$68"}</definedName>
    <definedName name="lpu" hidden="1">{"'第２表'!$W$27:$AA$68"}</definedName>
    <definedName name="pps推移" localSheetId="1" hidden="1">{"'第２表'!$W$27:$AA$68"}</definedName>
    <definedName name="pps推移" hidden="1">{"'第２表'!$W$27:$AA$68"}</definedName>
    <definedName name="_xlnm.Print_Area" localSheetId="6">ボイラー・給湯器!$A$1:$AN$34</definedName>
    <definedName name="_xlnm.Print_Area" localSheetId="7">モーター!$A$1:$AH$29</definedName>
    <definedName name="_xlnm.Print_Area" localSheetId="1">記入例!$A$1:$AP$205</definedName>
    <definedName name="_xlnm.Print_Area" localSheetId="5">'空調（GHP)'!$A$1:$AK$42</definedName>
    <definedName name="_xlnm.Print_Area" localSheetId="4">'空調（電気）'!$A$1:$AD$39</definedName>
    <definedName name="_xlnm.Print_Area" localSheetId="15">係数!$A$1:$I$30</definedName>
    <definedName name="_xlnm.Print_Area" localSheetId="10">取組項目!$A$1:$G$63</definedName>
    <definedName name="_xlnm.Print_Area" localSheetId="3">照明!$A$1:$X$47</definedName>
    <definedName name="_xlnm.Print_Area" localSheetId="11">診断結果【更新】!$A$1:$H$58</definedName>
    <definedName name="_xlnm.Print_Area" localSheetId="12">診断結果【使用量】!$A$1:$I$111</definedName>
    <definedName name="_xlnm.Print_Titles" localSheetId="10">取組項目!$7:$7</definedName>
    <definedName name="_xlnm.Print_Titles" localSheetId="13">診断結果【取組】!$11:$11</definedName>
    <definedName name="rangeIE1">モーター効率!$B$2:$B$32</definedName>
    <definedName name="rangeIE2">モーター効率!$B$33:$B$63</definedName>
    <definedName name="rangeIE3">モーター効率!$B$64:$B$94</definedName>
    <definedName name="rangeIE4">モーター効率!$B$95:$B$122</definedName>
    <definedName name="係数">係数!$D$12:$H$43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9" l="1"/>
  <c r="F22" i="9" l="1"/>
  <c r="F195" i="26" l="1"/>
  <c r="F73" i="26"/>
  <c r="F42" i="26"/>
  <c r="F19" i="28"/>
  <c r="F20" i="28"/>
  <c r="F21" i="28"/>
  <c r="F22" i="28"/>
  <c r="F23" i="28"/>
  <c r="F24" i="28"/>
  <c r="F25" i="28"/>
  <c r="F26" i="28"/>
  <c r="F27" i="28"/>
  <c r="F28" i="28"/>
  <c r="F29" i="28"/>
  <c r="F30" i="28"/>
  <c r="F31" i="28"/>
  <c r="F32" i="28"/>
  <c r="F33" i="28"/>
  <c r="F34" i="28"/>
  <c r="F35" i="28"/>
  <c r="F36" i="28"/>
  <c r="F37" i="28"/>
  <c r="F18" i="28"/>
  <c r="F16" i="28"/>
  <c r="I21" i="24" l="1"/>
  <c r="I22" i="24"/>
  <c r="I23" i="24"/>
  <c r="I24" i="24"/>
  <c r="I25" i="24"/>
  <c r="I26" i="24"/>
  <c r="I27" i="24"/>
  <c r="I28" i="24"/>
  <c r="I29" i="24"/>
  <c r="I30" i="24"/>
  <c r="I31" i="24"/>
  <c r="I32" i="24"/>
  <c r="I33" i="24"/>
  <c r="I34" i="24"/>
  <c r="I20" i="24"/>
  <c r="I18" i="24"/>
  <c r="F24" i="23"/>
  <c r="F25" i="23"/>
  <c r="F26" i="23"/>
  <c r="F27" i="23"/>
  <c r="F28" i="23"/>
  <c r="F29" i="23"/>
  <c r="F30" i="23"/>
  <c r="F31" i="23"/>
  <c r="F32" i="23"/>
  <c r="F33" i="23"/>
  <c r="F34" i="23"/>
  <c r="F35" i="23"/>
  <c r="F36" i="23"/>
  <c r="F37" i="23"/>
  <c r="F38" i="23"/>
  <c r="F39" i="23"/>
  <c r="F40" i="23"/>
  <c r="F41" i="23"/>
  <c r="F42" i="23"/>
  <c r="F23" i="23"/>
  <c r="F21" i="23"/>
  <c r="F18" i="9"/>
  <c r="F37" i="9"/>
  <c r="F38" i="9"/>
  <c r="F39" i="9"/>
  <c r="F23" i="9"/>
  <c r="F24" i="9"/>
  <c r="F25" i="9"/>
  <c r="F26" i="9"/>
  <c r="F27" i="9"/>
  <c r="F28" i="9"/>
  <c r="F29" i="9"/>
  <c r="F30" i="9"/>
  <c r="F31" i="9"/>
  <c r="F32" i="9"/>
  <c r="F33" i="9"/>
  <c r="F34" i="9"/>
  <c r="F35" i="9"/>
  <c r="F36" i="9"/>
  <c r="F20" i="9"/>
  <c r="J143" i="26"/>
  <c r="AY34" i="24"/>
  <c r="AS34" i="24"/>
  <c r="AY33" i="24"/>
  <c r="AS33" i="24"/>
  <c r="AY32" i="24"/>
  <c r="AS32" i="24"/>
  <c r="AY31" i="24"/>
  <c r="AS31" i="24"/>
  <c r="AY30" i="24"/>
  <c r="AS30" i="24"/>
  <c r="AY29" i="24"/>
  <c r="AS29" i="24"/>
  <c r="AY28" i="24"/>
  <c r="AS28" i="24"/>
  <c r="AY27" i="24"/>
  <c r="AS27" i="24"/>
  <c r="AY26" i="24"/>
  <c r="AS26" i="24"/>
  <c r="AY25" i="24"/>
  <c r="AS25" i="24"/>
  <c r="AY24" i="24"/>
  <c r="AS24" i="24"/>
  <c r="AY23" i="24"/>
  <c r="AS23" i="24"/>
  <c r="AY22" i="24"/>
  <c r="AS22" i="24"/>
  <c r="AY21" i="24"/>
  <c r="AS21" i="24"/>
  <c r="AY20" i="24"/>
  <c r="AS20" i="24"/>
  <c r="Z29" i="22"/>
  <c r="J29" i="22"/>
  <c r="Z28" i="22"/>
  <c r="J28" i="22"/>
  <c r="Z27" i="22"/>
  <c r="J27" i="22"/>
  <c r="Z26" i="22"/>
  <c r="J26" i="22"/>
  <c r="Z25" i="22"/>
  <c r="J25" i="22"/>
  <c r="Z24" i="22"/>
  <c r="J24" i="22"/>
  <c r="Z23" i="22"/>
  <c r="J23" i="22"/>
  <c r="Z22" i="22"/>
  <c r="J22" i="22"/>
  <c r="Z21" i="22"/>
  <c r="J21" i="22"/>
  <c r="Z20" i="22"/>
  <c r="J20" i="22"/>
  <c r="Z18" i="22"/>
  <c r="J18" i="22"/>
  <c r="Z143" i="26"/>
  <c r="AZ34" i="24"/>
  <c r="AX34" i="24"/>
  <c r="AW34" i="24"/>
  <c r="AV34" i="24"/>
  <c r="AT34" i="24"/>
  <c r="AR34" i="24"/>
  <c r="AQ34" i="24"/>
  <c r="AP34" i="24"/>
  <c r="AZ33" i="24"/>
  <c r="AX33" i="24"/>
  <c r="AW33" i="24"/>
  <c r="AV33" i="24"/>
  <c r="AT33" i="24"/>
  <c r="AR33" i="24"/>
  <c r="AQ33" i="24"/>
  <c r="AP33" i="24"/>
  <c r="AZ32" i="24"/>
  <c r="AX32" i="24"/>
  <c r="AW32" i="24"/>
  <c r="AV32" i="24"/>
  <c r="AT32" i="24"/>
  <c r="AR32" i="24"/>
  <c r="AQ32" i="24"/>
  <c r="AP32" i="24"/>
  <c r="AZ31" i="24"/>
  <c r="AX31" i="24"/>
  <c r="AW31" i="24"/>
  <c r="AV31" i="24"/>
  <c r="AT31" i="24"/>
  <c r="AR31" i="24"/>
  <c r="AQ31" i="24"/>
  <c r="AP31" i="24"/>
  <c r="AZ30" i="24"/>
  <c r="AX30" i="24"/>
  <c r="AW30" i="24"/>
  <c r="AV30" i="24"/>
  <c r="AT30" i="24"/>
  <c r="AR30" i="24"/>
  <c r="AQ30" i="24"/>
  <c r="AP30" i="24"/>
  <c r="AZ29" i="24"/>
  <c r="AX29" i="24"/>
  <c r="AW29" i="24"/>
  <c r="AV29" i="24"/>
  <c r="AT29" i="24"/>
  <c r="AR29" i="24"/>
  <c r="AQ29" i="24"/>
  <c r="AP29" i="24"/>
  <c r="AZ28" i="24"/>
  <c r="AX28" i="24"/>
  <c r="AW28" i="24"/>
  <c r="AV28" i="24"/>
  <c r="AT28" i="24"/>
  <c r="AR28" i="24"/>
  <c r="AQ28" i="24"/>
  <c r="AP28" i="24"/>
  <c r="AZ27" i="24"/>
  <c r="AX27" i="24"/>
  <c r="AW27" i="24"/>
  <c r="AV27" i="24"/>
  <c r="AT27" i="24"/>
  <c r="AR27" i="24"/>
  <c r="AQ27" i="24"/>
  <c r="AP27" i="24"/>
  <c r="AZ26" i="24"/>
  <c r="AX26" i="24"/>
  <c r="AW26" i="24"/>
  <c r="AV26" i="24"/>
  <c r="AT26" i="24"/>
  <c r="AR26" i="24"/>
  <c r="AQ26" i="24"/>
  <c r="AP26" i="24"/>
  <c r="AZ25" i="24"/>
  <c r="AX25" i="24"/>
  <c r="AW25" i="24"/>
  <c r="AV25" i="24"/>
  <c r="AT25" i="24"/>
  <c r="AR25" i="24"/>
  <c r="AQ25" i="24"/>
  <c r="AP25" i="24"/>
  <c r="AZ24" i="24"/>
  <c r="AX24" i="24"/>
  <c r="AW24" i="24"/>
  <c r="AV24" i="24"/>
  <c r="AT24" i="24"/>
  <c r="AR24" i="24"/>
  <c r="AQ24" i="24"/>
  <c r="AP24" i="24"/>
  <c r="AZ23" i="24"/>
  <c r="AX23" i="24"/>
  <c r="AW23" i="24"/>
  <c r="AV23" i="24"/>
  <c r="AT23" i="24"/>
  <c r="AR23" i="24"/>
  <c r="AQ23" i="24"/>
  <c r="AP23" i="24"/>
  <c r="AZ22" i="24"/>
  <c r="AX22" i="24"/>
  <c r="AW22" i="24"/>
  <c r="AV22" i="24"/>
  <c r="AT22" i="24"/>
  <c r="AR22" i="24"/>
  <c r="AQ22" i="24"/>
  <c r="AP22" i="24"/>
  <c r="AZ21" i="24"/>
  <c r="AX21" i="24"/>
  <c r="AW21" i="24"/>
  <c r="AV21" i="24"/>
  <c r="AT21" i="24"/>
  <c r="AR21" i="24"/>
  <c r="AQ21" i="24"/>
  <c r="AP21" i="24"/>
  <c r="AZ20" i="24"/>
  <c r="AX20" i="24"/>
  <c r="AW20" i="24"/>
  <c r="AV20" i="24"/>
  <c r="AT20" i="24"/>
  <c r="AR20" i="24"/>
  <c r="AQ20" i="24"/>
  <c r="AP20" i="24"/>
  <c r="AZ18" i="24"/>
  <c r="AX18" i="24"/>
  <c r="AT18" i="24"/>
  <c r="AR18" i="24"/>
  <c r="G10" i="23"/>
  <c r="F10" i="23"/>
  <c r="P20" i="9" l="1"/>
  <c r="S35" i="28"/>
  <c r="S33" i="28"/>
  <c r="S31" i="28"/>
  <c r="Q17" i="28"/>
  <c r="H4" i="28" s="1"/>
  <c r="H7" i="28" s="1"/>
  <c r="O17" i="28"/>
  <c r="N17" i="28"/>
  <c r="M17" i="28"/>
  <c r="J17" i="28"/>
  <c r="G4" i="28" s="1"/>
  <c r="G7" i="28" s="1"/>
  <c r="H17" i="28"/>
  <c r="N8" i="28" s="1"/>
  <c r="G17" i="28"/>
  <c r="M8" i="28" s="1"/>
  <c r="E17" i="28"/>
  <c r="R67" i="25"/>
  <c r="Q67" i="25"/>
  <c r="H67" i="25"/>
  <c r="J67" i="25" s="1"/>
  <c r="R66" i="25"/>
  <c r="Q66" i="25"/>
  <c r="H66" i="25"/>
  <c r="J66" i="25" s="1"/>
  <c r="R65" i="25"/>
  <c r="Q65" i="25"/>
  <c r="H65" i="25"/>
  <c r="J65" i="25" s="1"/>
  <c r="R64" i="25"/>
  <c r="Q64" i="25"/>
  <c r="S64" i="25" s="1"/>
  <c r="H64" i="25"/>
  <c r="J64" i="25" s="1"/>
  <c r="R63" i="25"/>
  <c r="Q63" i="25"/>
  <c r="S63" i="25" s="1"/>
  <c r="H63" i="25"/>
  <c r="J63" i="25" s="1"/>
  <c r="R62" i="25"/>
  <c r="Q62" i="25"/>
  <c r="S62" i="25" s="1"/>
  <c r="H62" i="25"/>
  <c r="J62" i="25" s="1"/>
  <c r="R61" i="25"/>
  <c r="Q61" i="25"/>
  <c r="S61" i="25" s="1"/>
  <c r="H61" i="25"/>
  <c r="J61" i="25" s="1"/>
  <c r="R60" i="25"/>
  <c r="Q60" i="25"/>
  <c r="S60" i="25" s="1"/>
  <c r="H60" i="25"/>
  <c r="J60" i="25" s="1"/>
  <c r="R59" i="25"/>
  <c r="Q59" i="25"/>
  <c r="S59" i="25" s="1"/>
  <c r="H59" i="25"/>
  <c r="J59" i="25" s="1"/>
  <c r="R58" i="25"/>
  <c r="Q58" i="25"/>
  <c r="S58" i="25" s="1"/>
  <c r="H58" i="25"/>
  <c r="J58" i="25" s="1"/>
  <c r="R57" i="25"/>
  <c r="Q57" i="25"/>
  <c r="S57" i="25" s="1"/>
  <c r="H57" i="25"/>
  <c r="J57" i="25" s="1"/>
  <c r="R56" i="25"/>
  <c r="Q56" i="25"/>
  <c r="S56" i="25" s="1"/>
  <c r="H56" i="25"/>
  <c r="J56" i="25" s="1"/>
  <c r="R55" i="25"/>
  <c r="Q55" i="25"/>
  <c r="S55" i="25" s="1"/>
  <c r="H55" i="25"/>
  <c r="J55" i="25" s="1"/>
  <c r="R54" i="25"/>
  <c r="Q54" i="25"/>
  <c r="H54" i="25"/>
  <c r="J54" i="25" s="1"/>
  <c r="R53" i="25"/>
  <c r="Q53" i="25"/>
  <c r="S53" i="25" s="1"/>
  <c r="H53" i="25"/>
  <c r="J53" i="25" s="1"/>
  <c r="R52" i="25"/>
  <c r="Q52" i="25"/>
  <c r="S52" i="25" s="1"/>
  <c r="H52" i="25"/>
  <c r="J52" i="25" s="1"/>
  <c r="R51" i="25"/>
  <c r="Q51" i="25"/>
  <c r="S51" i="25" s="1"/>
  <c r="H51" i="25"/>
  <c r="J51" i="25" s="1"/>
  <c r="R50" i="25"/>
  <c r="Q50" i="25"/>
  <c r="S50" i="25" s="1"/>
  <c r="H50" i="25"/>
  <c r="J50" i="25" s="1"/>
  <c r="R49" i="25"/>
  <c r="Q49" i="25"/>
  <c r="S49" i="25" s="1"/>
  <c r="H49" i="25"/>
  <c r="J49" i="25" s="1"/>
  <c r="R48" i="25"/>
  <c r="Q48" i="25"/>
  <c r="S48" i="25" s="1"/>
  <c r="H48" i="25"/>
  <c r="J48" i="25" s="1"/>
  <c r="R47" i="25"/>
  <c r="Q47" i="25"/>
  <c r="S47" i="25" s="1"/>
  <c r="H47" i="25"/>
  <c r="J47" i="25" s="1"/>
  <c r="R46" i="25"/>
  <c r="Q46" i="25"/>
  <c r="S46" i="25" s="1"/>
  <c r="H46" i="25"/>
  <c r="J46" i="25" s="1"/>
  <c r="R45" i="25"/>
  <c r="Q45" i="25"/>
  <c r="S45" i="25" s="1"/>
  <c r="H45" i="25"/>
  <c r="J45" i="25" s="1"/>
  <c r="R44" i="25"/>
  <c r="Q44" i="25"/>
  <c r="S44" i="25" s="1"/>
  <c r="H44" i="25"/>
  <c r="J44" i="25" s="1"/>
  <c r="R43" i="25"/>
  <c r="Q43" i="25"/>
  <c r="S43" i="25" s="1"/>
  <c r="H43" i="25"/>
  <c r="J43" i="25" s="1"/>
  <c r="R42" i="25"/>
  <c r="Q42" i="25"/>
  <c r="S42" i="25" s="1"/>
  <c r="H42" i="25"/>
  <c r="J42" i="25" s="1"/>
  <c r="R41" i="25"/>
  <c r="Q41" i="25"/>
  <c r="H41" i="25"/>
  <c r="J41" i="25" s="1"/>
  <c r="R40" i="25"/>
  <c r="Q40" i="25"/>
  <c r="S40" i="25" s="1"/>
  <c r="H40" i="25"/>
  <c r="J40" i="25" s="1"/>
  <c r="R39" i="25"/>
  <c r="Q39" i="25"/>
  <c r="S39" i="25" s="1"/>
  <c r="H39" i="25"/>
  <c r="J39" i="25" s="1"/>
  <c r="R38" i="25"/>
  <c r="Q38" i="25"/>
  <c r="S38" i="25" s="1"/>
  <c r="H38" i="25"/>
  <c r="J38" i="25" s="1"/>
  <c r="R37" i="25"/>
  <c r="Q37" i="25"/>
  <c r="H37" i="25"/>
  <c r="J37" i="25" s="1"/>
  <c r="R36" i="25"/>
  <c r="Q36" i="25"/>
  <c r="S36" i="25" s="1"/>
  <c r="H36" i="25"/>
  <c r="J36" i="25" s="1"/>
  <c r="R35" i="25"/>
  <c r="Q35" i="25"/>
  <c r="S35" i="25" s="1"/>
  <c r="H35" i="25"/>
  <c r="J35" i="25" s="1"/>
  <c r="R34" i="25"/>
  <c r="Q34" i="25"/>
  <c r="S34" i="25" s="1"/>
  <c r="H34" i="25"/>
  <c r="J34" i="25" s="1"/>
  <c r="R33" i="25"/>
  <c r="Q33" i="25"/>
  <c r="H33" i="25"/>
  <c r="J33" i="25" s="1"/>
  <c r="R32" i="25"/>
  <c r="Q32" i="25"/>
  <c r="S32" i="25" s="1"/>
  <c r="H32" i="25"/>
  <c r="J32" i="25" s="1"/>
  <c r="R31" i="25"/>
  <c r="Q31" i="25"/>
  <c r="S31" i="25" s="1"/>
  <c r="H31" i="25"/>
  <c r="J31" i="25" s="1"/>
  <c r="R30" i="25"/>
  <c r="Q30" i="25"/>
  <c r="S30" i="25" s="1"/>
  <c r="H30" i="25"/>
  <c r="J30" i="25" s="1"/>
  <c r="R29" i="25"/>
  <c r="Q29" i="25"/>
  <c r="S29" i="25" s="1"/>
  <c r="H29" i="25"/>
  <c r="J29" i="25" s="1"/>
  <c r="R28" i="25"/>
  <c r="Q28" i="25"/>
  <c r="S28" i="25" s="1"/>
  <c r="H28" i="25"/>
  <c r="J28" i="25" s="1"/>
  <c r="R27" i="25"/>
  <c r="Q27" i="25"/>
  <c r="H27" i="25"/>
  <c r="J27" i="25" s="1"/>
  <c r="R26" i="25"/>
  <c r="Q26" i="25"/>
  <c r="S26" i="25" s="1"/>
  <c r="H26" i="25"/>
  <c r="J26" i="25" s="1"/>
  <c r="R25" i="25"/>
  <c r="Q25" i="25"/>
  <c r="S25" i="25" s="1"/>
  <c r="H25" i="25"/>
  <c r="J25" i="25" s="1"/>
  <c r="R24" i="25"/>
  <c r="Q24" i="25"/>
  <c r="S24" i="25" s="1"/>
  <c r="H24" i="25"/>
  <c r="J24" i="25" s="1"/>
  <c r="R23" i="25"/>
  <c r="Q23" i="25"/>
  <c r="S23" i="25" s="1"/>
  <c r="H23" i="25"/>
  <c r="J23" i="25" s="1"/>
  <c r="R22" i="25"/>
  <c r="Q22" i="25"/>
  <c r="S22" i="25" s="1"/>
  <c r="H22" i="25"/>
  <c r="J22" i="25" s="1"/>
  <c r="R21" i="25"/>
  <c r="Q21" i="25"/>
  <c r="H21" i="25"/>
  <c r="J21" i="25" s="1"/>
  <c r="R20" i="25"/>
  <c r="Q20" i="25"/>
  <c r="H20" i="25"/>
  <c r="J20" i="25" s="1"/>
  <c r="R19" i="25"/>
  <c r="Q19" i="25"/>
  <c r="S19" i="25" s="1"/>
  <c r="H19" i="25"/>
  <c r="J19" i="25" s="1"/>
  <c r="R18" i="25"/>
  <c r="Q18" i="25"/>
  <c r="H18" i="25"/>
  <c r="J18" i="25" s="1"/>
  <c r="P17" i="25"/>
  <c r="O17" i="25"/>
  <c r="M17" i="25"/>
  <c r="G17" i="25"/>
  <c r="F17" i="25"/>
  <c r="D17" i="25"/>
  <c r="R16" i="25"/>
  <c r="Q16" i="25"/>
  <c r="I16" i="25"/>
  <c r="H16" i="25"/>
  <c r="J16" i="25" s="1"/>
  <c r="AB29" i="22"/>
  <c r="AA29" i="22"/>
  <c r="V29" i="22"/>
  <c r="P29" i="22"/>
  <c r="AD29" i="22" s="1"/>
  <c r="K29" i="22"/>
  <c r="Q29" i="22" s="1"/>
  <c r="F29" i="22"/>
  <c r="AB28" i="22"/>
  <c r="AA28" i="22"/>
  <c r="V28" i="22"/>
  <c r="P28" i="22"/>
  <c r="AD28" i="22" s="1"/>
  <c r="K28" i="22"/>
  <c r="F28" i="22"/>
  <c r="AB27" i="22"/>
  <c r="AA27" i="22"/>
  <c r="V27" i="22"/>
  <c r="P27" i="22"/>
  <c r="AD27" i="22" s="1"/>
  <c r="K27" i="22"/>
  <c r="F27" i="22"/>
  <c r="AB26" i="22"/>
  <c r="AA26" i="22"/>
  <c r="V26" i="22"/>
  <c r="P26" i="22"/>
  <c r="AD26" i="22" s="1"/>
  <c r="K26" i="22"/>
  <c r="F26" i="22"/>
  <c r="AB25" i="22"/>
  <c r="AA25" i="22"/>
  <c r="V25" i="22"/>
  <c r="P25" i="22"/>
  <c r="AD25" i="22" s="1"/>
  <c r="K25" i="22"/>
  <c r="F25" i="22"/>
  <c r="AB24" i="22"/>
  <c r="AA24" i="22"/>
  <c r="V24" i="22"/>
  <c r="P24" i="22"/>
  <c r="AD24" i="22" s="1"/>
  <c r="K24" i="22"/>
  <c r="Q24" i="22" s="1"/>
  <c r="F24" i="22"/>
  <c r="AB23" i="22"/>
  <c r="AA23" i="22"/>
  <c r="V23" i="22"/>
  <c r="P23" i="22"/>
  <c r="AD23" i="22" s="1"/>
  <c r="K23" i="22"/>
  <c r="F23" i="22"/>
  <c r="AB22" i="22"/>
  <c r="AA22" i="22"/>
  <c r="V22" i="22"/>
  <c r="P22" i="22"/>
  <c r="AD22" i="22" s="1"/>
  <c r="K22" i="22"/>
  <c r="F22" i="22"/>
  <c r="AB21" i="22"/>
  <c r="AA21" i="22"/>
  <c r="V21" i="22"/>
  <c r="P21" i="22"/>
  <c r="AD21" i="22" s="1"/>
  <c r="K21" i="22"/>
  <c r="F21" i="22"/>
  <c r="AB20" i="22"/>
  <c r="AA20" i="22"/>
  <c r="V20" i="22"/>
  <c r="P20" i="22"/>
  <c r="AD20" i="22" s="1"/>
  <c r="K20" i="22"/>
  <c r="Q20" i="22" s="1"/>
  <c r="F20" i="22"/>
  <c r="X19" i="22"/>
  <c r="T19" i="22"/>
  <c r="H19" i="22"/>
  <c r="D19" i="22"/>
  <c r="AD18" i="22"/>
  <c r="AB18" i="22"/>
  <c r="AA18" i="22"/>
  <c r="V18" i="22"/>
  <c r="P18" i="22"/>
  <c r="K18" i="22"/>
  <c r="Q18" i="22" s="1"/>
  <c r="F18" i="22"/>
  <c r="AE34" i="24"/>
  <c r="AK34" i="24"/>
  <c r="AF34" i="24"/>
  <c r="AU34" i="24"/>
  <c r="H34" i="24"/>
  <c r="AH34" i="24"/>
  <c r="W34" i="24"/>
  <c r="T34" i="24"/>
  <c r="R34" i="24"/>
  <c r="U34" i="24" s="1"/>
  <c r="J34" i="24"/>
  <c r="BA33" i="24"/>
  <c r="AK33" i="24"/>
  <c r="AF33" i="24"/>
  <c r="AU33" i="24"/>
  <c r="O33" i="24"/>
  <c r="AH33" i="24"/>
  <c r="AE33" i="24"/>
  <c r="W33" i="24"/>
  <c r="T33" i="24"/>
  <c r="R33" i="24"/>
  <c r="AG33" i="24" s="1"/>
  <c r="J33" i="24"/>
  <c r="BA32" i="24"/>
  <c r="AK32" i="24"/>
  <c r="AF32" i="24"/>
  <c r="AU32" i="24"/>
  <c r="W32" i="24"/>
  <c r="H32" i="24"/>
  <c r="AH32" i="24"/>
  <c r="AE32" i="24" s="1"/>
  <c r="T32" i="24"/>
  <c r="R32" i="24"/>
  <c r="U32" i="24" s="1"/>
  <c r="J32" i="24"/>
  <c r="BA31" i="24"/>
  <c r="AF31" i="24"/>
  <c r="AU31" i="24"/>
  <c r="H31" i="24"/>
  <c r="AK31" i="24"/>
  <c r="AH31" i="24"/>
  <c r="AE31" i="24"/>
  <c r="W31" i="24"/>
  <c r="T31" i="24"/>
  <c r="R31" i="24"/>
  <c r="U31" i="24" s="1"/>
  <c r="J31" i="24"/>
  <c r="BA30" i="24"/>
  <c r="AK30" i="24"/>
  <c r="AF30" i="24"/>
  <c r="AU30" i="24"/>
  <c r="W30" i="24"/>
  <c r="O30" i="24"/>
  <c r="AH30" i="24"/>
  <c r="T30" i="24"/>
  <c r="R30" i="24"/>
  <c r="U30" i="24" s="1"/>
  <c r="J30" i="24"/>
  <c r="BA29" i="24"/>
  <c r="AK29" i="24"/>
  <c r="AF29" i="24"/>
  <c r="AU29" i="24"/>
  <c r="W29" i="24"/>
  <c r="O29" i="24"/>
  <c r="AH29" i="24"/>
  <c r="T29" i="24"/>
  <c r="R29" i="24"/>
  <c r="U29" i="24" s="1"/>
  <c r="J29" i="24"/>
  <c r="H29" i="24"/>
  <c r="BA28" i="24"/>
  <c r="AE28" i="24"/>
  <c r="AK28" i="24"/>
  <c r="AF28" i="24"/>
  <c r="AU28" i="24"/>
  <c r="W28" i="24"/>
  <c r="H28" i="24"/>
  <c r="AH28" i="24"/>
  <c r="AG28" i="24"/>
  <c r="T28" i="24"/>
  <c r="R28" i="24"/>
  <c r="U28" i="24" s="1"/>
  <c r="J28" i="24"/>
  <c r="BA27" i="24"/>
  <c r="AK27" i="24"/>
  <c r="AF27" i="24"/>
  <c r="AU27" i="24"/>
  <c r="W27" i="24"/>
  <c r="O27" i="24"/>
  <c r="AH27" i="24"/>
  <c r="AE27" i="24" s="1"/>
  <c r="T27" i="24"/>
  <c r="R27" i="24"/>
  <c r="AG27" i="24" s="1"/>
  <c r="J27" i="24"/>
  <c r="BA26" i="24"/>
  <c r="AK26" i="24"/>
  <c r="AF26" i="24"/>
  <c r="AU26" i="24"/>
  <c r="W26" i="24"/>
  <c r="O26" i="24"/>
  <c r="AH26" i="24"/>
  <c r="T26" i="24"/>
  <c r="R26" i="24"/>
  <c r="U26" i="24" s="1"/>
  <c r="J26" i="24"/>
  <c r="H26" i="24"/>
  <c r="AE25" i="24"/>
  <c r="AK25" i="24"/>
  <c r="AF25" i="24"/>
  <c r="AU25" i="24"/>
  <c r="W25" i="24"/>
  <c r="H25" i="24"/>
  <c r="AH25" i="24"/>
  <c r="T25" i="24"/>
  <c r="R25" i="24"/>
  <c r="U25" i="24" s="1"/>
  <c r="J25" i="24"/>
  <c r="BA24" i="24"/>
  <c r="AF24" i="24"/>
  <c r="AU24" i="24"/>
  <c r="W24" i="24"/>
  <c r="O24" i="24"/>
  <c r="AK24" i="24"/>
  <c r="AH24" i="24"/>
  <c r="AE24" i="24" s="1"/>
  <c r="T24" i="24"/>
  <c r="R24" i="24"/>
  <c r="AG24" i="24" s="1"/>
  <c r="J24" i="24"/>
  <c r="BA23" i="24"/>
  <c r="AK23" i="24"/>
  <c r="AF23" i="24"/>
  <c r="AU23" i="24"/>
  <c r="W23" i="24"/>
  <c r="AH23" i="24"/>
  <c r="AE23" i="24"/>
  <c r="T23" i="24"/>
  <c r="R23" i="24"/>
  <c r="U23" i="24" s="1"/>
  <c r="O23" i="24"/>
  <c r="J23" i="24"/>
  <c r="H23" i="24"/>
  <c r="BA22" i="24"/>
  <c r="AK22" i="24"/>
  <c r="AF22" i="24"/>
  <c r="AU22" i="24"/>
  <c r="W22" i="24"/>
  <c r="H22" i="24"/>
  <c r="AH22" i="24"/>
  <c r="AE22" i="24"/>
  <c r="T22" i="24"/>
  <c r="R22" i="24"/>
  <c r="U22" i="24" s="1"/>
  <c r="J22" i="24"/>
  <c r="BA21" i="24"/>
  <c r="AK21" i="24"/>
  <c r="AF21" i="24"/>
  <c r="AU21" i="24"/>
  <c r="W21" i="24"/>
  <c r="O21" i="24"/>
  <c r="AH21" i="24"/>
  <c r="T21" i="24"/>
  <c r="R21" i="24"/>
  <c r="AG21" i="24" s="1"/>
  <c r="J21" i="24"/>
  <c r="BA20" i="24"/>
  <c r="AK20" i="24"/>
  <c r="AF20" i="24"/>
  <c r="AU20" i="24"/>
  <c r="W20" i="24"/>
  <c r="AH20" i="24"/>
  <c r="AE20" i="24" s="1"/>
  <c r="T20" i="24"/>
  <c r="R20" i="24"/>
  <c r="U20" i="24" s="1"/>
  <c r="O20" i="24"/>
  <c r="J20" i="24"/>
  <c r="H20" i="24"/>
  <c r="Z19" i="24"/>
  <c r="U19" i="24"/>
  <c r="F19" i="24"/>
  <c r="BA18" i="24"/>
  <c r="AU18" i="24"/>
  <c r="H18" i="24"/>
  <c r="AH18" i="24"/>
  <c r="AF18" i="24"/>
  <c r="AD18" i="24"/>
  <c r="R18" i="24"/>
  <c r="U18" i="24" s="1"/>
  <c r="M18" i="24"/>
  <c r="T18" i="24" s="1"/>
  <c r="J18" i="24"/>
  <c r="AI17" i="24"/>
  <c r="AE17" i="24"/>
  <c r="U17" i="24"/>
  <c r="N17" i="24"/>
  <c r="R9" i="24"/>
  <c r="Q9" i="24"/>
  <c r="P9" i="24"/>
  <c r="O9" i="24"/>
  <c r="S7" i="24" s="1"/>
  <c r="R42" i="23"/>
  <c r="AE42" i="23" s="1"/>
  <c r="L42" i="23"/>
  <c r="AA42" i="23" s="1"/>
  <c r="R41" i="23"/>
  <c r="AE41" i="23" s="1"/>
  <c r="L41" i="23"/>
  <c r="AA41" i="23" s="1"/>
  <c r="R40" i="23"/>
  <c r="AE40" i="23" s="1"/>
  <c r="L40" i="23"/>
  <c r="AA40" i="23" s="1"/>
  <c r="S40" i="23"/>
  <c r="R39" i="23"/>
  <c r="AE39" i="23" s="1"/>
  <c r="L39" i="23"/>
  <c r="AA39" i="23" s="1"/>
  <c r="R38" i="23"/>
  <c r="AE38" i="23" s="1"/>
  <c r="L38" i="23"/>
  <c r="AA38" i="23" s="1"/>
  <c r="AF38" i="23" s="1"/>
  <c r="R37" i="23"/>
  <c r="AE37" i="23" s="1"/>
  <c r="L37" i="23"/>
  <c r="AA37" i="23" s="1"/>
  <c r="R36" i="23"/>
  <c r="AE36" i="23" s="1"/>
  <c r="L36" i="23"/>
  <c r="AA36" i="23" s="1"/>
  <c r="R35" i="23"/>
  <c r="AE35" i="23" s="1"/>
  <c r="L35" i="23"/>
  <c r="AA35" i="23" s="1"/>
  <c r="S35" i="23"/>
  <c r="R34" i="23"/>
  <c r="AE34" i="23" s="1"/>
  <c r="L34" i="23"/>
  <c r="AA34" i="23" s="1"/>
  <c r="R33" i="23"/>
  <c r="AE33" i="23" s="1"/>
  <c r="L33" i="23"/>
  <c r="AA33" i="23" s="1"/>
  <c r="R32" i="23"/>
  <c r="AE32" i="23" s="1"/>
  <c r="L32" i="23"/>
  <c r="AA32" i="23" s="1"/>
  <c r="AF32" i="23" s="1"/>
  <c r="S32" i="23"/>
  <c r="R31" i="23"/>
  <c r="AE31" i="23" s="1"/>
  <c r="L31" i="23"/>
  <c r="AA31" i="23" s="1"/>
  <c r="R30" i="23"/>
  <c r="L30" i="23"/>
  <c r="AA30" i="23" s="1"/>
  <c r="R29" i="23"/>
  <c r="AE29" i="23" s="1"/>
  <c r="L29" i="23"/>
  <c r="AA29" i="23" s="1"/>
  <c r="S29" i="23"/>
  <c r="R28" i="23"/>
  <c r="AE28" i="23" s="1"/>
  <c r="L28" i="23"/>
  <c r="AA28" i="23" s="1"/>
  <c r="R27" i="23"/>
  <c r="AE27" i="23" s="1"/>
  <c r="L27" i="23"/>
  <c r="AA27" i="23" s="1"/>
  <c r="R26" i="23"/>
  <c r="AE26" i="23" s="1"/>
  <c r="L26" i="23"/>
  <c r="AA26" i="23" s="1"/>
  <c r="R25" i="23"/>
  <c r="AE25" i="23" s="1"/>
  <c r="L25" i="23"/>
  <c r="AA25" i="23" s="1"/>
  <c r="R24" i="23"/>
  <c r="AE24" i="23" s="1"/>
  <c r="L24" i="23"/>
  <c r="AA24" i="23" s="1"/>
  <c r="S24" i="23"/>
  <c r="R23" i="23"/>
  <c r="AE23" i="23" s="1"/>
  <c r="L23" i="23"/>
  <c r="AA23" i="23" s="1"/>
  <c r="AD22" i="23"/>
  <c r="AC22" i="23"/>
  <c r="AB22" i="23"/>
  <c r="Z22" i="23"/>
  <c r="Y22" i="23"/>
  <c r="X22" i="23"/>
  <c r="W22" i="23"/>
  <c r="O22" i="23"/>
  <c r="N22" i="23"/>
  <c r="M22" i="23"/>
  <c r="I22" i="23"/>
  <c r="H22" i="23"/>
  <c r="G22" i="23"/>
  <c r="E22" i="23"/>
  <c r="Q21" i="23"/>
  <c r="R21" i="23" s="1"/>
  <c r="AE21" i="23" s="1"/>
  <c r="K21" i="23"/>
  <c r="L21" i="23" s="1"/>
  <c r="AA21" i="23" s="1"/>
  <c r="Y7" i="23"/>
  <c r="H10" i="23" s="1"/>
  <c r="P39" i="9"/>
  <c r="Z39" i="9" s="1"/>
  <c r="K39" i="9"/>
  <c r="W39" i="9" s="1"/>
  <c r="Q39" i="9"/>
  <c r="P38" i="9"/>
  <c r="Z38" i="9" s="1"/>
  <c r="K38" i="9"/>
  <c r="W38" i="9" s="1"/>
  <c r="Q38" i="9"/>
  <c r="P37" i="9"/>
  <c r="Z37" i="9" s="1"/>
  <c r="K37" i="9"/>
  <c r="P36" i="9"/>
  <c r="Z36" i="9" s="1"/>
  <c r="K36" i="9"/>
  <c r="W36" i="9" s="1"/>
  <c r="P35" i="9"/>
  <c r="Z35" i="9" s="1"/>
  <c r="K35" i="9"/>
  <c r="W35" i="9" s="1"/>
  <c r="P34" i="9"/>
  <c r="Z34" i="9" s="1"/>
  <c r="K34" i="9"/>
  <c r="W34" i="9" s="1"/>
  <c r="Q34" i="9"/>
  <c r="P33" i="9"/>
  <c r="Z33" i="9" s="1"/>
  <c r="K33" i="9"/>
  <c r="W33" i="9" s="1"/>
  <c r="P32" i="9"/>
  <c r="K32" i="9"/>
  <c r="W32" i="9" s="1"/>
  <c r="P31" i="9"/>
  <c r="K31" i="9"/>
  <c r="W31" i="9" s="1"/>
  <c r="P30" i="9"/>
  <c r="Z30" i="9" s="1"/>
  <c r="K30" i="9"/>
  <c r="W30" i="9" s="1"/>
  <c r="AA30" i="9" s="1"/>
  <c r="P29" i="9"/>
  <c r="Z29" i="9" s="1"/>
  <c r="K29" i="9"/>
  <c r="W29" i="9" s="1"/>
  <c r="P28" i="9"/>
  <c r="Z28" i="9" s="1"/>
  <c r="K28" i="9"/>
  <c r="W28" i="9" s="1"/>
  <c r="P27" i="9"/>
  <c r="Z27" i="9" s="1"/>
  <c r="K27" i="9"/>
  <c r="W27" i="9" s="1"/>
  <c r="Q27" i="9"/>
  <c r="P26" i="9"/>
  <c r="Z26" i="9" s="1"/>
  <c r="K26" i="9"/>
  <c r="W26" i="9" s="1"/>
  <c r="Q26" i="9"/>
  <c r="P25" i="9"/>
  <c r="Z25" i="9" s="1"/>
  <c r="K25" i="9"/>
  <c r="P24" i="9"/>
  <c r="Z24" i="9" s="1"/>
  <c r="K24" i="9"/>
  <c r="W24" i="9" s="1"/>
  <c r="Q24" i="9"/>
  <c r="P23" i="9"/>
  <c r="Z23" i="9" s="1"/>
  <c r="K23" i="9"/>
  <c r="W23" i="9" s="1"/>
  <c r="P22" i="9"/>
  <c r="Z22" i="9" s="1"/>
  <c r="K22" i="9"/>
  <c r="W22" i="9" s="1"/>
  <c r="Q22" i="9"/>
  <c r="P21" i="9"/>
  <c r="Z21" i="9" s="1"/>
  <c r="K21" i="9"/>
  <c r="W21" i="9" s="1"/>
  <c r="Z20" i="9"/>
  <c r="K20" i="9"/>
  <c r="W20" i="9" s="1"/>
  <c r="Q20" i="9"/>
  <c r="Y19" i="9"/>
  <c r="X19" i="9"/>
  <c r="V19" i="9"/>
  <c r="U19" i="9"/>
  <c r="T19" i="9"/>
  <c r="M19" i="9"/>
  <c r="L19" i="9"/>
  <c r="H19" i="9"/>
  <c r="G19" i="9"/>
  <c r="E19" i="9"/>
  <c r="O18" i="9"/>
  <c r="P18" i="9" s="1"/>
  <c r="Z18" i="9" s="1"/>
  <c r="J18" i="9"/>
  <c r="K18" i="9" s="1"/>
  <c r="W18" i="9" s="1"/>
  <c r="E57" i="14"/>
  <c r="D54" i="14"/>
  <c r="E54" i="14"/>
  <c r="S20" i="28" l="1"/>
  <c r="S16" i="28"/>
  <c r="S25" i="28"/>
  <c r="S65" i="25"/>
  <c r="S30" i="28"/>
  <c r="S26" i="28"/>
  <c r="S27" i="28"/>
  <c r="S66" i="25"/>
  <c r="S28" i="28"/>
  <c r="S21" i="28"/>
  <c r="S23" i="28"/>
  <c r="AG18" i="24"/>
  <c r="S36" i="28"/>
  <c r="S18" i="28"/>
  <c r="S37" i="28"/>
  <c r="U46" i="25"/>
  <c r="U34" i="25"/>
  <c r="S24" i="28"/>
  <c r="S34" i="28"/>
  <c r="AG31" i="24"/>
  <c r="AI31" i="24" s="1"/>
  <c r="AL31" i="24" s="1"/>
  <c r="Q23" i="9"/>
  <c r="S36" i="23"/>
  <c r="AI36" i="23" s="1"/>
  <c r="AE18" i="22"/>
  <c r="S16" i="25"/>
  <c r="S33" i="25"/>
  <c r="S37" i="25"/>
  <c r="S41" i="25"/>
  <c r="S54" i="25"/>
  <c r="S67" i="25"/>
  <c r="S19" i="28"/>
  <c r="S29" i="28"/>
  <c r="S21" i="25"/>
  <c r="Q25" i="22"/>
  <c r="Q27" i="22"/>
  <c r="Q28" i="22"/>
  <c r="AE22" i="22"/>
  <c r="AE24" i="22"/>
  <c r="BA25" i="24"/>
  <c r="BA34" i="24"/>
  <c r="AF36" i="23"/>
  <c r="AF26" i="23"/>
  <c r="S26" i="23"/>
  <c r="S41" i="23"/>
  <c r="S30" i="23"/>
  <c r="O8" i="9"/>
  <c r="Q7" i="9" s="1"/>
  <c r="Q21" i="9"/>
  <c r="Q31" i="9"/>
  <c r="O7" i="28"/>
  <c r="M7" i="25"/>
  <c r="N7" i="25" s="1"/>
  <c r="S18" i="25"/>
  <c r="S20" i="25"/>
  <c r="S27" i="25"/>
  <c r="U22" i="25"/>
  <c r="I4" i="28"/>
  <c r="S22" i="28"/>
  <c r="S32" i="28"/>
  <c r="U57" i="25"/>
  <c r="U29" i="25"/>
  <c r="U53" i="25"/>
  <c r="U40" i="25"/>
  <c r="U37" i="25"/>
  <c r="U24" i="25"/>
  <c r="U52" i="25"/>
  <c r="U56" i="25"/>
  <c r="U41" i="25"/>
  <c r="U60" i="25"/>
  <c r="U25" i="25"/>
  <c r="U36" i="25"/>
  <c r="U61" i="25"/>
  <c r="U33" i="25"/>
  <c r="U44" i="25"/>
  <c r="U65" i="25"/>
  <c r="U48" i="25"/>
  <c r="U28" i="25"/>
  <c r="U45" i="25"/>
  <c r="U32" i="25"/>
  <c r="U49" i="25"/>
  <c r="U64" i="25"/>
  <c r="U39" i="25"/>
  <c r="U51" i="25"/>
  <c r="U63" i="25"/>
  <c r="U58" i="25"/>
  <c r="U23" i="25"/>
  <c r="U35" i="25"/>
  <c r="U47" i="25"/>
  <c r="U59" i="25"/>
  <c r="U30" i="25"/>
  <c r="U42" i="25"/>
  <c r="U54" i="25"/>
  <c r="U66" i="25"/>
  <c r="J17" i="25"/>
  <c r="G4" i="25" s="1"/>
  <c r="G7" i="25" s="1"/>
  <c r="U19" i="25"/>
  <c r="U31" i="25"/>
  <c r="U43" i="25"/>
  <c r="U55" i="25"/>
  <c r="U67" i="25"/>
  <c r="U26" i="25"/>
  <c r="U38" i="25"/>
  <c r="U50" i="25"/>
  <c r="U62" i="25"/>
  <c r="Q21" i="22"/>
  <c r="Q23" i="22"/>
  <c r="AE23" i="22"/>
  <c r="Q22" i="22"/>
  <c r="AE20" i="22"/>
  <c r="Q26" i="22"/>
  <c r="AE28" i="22"/>
  <c r="AE27" i="22"/>
  <c r="N7" i="22"/>
  <c r="O7" i="22" s="1"/>
  <c r="AE26" i="22"/>
  <c r="AD19" i="22"/>
  <c r="AE21" i="22"/>
  <c r="AE25" i="22"/>
  <c r="AE29" i="22"/>
  <c r="P19" i="22"/>
  <c r="AE30" i="24"/>
  <c r="AE29" i="24"/>
  <c r="AE26" i="24"/>
  <c r="AE21" i="24"/>
  <c r="AI21" i="24" s="1"/>
  <c r="AN24" i="24"/>
  <c r="AN22" i="24"/>
  <c r="AN25" i="24"/>
  <c r="AG26" i="24"/>
  <c r="AG32" i="24"/>
  <c r="AI32" i="24" s="1"/>
  <c r="AJ32" i="24" s="1"/>
  <c r="AG34" i="24"/>
  <c r="AI34" i="24" s="1"/>
  <c r="AL34" i="24" s="1"/>
  <c r="AG23" i="24"/>
  <c r="AI23" i="24" s="1"/>
  <c r="AJ23" i="24" s="1"/>
  <c r="AG25" i="24"/>
  <c r="AI25" i="24" s="1"/>
  <c r="AJ25" i="24" s="1"/>
  <c r="AG20" i="24"/>
  <c r="AI20" i="24" s="1"/>
  <c r="AG22" i="24"/>
  <c r="AI22" i="24" s="1"/>
  <c r="AG29" i="24"/>
  <c r="T19" i="24"/>
  <c r="AN29" i="24"/>
  <c r="AN28" i="24"/>
  <c r="AK19" i="24"/>
  <c r="H5" i="24" s="1"/>
  <c r="AN32" i="24"/>
  <c r="AN26" i="24"/>
  <c r="O32" i="24"/>
  <c r="AN33" i="24"/>
  <c r="AN23" i="24"/>
  <c r="AN30" i="24"/>
  <c r="AN27" i="24"/>
  <c r="AN34" i="24"/>
  <c r="AN21" i="24"/>
  <c r="AN31" i="24"/>
  <c r="AI28" i="24"/>
  <c r="AL28" i="24" s="1"/>
  <c r="V34" i="24"/>
  <c r="X34" i="24"/>
  <c r="AI24" i="24"/>
  <c r="X29" i="24"/>
  <c r="V29" i="24"/>
  <c r="X30" i="24"/>
  <c r="V30" i="24"/>
  <c r="AI27" i="24"/>
  <c r="X32" i="24"/>
  <c r="V32" i="24"/>
  <c r="W19" i="24"/>
  <c r="G5" i="24" s="1"/>
  <c r="AN20" i="24"/>
  <c r="X18" i="24"/>
  <c r="X26" i="24"/>
  <c r="V26" i="24"/>
  <c r="V28" i="24"/>
  <c r="X28" i="24"/>
  <c r="AE18" i="24"/>
  <c r="X23" i="24"/>
  <c r="V23" i="24"/>
  <c r="V25" i="24"/>
  <c r="X25" i="24"/>
  <c r="X20" i="24"/>
  <c r="V20" i="24"/>
  <c r="V22" i="24"/>
  <c r="X22" i="24"/>
  <c r="AI33" i="24"/>
  <c r="V31" i="24"/>
  <c r="X31" i="24"/>
  <c r="U21" i="24"/>
  <c r="U24" i="24"/>
  <c r="U27" i="24"/>
  <c r="U33" i="24"/>
  <c r="O18" i="24"/>
  <c r="O22" i="24"/>
  <c r="O25" i="24"/>
  <c r="O28" i="24"/>
  <c r="O31" i="24"/>
  <c r="O34" i="24"/>
  <c r="H21" i="24"/>
  <c r="H24" i="24"/>
  <c r="H27" i="24"/>
  <c r="H30" i="24"/>
  <c r="AG30" i="24"/>
  <c r="H33" i="24"/>
  <c r="P8" i="23"/>
  <c r="AF31" i="23"/>
  <c r="AF24" i="23"/>
  <c r="AI24" i="23" s="1"/>
  <c r="AE30" i="23"/>
  <c r="AF30" i="23" s="1"/>
  <c r="AF37" i="23"/>
  <c r="AF41" i="23"/>
  <c r="AF35" i="23"/>
  <c r="AI35" i="23" s="1"/>
  <c r="AF29" i="23"/>
  <c r="AI29" i="23" s="1"/>
  <c r="AF23" i="23"/>
  <c r="AF42" i="23"/>
  <c r="AF28" i="23"/>
  <c r="AF25" i="23"/>
  <c r="S39" i="23"/>
  <c r="AF39" i="23"/>
  <c r="S42" i="23"/>
  <c r="S33" i="23"/>
  <c r="S23" i="23"/>
  <c r="S37" i="23"/>
  <c r="AG21" i="23"/>
  <c r="AF21" i="23"/>
  <c r="AI32" i="23"/>
  <c r="T41" i="23"/>
  <c r="T35" i="23"/>
  <c r="T29" i="23"/>
  <c r="T23" i="23"/>
  <c r="AG38" i="23"/>
  <c r="AG32" i="23"/>
  <c r="AG26" i="23"/>
  <c r="T40" i="23"/>
  <c r="T34" i="23"/>
  <c r="T28" i="23"/>
  <c r="AG37" i="23"/>
  <c r="AG31" i="23"/>
  <c r="AG25" i="23"/>
  <c r="AG24" i="23"/>
  <c r="AG23" i="23"/>
  <c r="AG36" i="23"/>
  <c r="T33" i="23"/>
  <c r="T26" i="23"/>
  <c r="AG35" i="23"/>
  <c r="AG34" i="23"/>
  <c r="AG27" i="23"/>
  <c r="T27" i="23"/>
  <c r="T42" i="23"/>
  <c r="AG29" i="23"/>
  <c r="AG28" i="23"/>
  <c r="T36" i="23"/>
  <c r="T37" i="23"/>
  <c r="T30" i="23"/>
  <c r="T38" i="23"/>
  <c r="T31" i="23"/>
  <c r="AG39" i="23"/>
  <c r="T24" i="23"/>
  <c r="AG42" i="23"/>
  <c r="T39" i="23"/>
  <c r="T32" i="23"/>
  <c r="T25" i="23"/>
  <c r="AG41" i="23"/>
  <c r="AG40" i="23"/>
  <c r="AG33" i="23"/>
  <c r="AF34" i="23"/>
  <c r="AF40" i="23"/>
  <c r="AI40" i="23" s="1"/>
  <c r="T21" i="23"/>
  <c r="S21" i="23"/>
  <c r="S25" i="23"/>
  <c r="O8" i="23"/>
  <c r="S31" i="23"/>
  <c r="S38" i="23"/>
  <c r="S28" i="23"/>
  <c r="S34" i="23"/>
  <c r="AF27" i="23"/>
  <c r="S27" i="23"/>
  <c r="AF33" i="23"/>
  <c r="P8" i="9"/>
  <c r="AA34" i="9"/>
  <c r="AA36" i="9"/>
  <c r="AA27" i="9"/>
  <c r="AA21" i="9"/>
  <c r="AA24" i="9"/>
  <c r="Q28" i="9"/>
  <c r="Q35" i="9"/>
  <c r="AA28" i="9"/>
  <c r="AA35" i="9"/>
  <c r="AA22" i="9"/>
  <c r="Q29" i="9"/>
  <c r="Q33" i="9"/>
  <c r="AA39" i="9"/>
  <c r="AA29" i="9"/>
  <c r="AA33" i="9"/>
  <c r="Q36" i="9"/>
  <c r="AA38" i="9"/>
  <c r="AA26" i="9"/>
  <c r="Q30" i="9"/>
  <c r="AA23" i="9"/>
  <c r="Q25" i="9"/>
  <c r="Q32" i="9"/>
  <c r="Q37" i="9"/>
  <c r="Q18" i="9"/>
  <c r="AA20" i="9"/>
  <c r="AA18" i="9"/>
  <c r="Z31" i="9"/>
  <c r="AA31" i="9" s="1"/>
  <c r="Z32" i="9"/>
  <c r="AA32" i="9" s="1"/>
  <c r="W25" i="9"/>
  <c r="AA25" i="9" s="1"/>
  <c r="W37" i="9"/>
  <c r="AA37" i="9" s="1"/>
  <c r="R417" i="8"/>
  <c r="S417" i="8" s="1"/>
  <c r="J417" i="8"/>
  <c r="K417" i="8" s="1"/>
  <c r="J416" i="8"/>
  <c r="R416" i="8" s="1"/>
  <c r="S416" i="8" s="1"/>
  <c r="J415" i="8"/>
  <c r="R415" i="8" s="1"/>
  <c r="S415" i="8" s="1"/>
  <c r="J414" i="8"/>
  <c r="K414" i="8" s="1"/>
  <c r="S413" i="8"/>
  <c r="K413" i="8"/>
  <c r="J413" i="8"/>
  <c r="R413" i="8" s="1"/>
  <c r="J412" i="8"/>
  <c r="K412" i="8" s="1"/>
  <c r="J411" i="8"/>
  <c r="K411" i="8" s="1"/>
  <c r="J410" i="8"/>
  <c r="R410" i="8" s="1"/>
  <c r="S410" i="8" s="1"/>
  <c r="J409" i="8"/>
  <c r="R409" i="8" s="1"/>
  <c r="S409" i="8" s="1"/>
  <c r="J408" i="8"/>
  <c r="K408" i="8" s="1"/>
  <c r="J407" i="8"/>
  <c r="R407" i="8" s="1"/>
  <c r="S407" i="8" s="1"/>
  <c r="K406" i="8"/>
  <c r="J406" i="8"/>
  <c r="R406" i="8" s="1"/>
  <c r="S406" i="8" s="1"/>
  <c r="R405" i="8"/>
  <c r="S405" i="8" s="1"/>
  <c r="J405" i="8"/>
  <c r="K405" i="8" s="1"/>
  <c r="S404" i="8"/>
  <c r="J404" i="8"/>
  <c r="R404" i="8" s="1"/>
  <c r="J403" i="8"/>
  <c r="K403" i="8" s="1"/>
  <c r="J402" i="8"/>
  <c r="K402" i="8" s="1"/>
  <c r="J401" i="8"/>
  <c r="J400" i="8"/>
  <c r="K400" i="8" s="1"/>
  <c r="J399" i="8"/>
  <c r="K399" i="8" s="1"/>
  <c r="J398" i="8"/>
  <c r="R398" i="8" s="1"/>
  <c r="S398" i="8" s="1"/>
  <c r="J397" i="8"/>
  <c r="R396" i="8"/>
  <c r="S396" i="8" s="1"/>
  <c r="K396" i="8"/>
  <c r="J396" i="8"/>
  <c r="J395" i="8"/>
  <c r="R395" i="8" s="1"/>
  <c r="S395" i="8" s="1"/>
  <c r="J394" i="8"/>
  <c r="K393" i="8"/>
  <c r="J393" i="8"/>
  <c r="R393" i="8" s="1"/>
  <c r="S393" i="8" s="1"/>
  <c r="S392" i="8"/>
  <c r="K392" i="8"/>
  <c r="J392" i="8"/>
  <c r="R392" i="8" s="1"/>
  <c r="J391" i="8"/>
  <c r="R391" i="8" s="1"/>
  <c r="S391" i="8" s="1"/>
  <c r="J390" i="8"/>
  <c r="R390" i="8" s="1"/>
  <c r="S390" i="8" s="1"/>
  <c r="K389" i="8"/>
  <c r="J389" i="8"/>
  <c r="R389" i="8" s="1"/>
  <c r="S389" i="8" s="1"/>
  <c r="R388" i="8"/>
  <c r="S388" i="8" s="1"/>
  <c r="K388" i="8"/>
  <c r="J388" i="8"/>
  <c r="R387" i="8"/>
  <c r="S387" i="8" s="1"/>
  <c r="J387" i="8"/>
  <c r="K387" i="8" s="1"/>
  <c r="J386" i="8"/>
  <c r="R386" i="8" s="1"/>
  <c r="S386" i="8" s="1"/>
  <c r="J385" i="8"/>
  <c r="R385" i="8" s="1"/>
  <c r="S385" i="8" s="1"/>
  <c r="J384" i="8"/>
  <c r="J383" i="8"/>
  <c r="R383" i="8" s="1"/>
  <c r="S383" i="8" s="1"/>
  <c r="J382" i="8"/>
  <c r="R381" i="8"/>
  <c r="S381" i="8" s="1"/>
  <c r="J381" i="8"/>
  <c r="K381" i="8" s="1"/>
  <c r="J380" i="8"/>
  <c r="R380" i="8" s="1"/>
  <c r="S380" i="8" s="1"/>
  <c r="J379" i="8"/>
  <c r="R379" i="8" s="1"/>
  <c r="S379" i="8" s="1"/>
  <c r="J378" i="8"/>
  <c r="R378" i="8" s="1"/>
  <c r="S378" i="8" s="1"/>
  <c r="K377" i="8"/>
  <c r="J377" i="8"/>
  <c r="R377" i="8" s="1"/>
  <c r="S377" i="8" s="1"/>
  <c r="J376" i="8"/>
  <c r="J375" i="8"/>
  <c r="K375" i="8" s="1"/>
  <c r="K374" i="8"/>
  <c r="U374" i="8" s="1"/>
  <c r="J374" i="8"/>
  <c r="R374" i="8" s="1"/>
  <c r="S374" i="8" s="1"/>
  <c r="J373" i="8"/>
  <c r="R372" i="8"/>
  <c r="S372" i="8" s="1"/>
  <c r="K372" i="8"/>
  <c r="J372" i="8"/>
  <c r="J371" i="8"/>
  <c r="R371" i="8" s="1"/>
  <c r="S371" i="8" s="1"/>
  <c r="R370" i="8"/>
  <c r="S370" i="8" s="1"/>
  <c r="J370" i="8"/>
  <c r="K370" i="8" s="1"/>
  <c r="J369" i="8"/>
  <c r="J368" i="8"/>
  <c r="R368" i="8" s="1"/>
  <c r="S368" i="8" s="1"/>
  <c r="J367" i="8"/>
  <c r="K366" i="8"/>
  <c r="J366" i="8"/>
  <c r="R366" i="8" s="1"/>
  <c r="S366" i="8" s="1"/>
  <c r="K365" i="8"/>
  <c r="U365" i="8" s="1"/>
  <c r="J365" i="8"/>
  <c r="R365" i="8" s="1"/>
  <c r="S365" i="8" s="1"/>
  <c r="R364" i="8"/>
  <c r="S364" i="8" s="1"/>
  <c r="J364" i="8"/>
  <c r="K364" i="8" s="1"/>
  <c r="R363" i="8"/>
  <c r="S363" i="8" s="1"/>
  <c r="K363" i="8"/>
  <c r="J363" i="8"/>
  <c r="J362" i="8"/>
  <c r="R362" i="8" s="1"/>
  <c r="S362" i="8" s="1"/>
  <c r="J361" i="8"/>
  <c r="J360" i="8"/>
  <c r="J359" i="8"/>
  <c r="R359" i="8" s="1"/>
  <c r="S359" i="8" s="1"/>
  <c r="R358" i="8"/>
  <c r="S358" i="8" s="1"/>
  <c r="J358" i="8"/>
  <c r="K358" i="8" s="1"/>
  <c r="J357" i="8"/>
  <c r="R357" i="8" s="1"/>
  <c r="S357" i="8" s="1"/>
  <c r="J356" i="8"/>
  <c r="R356" i="8" s="1"/>
  <c r="S356" i="8" s="1"/>
  <c r="J355" i="8"/>
  <c r="R355" i="8" s="1"/>
  <c r="S355" i="8" s="1"/>
  <c r="K354" i="8"/>
  <c r="J354" i="8"/>
  <c r="R354" i="8" s="1"/>
  <c r="S354" i="8" s="1"/>
  <c r="S353" i="8"/>
  <c r="K353" i="8"/>
  <c r="J353" i="8"/>
  <c r="R353" i="8" s="1"/>
  <c r="J352" i="8"/>
  <c r="K352" i="8" s="1"/>
  <c r="J351" i="8"/>
  <c r="R351" i="8" s="1"/>
  <c r="S351" i="8" s="1"/>
  <c r="K350" i="8"/>
  <c r="U350" i="8" s="1"/>
  <c r="J350" i="8"/>
  <c r="R350" i="8" s="1"/>
  <c r="S350" i="8" s="1"/>
  <c r="R349" i="8"/>
  <c r="S349" i="8" s="1"/>
  <c r="K349" i="8"/>
  <c r="J349" i="8"/>
  <c r="R348" i="8"/>
  <c r="S348" i="8" s="1"/>
  <c r="J348" i="8"/>
  <c r="K348" i="8" s="1"/>
  <c r="S347" i="8"/>
  <c r="K347" i="8"/>
  <c r="J347" i="8"/>
  <c r="R347" i="8" s="1"/>
  <c r="J346" i="8"/>
  <c r="R345" i="8"/>
  <c r="S345" i="8" s="1"/>
  <c r="J345" i="8"/>
  <c r="K345" i="8" s="1"/>
  <c r="J344" i="8"/>
  <c r="R344" i="8" s="1"/>
  <c r="S344" i="8" s="1"/>
  <c r="J343" i="8"/>
  <c r="R343" i="8" s="1"/>
  <c r="S343" i="8" s="1"/>
  <c r="J342" i="8"/>
  <c r="R342" i="8" s="1"/>
  <c r="S342" i="8" s="1"/>
  <c r="J341" i="8"/>
  <c r="R341" i="8" s="1"/>
  <c r="S341" i="8" s="1"/>
  <c r="J340" i="8"/>
  <c r="R340" i="8" s="1"/>
  <c r="S340" i="8" s="1"/>
  <c r="R339" i="8"/>
  <c r="S339" i="8" s="1"/>
  <c r="J339" i="8"/>
  <c r="K339" i="8" s="1"/>
  <c r="J338" i="8"/>
  <c r="K337" i="8"/>
  <c r="J337" i="8"/>
  <c r="R337" i="8" s="1"/>
  <c r="S337" i="8" s="1"/>
  <c r="J336" i="8"/>
  <c r="J335" i="8"/>
  <c r="U334" i="8"/>
  <c r="K334" i="8"/>
  <c r="J334" i="8"/>
  <c r="R334" i="8" s="1"/>
  <c r="S334" i="8" s="1"/>
  <c r="J333" i="8"/>
  <c r="R333" i="8" s="1"/>
  <c r="S333" i="8" s="1"/>
  <c r="J332" i="8"/>
  <c r="J331" i="8"/>
  <c r="R331" i="8" s="1"/>
  <c r="S331" i="8" s="1"/>
  <c r="J330" i="8"/>
  <c r="R330" i="8" s="1"/>
  <c r="S330" i="8" s="1"/>
  <c r="J329" i="8"/>
  <c r="R329" i="8" s="1"/>
  <c r="S329" i="8" s="1"/>
  <c r="J328" i="8"/>
  <c r="R328" i="8" s="1"/>
  <c r="S328" i="8" s="1"/>
  <c r="J327" i="8"/>
  <c r="J326" i="8"/>
  <c r="K325" i="8"/>
  <c r="J325" i="8"/>
  <c r="R325" i="8" s="1"/>
  <c r="S325" i="8" s="1"/>
  <c r="R324" i="8"/>
  <c r="S324" i="8" s="1"/>
  <c r="K324" i="8"/>
  <c r="J324" i="8"/>
  <c r="J323" i="8"/>
  <c r="J322" i="8"/>
  <c r="R322" i="8" s="1"/>
  <c r="S322" i="8" s="1"/>
  <c r="J321" i="8"/>
  <c r="K320" i="8"/>
  <c r="J320" i="8"/>
  <c r="R320" i="8" s="1"/>
  <c r="S320" i="8" s="1"/>
  <c r="R319" i="8"/>
  <c r="S319" i="8" s="1"/>
  <c r="K319" i="8"/>
  <c r="J319" i="8"/>
  <c r="J318" i="8"/>
  <c r="R318" i="8" s="1"/>
  <c r="S318" i="8" s="1"/>
  <c r="J317" i="8"/>
  <c r="R317" i="8" s="1"/>
  <c r="S317" i="8" s="1"/>
  <c r="K316" i="8"/>
  <c r="J316" i="8"/>
  <c r="R316" i="8" s="1"/>
  <c r="S316" i="8" s="1"/>
  <c r="J315" i="8"/>
  <c r="R315" i="8" s="1"/>
  <c r="S315" i="8" s="1"/>
  <c r="J314" i="8"/>
  <c r="R314" i="8" s="1"/>
  <c r="S314" i="8" s="1"/>
  <c r="J313" i="8"/>
  <c r="R313" i="8" s="1"/>
  <c r="S313" i="8" s="1"/>
  <c r="J312" i="8"/>
  <c r="K312" i="8" s="1"/>
  <c r="J311" i="8"/>
  <c r="J310" i="8"/>
  <c r="J309" i="8"/>
  <c r="R309" i="8" s="1"/>
  <c r="S309" i="8" s="1"/>
  <c r="K308" i="8"/>
  <c r="J308" i="8"/>
  <c r="R308" i="8" s="1"/>
  <c r="S308" i="8" s="1"/>
  <c r="J307" i="8"/>
  <c r="R307" i="8" s="1"/>
  <c r="S307" i="8" s="1"/>
  <c r="K306" i="8"/>
  <c r="J306" i="8"/>
  <c r="R306" i="8" s="1"/>
  <c r="S306" i="8" s="1"/>
  <c r="J305" i="8"/>
  <c r="J304" i="8"/>
  <c r="R303" i="8"/>
  <c r="S303" i="8" s="1"/>
  <c r="K303" i="8"/>
  <c r="J303" i="8"/>
  <c r="K302" i="8"/>
  <c r="J302" i="8"/>
  <c r="R302" i="8" s="1"/>
  <c r="S302" i="8" s="1"/>
  <c r="J301" i="8"/>
  <c r="R301" i="8" s="1"/>
  <c r="S301" i="8" s="1"/>
  <c r="K300" i="8"/>
  <c r="J300" i="8"/>
  <c r="R300" i="8" s="1"/>
  <c r="S300" i="8" s="1"/>
  <c r="J299" i="8"/>
  <c r="J298" i="8"/>
  <c r="R298" i="8" s="1"/>
  <c r="S298" i="8" s="1"/>
  <c r="J297" i="8"/>
  <c r="R297" i="8" s="1"/>
  <c r="S297" i="8" s="1"/>
  <c r="J296" i="8"/>
  <c r="J295" i="8"/>
  <c r="R294" i="8"/>
  <c r="S294" i="8" s="1"/>
  <c r="K294" i="8"/>
  <c r="J294" i="8"/>
  <c r="S293" i="8"/>
  <c r="J293" i="8"/>
  <c r="R293" i="8" s="1"/>
  <c r="J292" i="8"/>
  <c r="J291" i="8"/>
  <c r="K291" i="8" s="1"/>
  <c r="J290" i="8"/>
  <c r="R290" i="8" s="1"/>
  <c r="S290" i="8" s="1"/>
  <c r="J289" i="8"/>
  <c r="R288" i="8"/>
  <c r="S288" i="8" s="1"/>
  <c r="J288" i="8"/>
  <c r="K288" i="8" s="1"/>
  <c r="S287" i="8"/>
  <c r="R287" i="8"/>
  <c r="J287" i="8"/>
  <c r="K287" i="8" s="1"/>
  <c r="J286" i="8"/>
  <c r="J285" i="8"/>
  <c r="K285" i="8" s="1"/>
  <c r="K284" i="8"/>
  <c r="J284" i="8"/>
  <c r="R284" i="8" s="1"/>
  <c r="S284" i="8" s="1"/>
  <c r="J283" i="8"/>
  <c r="K283" i="8" s="1"/>
  <c r="J282" i="8"/>
  <c r="K282" i="8" s="1"/>
  <c r="R281" i="8"/>
  <c r="S281" i="8" s="1"/>
  <c r="K281" i="8"/>
  <c r="J281" i="8"/>
  <c r="J280" i="8"/>
  <c r="K280" i="8" s="1"/>
  <c r="J279" i="8"/>
  <c r="K279" i="8" s="1"/>
  <c r="J278" i="8"/>
  <c r="J277" i="8"/>
  <c r="K277" i="8" s="1"/>
  <c r="J276" i="8"/>
  <c r="K276" i="8" s="1"/>
  <c r="J275" i="8"/>
  <c r="R275" i="8" s="1"/>
  <c r="S275" i="8" s="1"/>
  <c r="J274" i="8"/>
  <c r="J273" i="8"/>
  <c r="R272" i="8"/>
  <c r="S272" i="8" s="1"/>
  <c r="U272" i="8" s="1"/>
  <c r="K272" i="8"/>
  <c r="J272" i="8"/>
  <c r="J271" i="8"/>
  <c r="K271" i="8" s="1"/>
  <c r="R270" i="8"/>
  <c r="S270" i="8" s="1"/>
  <c r="J270" i="8"/>
  <c r="K270" i="8" s="1"/>
  <c r="K269" i="8"/>
  <c r="U269" i="8" s="1"/>
  <c r="J269" i="8"/>
  <c r="R269" i="8" s="1"/>
  <c r="S269" i="8" s="1"/>
  <c r="J268" i="8"/>
  <c r="J267" i="8"/>
  <c r="K267" i="8" s="1"/>
  <c r="J266" i="8"/>
  <c r="R266" i="8" s="1"/>
  <c r="S266" i="8" s="1"/>
  <c r="J265" i="8"/>
  <c r="J264" i="8"/>
  <c r="S263" i="8"/>
  <c r="K263" i="8"/>
  <c r="J263" i="8"/>
  <c r="R263" i="8" s="1"/>
  <c r="J262" i="8"/>
  <c r="J261" i="8"/>
  <c r="R260" i="8"/>
  <c r="S260" i="8" s="1"/>
  <c r="J260" i="8"/>
  <c r="K260" i="8" s="1"/>
  <c r="J259" i="8"/>
  <c r="K259" i="8" s="1"/>
  <c r="J258" i="8"/>
  <c r="J257" i="8"/>
  <c r="J256" i="8"/>
  <c r="K256" i="8" s="1"/>
  <c r="J255" i="8"/>
  <c r="J254" i="8"/>
  <c r="R254" i="8" s="1"/>
  <c r="S254" i="8" s="1"/>
  <c r="R253" i="8"/>
  <c r="S253" i="8" s="1"/>
  <c r="J253" i="8"/>
  <c r="K253" i="8" s="1"/>
  <c r="R252" i="8"/>
  <c r="S252" i="8" s="1"/>
  <c r="J252" i="8"/>
  <c r="K252" i="8" s="1"/>
  <c r="R251" i="8"/>
  <c r="S251" i="8" s="1"/>
  <c r="J251" i="8"/>
  <c r="K251" i="8" s="1"/>
  <c r="J250" i="8"/>
  <c r="R249" i="8"/>
  <c r="S249" i="8" s="1"/>
  <c r="J249" i="8"/>
  <c r="K249" i="8" s="1"/>
  <c r="R248" i="8"/>
  <c r="S248" i="8" s="1"/>
  <c r="K248" i="8"/>
  <c r="J248" i="8"/>
  <c r="J247" i="8"/>
  <c r="K247" i="8" s="1"/>
  <c r="J246" i="8"/>
  <c r="K246" i="8" s="1"/>
  <c r="J245" i="8"/>
  <c r="R245" i="8" s="1"/>
  <c r="S245" i="8" s="1"/>
  <c r="R244" i="8"/>
  <c r="S244" i="8" s="1"/>
  <c r="J244" i="8"/>
  <c r="K244" i="8" s="1"/>
  <c r="J243" i="8"/>
  <c r="K243" i="8" s="1"/>
  <c r="J242" i="8"/>
  <c r="J241" i="8"/>
  <c r="J240" i="8"/>
  <c r="R239" i="8"/>
  <c r="S239" i="8" s="1"/>
  <c r="K239" i="8"/>
  <c r="J239" i="8"/>
  <c r="J238" i="8"/>
  <c r="K238" i="8" s="1"/>
  <c r="J237" i="8"/>
  <c r="J236" i="8"/>
  <c r="J235" i="8"/>
  <c r="K235" i="8" s="1"/>
  <c r="J234" i="8"/>
  <c r="K234" i="8" s="1"/>
  <c r="J233" i="8"/>
  <c r="R233" i="8" s="1"/>
  <c r="S233" i="8" s="1"/>
  <c r="J232" i="8"/>
  <c r="J231" i="8"/>
  <c r="K231" i="8" s="1"/>
  <c r="K230" i="8"/>
  <c r="J230" i="8"/>
  <c r="R230" i="8" s="1"/>
  <c r="S230" i="8" s="1"/>
  <c r="J229" i="8"/>
  <c r="R229" i="8" s="1"/>
  <c r="S229" i="8" s="1"/>
  <c r="J228" i="8"/>
  <c r="R227" i="8"/>
  <c r="S227" i="8" s="1"/>
  <c r="K227" i="8"/>
  <c r="J227" i="8"/>
  <c r="J226" i="8"/>
  <c r="J225" i="8"/>
  <c r="K225" i="8" s="1"/>
  <c r="K224" i="8"/>
  <c r="J224" i="8"/>
  <c r="R224" i="8" s="1"/>
  <c r="S224" i="8" s="1"/>
  <c r="R223" i="8"/>
  <c r="S223" i="8" s="1"/>
  <c r="K223" i="8"/>
  <c r="J223" i="8"/>
  <c r="J222" i="8"/>
  <c r="K222" i="8" s="1"/>
  <c r="R221" i="8"/>
  <c r="S221" i="8" s="1"/>
  <c r="K221" i="8"/>
  <c r="J221" i="8"/>
  <c r="J220" i="8"/>
  <c r="K220" i="8" s="1"/>
  <c r="J219" i="8"/>
  <c r="R219" i="8" s="1"/>
  <c r="S219" i="8" s="1"/>
  <c r="J218" i="8"/>
  <c r="K218" i="8" s="1"/>
  <c r="J217" i="8"/>
  <c r="R217" i="8" s="1"/>
  <c r="S217" i="8" s="1"/>
  <c r="J216" i="8"/>
  <c r="J215" i="8"/>
  <c r="R215" i="8" s="1"/>
  <c r="S215" i="8" s="1"/>
  <c r="J214" i="8"/>
  <c r="R214" i="8" s="1"/>
  <c r="S214" i="8" s="1"/>
  <c r="J213" i="8"/>
  <c r="R213" i="8" s="1"/>
  <c r="S213" i="8" s="1"/>
  <c r="J212" i="8"/>
  <c r="R212" i="8" s="1"/>
  <c r="S212" i="8" s="1"/>
  <c r="R211" i="8"/>
  <c r="S211" i="8" s="1"/>
  <c r="J211" i="8"/>
  <c r="K211" i="8" s="1"/>
  <c r="J210" i="8"/>
  <c r="R210" i="8" s="1"/>
  <c r="S210" i="8" s="1"/>
  <c r="J209" i="8"/>
  <c r="R209" i="8" s="1"/>
  <c r="S209" i="8" s="1"/>
  <c r="J208" i="8"/>
  <c r="R208" i="8" s="1"/>
  <c r="S208" i="8" s="1"/>
  <c r="J207" i="8"/>
  <c r="R207" i="8" s="1"/>
  <c r="S207" i="8" s="1"/>
  <c r="J206" i="8"/>
  <c r="J205" i="8"/>
  <c r="R205" i="8" s="1"/>
  <c r="S205" i="8" s="1"/>
  <c r="S204" i="8"/>
  <c r="K204" i="8"/>
  <c r="J204" i="8"/>
  <c r="R204" i="8" s="1"/>
  <c r="J203" i="8"/>
  <c r="J202" i="8"/>
  <c r="K202" i="8" s="1"/>
  <c r="J201" i="8"/>
  <c r="J200" i="8"/>
  <c r="R200" i="8" s="1"/>
  <c r="S200" i="8" s="1"/>
  <c r="J199" i="8"/>
  <c r="J198" i="8"/>
  <c r="R197" i="8"/>
  <c r="S197" i="8" s="1"/>
  <c r="J197" i="8"/>
  <c r="K197" i="8" s="1"/>
  <c r="R196" i="8"/>
  <c r="S196" i="8" s="1"/>
  <c r="K196" i="8"/>
  <c r="J196" i="8"/>
  <c r="J195" i="8"/>
  <c r="J194" i="8"/>
  <c r="R194" i="8" s="1"/>
  <c r="S194" i="8" s="1"/>
  <c r="J193" i="8"/>
  <c r="R193" i="8" s="1"/>
  <c r="S193" i="8" s="1"/>
  <c r="J192" i="8"/>
  <c r="R192" i="8" s="1"/>
  <c r="S192" i="8" s="1"/>
  <c r="J191" i="8"/>
  <c r="R190" i="8"/>
  <c r="S190" i="8" s="1"/>
  <c r="J190" i="8"/>
  <c r="K190" i="8" s="1"/>
  <c r="J189" i="8"/>
  <c r="R189" i="8" s="1"/>
  <c r="S189" i="8" s="1"/>
  <c r="J188" i="8"/>
  <c r="R187" i="8"/>
  <c r="S187" i="8" s="1"/>
  <c r="K187" i="8"/>
  <c r="J187" i="8"/>
  <c r="J186" i="8"/>
  <c r="R186" i="8" s="1"/>
  <c r="S186" i="8" s="1"/>
  <c r="J185" i="8"/>
  <c r="K185" i="8" s="1"/>
  <c r="J184" i="8"/>
  <c r="R184" i="8" s="1"/>
  <c r="S184" i="8" s="1"/>
  <c r="J183" i="8"/>
  <c r="R183" i="8" s="1"/>
  <c r="S183" i="8" s="1"/>
  <c r="J182" i="8"/>
  <c r="K181" i="8"/>
  <c r="J181" i="8"/>
  <c r="R181" i="8" s="1"/>
  <c r="S181" i="8" s="1"/>
  <c r="J180" i="8"/>
  <c r="J179" i="8"/>
  <c r="R179" i="8" s="1"/>
  <c r="S179" i="8" s="1"/>
  <c r="J178" i="8"/>
  <c r="J177" i="8"/>
  <c r="R177" i="8" s="1"/>
  <c r="S177" i="8" s="1"/>
  <c r="J176" i="8"/>
  <c r="R176" i="8" s="1"/>
  <c r="S176" i="8" s="1"/>
  <c r="J175" i="8"/>
  <c r="R175" i="8" s="1"/>
  <c r="S175" i="8" s="1"/>
  <c r="J174" i="8"/>
  <c r="K174" i="8" s="1"/>
  <c r="J173" i="8"/>
  <c r="R173" i="8" s="1"/>
  <c r="S173" i="8" s="1"/>
  <c r="K172" i="8"/>
  <c r="J172" i="8"/>
  <c r="R172" i="8" s="1"/>
  <c r="S172" i="8" s="1"/>
  <c r="J171" i="8"/>
  <c r="J170" i="8"/>
  <c r="K170" i="8" s="1"/>
  <c r="J169" i="8"/>
  <c r="J168" i="8"/>
  <c r="K168" i="8" s="1"/>
  <c r="J167" i="8"/>
  <c r="R167" i="8" s="1"/>
  <c r="S167" i="8" s="1"/>
  <c r="S166" i="8"/>
  <c r="K166" i="8"/>
  <c r="J166" i="8"/>
  <c r="R166" i="8" s="1"/>
  <c r="J165" i="8"/>
  <c r="R165" i="8" s="1"/>
  <c r="S165" i="8" s="1"/>
  <c r="J164" i="8"/>
  <c r="R164" i="8" s="1"/>
  <c r="S164" i="8" s="1"/>
  <c r="J163" i="8"/>
  <c r="R163" i="8" s="1"/>
  <c r="S163" i="8" s="1"/>
  <c r="J162" i="8"/>
  <c r="R161" i="8"/>
  <c r="S161" i="8" s="1"/>
  <c r="K161" i="8"/>
  <c r="J161" i="8"/>
  <c r="J160" i="8"/>
  <c r="R160" i="8" s="1"/>
  <c r="S160" i="8" s="1"/>
  <c r="J159" i="8"/>
  <c r="R159" i="8" s="1"/>
  <c r="S159" i="8" s="1"/>
  <c r="R158" i="8"/>
  <c r="S158" i="8" s="1"/>
  <c r="J158" i="8"/>
  <c r="K158" i="8" s="1"/>
  <c r="J157" i="8"/>
  <c r="R157" i="8" s="1"/>
  <c r="S157" i="8" s="1"/>
  <c r="J156" i="8"/>
  <c r="J155" i="8"/>
  <c r="R155" i="8" s="1"/>
  <c r="S155" i="8" s="1"/>
  <c r="R154" i="8"/>
  <c r="S154" i="8" s="1"/>
  <c r="K154" i="8"/>
  <c r="J154" i="8"/>
  <c r="J153" i="8"/>
  <c r="K153" i="8" s="1"/>
  <c r="J152" i="8"/>
  <c r="R152" i="8" s="1"/>
  <c r="S152" i="8" s="1"/>
  <c r="J151" i="8"/>
  <c r="K151" i="8" s="1"/>
  <c r="J150" i="8"/>
  <c r="K149" i="8"/>
  <c r="U149" i="8" s="1"/>
  <c r="J149" i="8"/>
  <c r="R149" i="8" s="1"/>
  <c r="S149" i="8" s="1"/>
  <c r="J148" i="8"/>
  <c r="K148" i="8" s="1"/>
  <c r="J147" i="8"/>
  <c r="K147" i="8" s="1"/>
  <c r="J146" i="8"/>
  <c r="R146" i="8" s="1"/>
  <c r="S146" i="8" s="1"/>
  <c r="J145" i="8"/>
  <c r="R145" i="8" s="1"/>
  <c r="S145" i="8" s="1"/>
  <c r="J144" i="8"/>
  <c r="K143" i="8"/>
  <c r="J143" i="8"/>
  <c r="R143" i="8" s="1"/>
  <c r="S143" i="8" s="1"/>
  <c r="J142" i="8"/>
  <c r="J141" i="8"/>
  <c r="K141" i="8" s="1"/>
  <c r="R140" i="8"/>
  <c r="S140" i="8" s="1"/>
  <c r="J140" i="8"/>
  <c r="K140" i="8" s="1"/>
  <c r="J139" i="8"/>
  <c r="R139" i="8" s="1"/>
  <c r="S139" i="8" s="1"/>
  <c r="J138" i="8"/>
  <c r="K138" i="8" s="1"/>
  <c r="K137" i="8"/>
  <c r="J137" i="8"/>
  <c r="R137" i="8" s="1"/>
  <c r="S137" i="8" s="1"/>
  <c r="R136" i="8"/>
  <c r="S136" i="8" s="1"/>
  <c r="J136" i="8"/>
  <c r="K136" i="8" s="1"/>
  <c r="J135" i="8"/>
  <c r="J134" i="8"/>
  <c r="R134" i="8" s="1"/>
  <c r="S134" i="8" s="1"/>
  <c r="J133" i="8"/>
  <c r="K133" i="8" s="1"/>
  <c r="J132" i="8"/>
  <c r="K131" i="8"/>
  <c r="J131" i="8"/>
  <c r="R131" i="8" s="1"/>
  <c r="S131" i="8" s="1"/>
  <c r="J130" i="8"/>
  <c r="K130" i="8" s="1"/>
  <c r="J129" i="8"/>
  <c r="K129" i="8" s="1"/>
  <c r="J128" i="8"/>
  <c r="R128" i="8" s="1"/>
  <c r="S128" i="8" s="1"/>
  <c r="K127" i="8"/>
  <c r="J127" i="8"/>
  <c r="R127" i="8" s="1"/>
  <c r="S127" i="8" s="1"/>
  <c r="J126" i="8"/>
  <c r="R125" i="8"/>
  <c r="S125" i="8" s="1"/>
  <c r="J125" i="8"/>
  <c r="K125" i="8" s="1"/>
  <c r="J124" i="8"/>
  <c r="J123" i="8"/>
  <c r="K123" i="8" s="1"/>
  <c r="J122" i="8"/>
  <c r="K122" i="8" s="1"/>
  <c r="J121" i="8"/>
  <c r="R121" i="8" s="1"/>
  <c r="S121" i="8" s="1"/>
  <c r="R120" i="8"/>
  <c r="S120" i="8" s="1"/>
  <c r="J120" i="8"/>
  <c r="K120" i="8" s="1"/>
  <c r="J119" i="8"/>
  <c r="J118" i="8"/>
  <c r="R118" i="8" s="1"/>
  <c r="S118" i="8" s="1"/>
  <c r="J117" i="8"/>
  <c r="K117" i="8" s="1"/>
  <c r="J116" i="8"/>
  <c r="R116" i="8" s="1"/>
  <c r="S116" i="8" s="1"/>
  <c r="J115" i="8"/>
  <c r="K115" i="8" s="1"/>
  <c r="J114" i="8"/>
  <c r="J113" i="8"/>
  <c r="J112" i="8"/>
  <c r="R112" i="8" s="1"/>
  <c r="S112" i="8" s="1"/>
  <c r="J111" i="8"/>
  <c r="K111" i="8" s="1"/>
  <c r="J110" i="8"/>
  <c r="R110" i="8" s="1"/>
  <c r="S110" i="8" s="1"/>
  <c r="J109" i="8"/>
  <c r="R109" i="8" s="1"/>
  <c r="S109" i="8" s="1"/>
  <c r="J108" i="8"/>
  <c r="K107" i="8"/>
  <c r="J107" i="8"/>
  <c r="R107" i="8" s="1"/>
  <c r="S107" i="8" s="1"/>
  <c r="J106" i="8"/>
  <c r="J105" i="8"/>
  <c r="K105" i="8" s="1"/>
  <c r="J104" i="8"/>
  <c r="R104" i="8" s="1"/>
  <c r="S104" i="8" s="1"/>
  <c r="J103" i="8"/>
  <c r="R103" i="8" s="1"/>
  <c r="S103" i="8" s="1"/>
  <c r="J102" i="8"/>
  <c r="K102" i="8" s="1"/>
  <c r="J101" i="8"/>
  <c r="R101" i="8" s="1"/>
  <c r="S101" i="8" s="1"/>
  <c r="K100" i="8"/>
  <c r="J100" i="8"/>
  <c r="R100" i="8" s="1"/>
  <c r="S100" i="8" s="1"/>
  <c r="J99" i="8"/>
  <c r="K99" i="8" s="1"/>
  <c r="J98" i="8"/>
  <c r="R98" i="8" s="1"/>
  <c r="S98" i="8" s="1"/>
  <c r="J97" i="8"/>
  <c r="K97" i="8" s="1"/>
  <c r="J96" i="8"/>
  <c r="J95" i="8"/>
  <c r="R95" i="8" s="1"/>
  <c r="S95" i="8" s="1"/>
  <c r="J94" i="8"/>
  <c r="K94" i="8" s="1"/>
  <c r="J93" i="8"/>
  <c r="K93" i="8" s="1"/>
  <c r="J92" i="8"/>
  <c r="K92" i="8" s="1"/>
  <c r="K91" i="8"/>
  <c r="J91" i="8"/>
  <c r="R91" i="8" s="1"/>
  <c r="S91" i="8" s="1"/>
  <c r="J90" i="8"/>
  <c r="K90" i="8" s="1"/>
  <c r="K89" i="8"/>
  <c r="J89" i="8"/>
  <c r="R89" i="8" s="1"/>
  <c r="S89" i="8" s="1"/>
  <c r="J88" i="8"/>
  <c r="J87" i="8"/>
  <c r="K87" i="8" s="1"/>
  <c r="J86" i="8"/>
  <c r="S85" i="8"/>
  <c r="R85" i="8"/>
  <c r="J85" i="8"/>
  <c r="K85" i="8" s="1"/>
  <c r="J84" i="8"/>
  <c r="K84" i="8" s="1"/>
  <c r="J83" i="8"/>
  <c r="J82" i="8"/>
  <c r="K82" i="8" s="1"/>
  <c r="J81" i="8"/>
  <c r="K81" i="8" s="1"/>
  <c r="J80" i="8"/>
  <c r="R80" i="8" s="1"/>
  <c r="S80" i="8" s="1"/>
  <c r="R79" i="8"/>
  <c r="S79" i="8" s="1"/>
  <c r="J79" i="8"/>
  <c r="K79" i="8" s="1"/>
  <c r="J78" i="8"/>
  <c r="J77" i="8"/>
  <c r="R77" i="8" s="1"/>
  <c r="S77" i="8" s="1"/>
  <c r="K76" i="8"/>
  <c r="J76" i="8"/>
  <c r="R76" i="8" s="1"/>
  <c r="S76" i="8" s="1"/>
  <c r="J75" i="8"/>
  <c r="K75" i="8" s="1"/>
  <c r="R74" i="8"/>
  <c r="S74" i="8" s="1"/>
  <c r="K74" i="8"/>
  <c r="U74" i="8" s="1"/>
  <c r="J74" i="8"/>
  <c r="J73" i="8"/>
  <c r="R73" i="8" s="1"/>
  <c r="S73" i="8" s="1"/>
  <c r="R72" i="8"/>
  <c r="S72" i="8" s="1"/>
  <c r="J72" i="8"/>
  <c r="K72" i="8" s="1"/>
  <c r="J71" i="8"/>
  <c r="J70" i="8"/>
  <c r="J69" i="8"/>
  <c r="K69" i="8" s="1"/>
  <c r="K68" i="8"/>
  <c r="J68" i="8"/>
  <c r="R68" i="8" s="1"/>
  <c r="S68" i="8" s="1"/>
  <c r="J67" i="8"/>
  <c r="K67" i="8" s="1"/>
  <c r="J66" i="8"/>
  <c r="K66" i="8" s="1"/>
  <c r="K65" i="8"/>
  <c r="J65" i="8"/>
  <c r="R65" i="8" s="1"/>
  <c r="S65" i="8" s="1"/>
  <c r="S64" i="8"/>
  <c r="R64" i="8"/>
  <c r="K64" i="8"/>
  <c r="J64" i="8"/>
  <c r="J63" i="8"/>
  <c r="J62" i="8"/>
  <c r="R62" i="8" s="1"/>
  <c r="S62" i="8" s="1"/>
  <c r="J61" i="8"/>
  <c r="K61" i="8" s="1"/>
  <c r="J60" i="8"/>
  <c r="J59" i="8"/>
  <c r="K59" i="8" s="1"/>
  <c r="J58" i="8"/>
  <c r="K58" i="8" s="1"/>
  <c r="J57" i="8"/>
  <c r="K57" i="8" s="1"/>
  <c r="J56" i="8"/>
  <c r="R56" i="8" s="1"/>
  <c r="S56" i="8" s="1"/>
  <c r="J55" i="8"/>
  <c r="R55" i="8" s="1"/>
  <c r="S55" i="8" s="1"/>
  <c r="R54" i="8"/>
  <c r="S54" i="8" s="1"/>
  <c r="J54" i="8"/>
  <c r="K54" i="8" s="1"/>
  <c r="J53" i="8"/>
  <c r="R53" i="8" s="1"/>
  <c r="S53" i="8" s="1"/>
  <c r="J52" i="8"/>
  <c r="J51" i="8"/>
  <c r="K51" i="8" s="1"/>
  <c r="J50" i="8"/>
  <c r="K50" i="8" s="1"/>
  <c r="J49" i="8"/>
  <c r="K49" i="8" s="1"/>
  <c r="R48" i="8"/>
  <c r="S48" i="8" s="1"/>
  <c r="J48" i="8"/>
  <c r="K48" i="8" s="1"/>
  <c r="J47" i="8"/>
  <c r="R47" i="8" s="1"/>
  <c r="S47" i="8" s="1"/>
  <c r="J46" i="8"/>
  <c r="K46" i="8" s="1"/>
  <c r="J45" i="8"/>
  <c r="K45" i="8" s="1"/>
  <c r="J44" i="8"/>
  <c r="R44" i="8" s="1"/>
  <c r="S44" i="8" s="1"/>
  <c r="J43" i="8"/>
  <c r="K43" i="8" s="1"/>
  <c r="J42" i="8"/>
  <c r="J41" i="8"/>
  <c r="K41" i="8" s="1"/>
  <c r="J40" i="8"/>
  <c r="K40" i="8" s="1"/>
  <c r="J39" i="8"/>
  <c r="K39" i="8" s="1"/>
  <c r="J38" i="8"/>
  <c r="R38" i="8" s="1"/>
  <c r="S38" i="8" s="1"/>
  <c r="J37" i="8"/>
  <c r="R37" i="8" s="1"/>
  <c r="S37" i="8" s="1"/>
  <c r="J36" i="8"/>
  <c r="K36" i="8" s="1"/>
  <c r="J35" i="8"/>
  <c r="R35" i="8" s="1"/>
  <c r="S35" i="8" s="1"/>
  <c r="J34" i="8"/>
  <c r="J33" i="8"/>
  <c r="K33" i="8" s="1"/>
  <c r="J32" i="8"/>
  <c r="R32" i="8" s="1"/>
  <c r="S32" i="8" s="1"/>
  <c r="J31" i="8"/>
  <c r="K31" i="8" s="1"/>
  <c r="J30" i="8"/>
  <c r="K30" i="8" s="1"/>
  <c r="J29" i="8"/>
  <c r="R29" i="8" s="1"/>
  <c r="S29" i="8" s="1"/>
  <c r="J28" i="8"/>
  <c r="K28" i="8" s="1"/>
  <c r="J27" i="8"/>
  <c r="J26" i="8"/>
  <c r="R26" i="8" s="1"/>
  <c r="S26" i="8" s="1"/>
  <c r="J25" i="8"/>
  <c r="K25" i="8" s="1"/>
  <c r="J24" i="8"/>
  <c r="J23" i="8"/>
  <c r="R23" i="8" s="1"/>
  <c r="S23" i="8" s="1"/>
  <c r="J22" i="8"/>
  <c r="K22" i="8" s="1"/>
  <c r="J21" i="8"/>
  <c r="K21" i="8" s="1"/>
  <c r="J20" i="8"/>
  <c r="K20" i="8" s="1"/>
  <c r="K19" i="8"/>
  <c r="J19" i="8"/>
  <c r="R19" i="8" s="1"/>
  <c r="S19" i="8" s="1"/>
  <c r="J18" i="8"/>
  <c r="K18" i="8" s="1"/>
  <c r="O17" i="8"/>
  <c r="E17" i="8"/>
  <c r="J16" i="8"/>
  <c r="I6" i="8"/>
  <c r="AB143" i="26"/>
  <c r="AA143" i="26"/>
  <c r="V143" i="26"/>
  <c r="P143" i="26"/>
  <c r="AD143" i="26" s="1"/>
  <c r="K143" i="26"/>
  <c r="F143" i="26"/>
  <c r="AI109" i="26"/>
  <c r="AE109" i="26"/>
  <c r="U109" i="26"/>
  <c r="N109" i="26"/>
  <c r="Q73" i="26"/>
  <c r="R73" i="26" s="1"/>
  <c r="AE73" i="26" s="1"/>
  <c r="K73" i="26"/>
  <c r="L73" i="26" s="1"/>
  <c r="AA73" i="26" s="1"/>
  <c r="O42" i="26"/>
  <c r="P42" i="26" s="1"/>
  <c r="Z42" i="26" s="1"/>
  <c r="J42" i="26"/>
  <c r="K42" i="26" s="1"/>
  <c r="J13" i="26"/>
  <c r="R13" i="26" s="1"/>
  <c r="S13" i="26" s="1"/>
  <c r="D47" i="14"/>
  <c r="D57" i="14"/>
  <c r="F54" i="14"/>
  <c r="U211" i="8" l="1"/>
  <c r="U223" i="8"/>
  <c r="U251" i="8"/>
  <c r="R218" i="8"/>
  <c r="S218" i="8" s="1"/>
  <c r="R321" i="8"/>
  <c r="S321" i="8" s="1"/>
  <c r="K321" i="8"/>
  <c r="R346" i="8"/>
  <c r="S346" i="8" s="1"/>
  <c r="K346" i="8"/>
  <c r="R360" i="8"/>
  <c r="S360" i="8" s="1"/>
  <c r="K360" i="8"/>
  <c r="R257" i="8"/>
  <c r="S257" i="8" s="1"/>
  <c r="K257" i="8"/>
  <c r="K112" i="8"/>
  <c r="K156" i="8"/>
  <c r="R156" i="8"/>
  <c r="S156" i="8" s="1"/>
  <c r="U306" i="8"/>
  <c r="U339" i="8"/>
  <c r="R399" i="8"/>
  <c r="S399" i="8" s="1"/>
  <c r="R113" i="8"/>
  <c r="S113" i="8" s="1"/>
  <c r="K113" i="8"/>
  <c r="R130" i="8"/>
  <c r="S130" i="8" s="1"/>
  <c r="R148" i="8"/>
  <c r="S148" i="8" s="1"/>
  <c r="K298" i="8"/>
  <c r="K315" i="8"/>
  <c r="K331" i="8"/>
  <c r="K416" i="8"/>
  <c r="K175" i="8"/>
  <c r="K194" i="8"/>
  <c r="R220" i="8"/>
  <c r="S220" i="8" s="1"/>
  <c r="R234" i="8"/>
  <c r="S234" i="8" s="1"/>
  <c r="R283" i="8"/>
  <c r="S283" i="8" s="1"/>
  <c r="K340" i="8"/>
  <c r="R369" i="8"/>
  <c r="S369" i="8" s="1"/>
  <c r="K369" i="8"/>
  <c r="R401" i="8"/>
  <c r="S401" i="8" s="1"/>
  <c r="K401" i="8"/>
  <c r="K200" i="8"/>
  <c r="R58" i="8"/>
  <c r="S58" i="8" s="1"/>
  <c r="R59" i="8"/>
  <c r="S59" i="8" s="1"/>
  <c r="U300" i="8"/>
  <c r="T73" i="26"/>
  <c r="K53" i="8"/>
  <c r="U131" i="8"/>
  <c r="U166" i="8"/>
  <c r="R235" i="8"/>
  <c r="S235" i="8" s="1"/>
  <c r="K245" i="8"/>
  <c r="R277" i="8"/>
  <c r="S277" i="8" s="1"/>
  <c r="K341" i="8"/>
  <c r="U348" i="8"/>
  <c r="U363" i="8"/>
  <c r="U21" i="25"/>
  <c r="U77" i="8"/>
  <c r="R236" i="8"/>
  <c r="S236" i="8" s="1"/>
  <c r="K236" i="8"/>
  <c r="U252" i="8"/>
  <c r="K309" i="8"/>
  <c r="K378" i="8"/>
  <c r="R411" i="8"/>
  <c r="S411" i="8" s="1"/>
  <c r="U20" i="25"/>
  <c r="K193" i="8"/>
  <c r="K314" i="8"/>
  <c r="K368" i="8"/>
  <c r="K383" i="8"/>
  <c r="R92" i="8"/>
  <c r="S92" i="8" s="1"/>
  <c r="K274" i="8"/>
  <c r="R274" i="8"/>
  <c r="S274" i="8" s="1"/>
  <c r="U416" i="8"/>
  <c r="U107" i="8"/>
  <c r="U318" i="8"/>
  <c r="AG18" i="22"/>
  <c r="U79" i="8"/>
  <c r="K108" i="8"/>
  <c r="R108" i="8"/>
  <c r="S108" i="8" s="1"/>
  <c r="K118" i="8"/>
  <c r="K126" i="8"/>
  <c r="R126" i="8"/>
  <c r="S126" i="8" s="1"/>
  <c r="R168" i="8"/>
  <c r="S168" i="8" s="1"/>
  <c r="R278" i="8"/>
  <c r="S278" i="8" s="1"/>
  <c r="K278" i="8"/>
  <c r="R412" i="8"/>
  <c r="S412" i="8" s="1"/>
  <c r="U288" i="8"/>
  <c r="K330" i="8"/>
  <c r="U16" i="25"/>
  <c r="R71" i="8"/>
  <c r="S71" i="8" s="1"/>
  <c r="K71" i="8"/>
  <c r="U294" i="8"/>
  <c r="K179" i="8"/>
  <c r="U190" i="8"/>
  <c r="U263" i="8"/>
  <c r="R310" i="8"/>
  <c r="S310" i="8" s="1"/>
  <c r="K310" i="8"/>
  <c r="U319" i="8"/>
  <c r="R327" i="8"/>
  <c r="S327" i="8" s="1"/>
  <c r="K327" i="8"/>
  <c r="U345" i="8"/>
  <c r="R82" i="8"/>
  <c r="S82" i="8" s="1"/>
  <c r="K241" i="8"/>
  <c r="R241" i="8"/>
  <c r="S241" i="8" s="1"/>
  <c r="K289" i="8"/>
  <c r="R289" i="8"/>
  <c r="S289" i="8" s="1"/>
  <c r="U120" i="8"/>
  <c r="R242" i="8"/>
  <c r="S242" i="8" s="1"/>
  <c r="K242" i="8"/>
  <c r="R384" i="8"/>
  <c r="S384" i="8" s="1"/>
  <c r="K384" i="8"/>
  <c r="U72" i="8"/>
  <c r="R206" i="8"/>
  <c r="S206" i="8" s="1"/>
  <c r="K206" i="8"/>
  <c r="R295" i="8"/>
  <c r="S295" i="8" s="1"/>
  <c r="K295" i="8"/>
  <c r="R336" i="8"/>
  <c r="S336" i="8" s="1"/>
  <c r="K336" i="8"/>
  <c r="U64" i="8"/>
  <c r="R99" i="8"/>
  <c r="S99" i="8" s="1"/>
  <c r="K144" i="8"/>
  <c r="R144" i="8"/>
  <c r="S144" i="8" s="1"/>
  <c r="U230" i="8"/>
  <c r="K359" i="8"/>
  <c r="U372" i="8"/>
  <c r="AI18" i="24"/>
  <c r="R247" i="8"/>
  <c r="S247" i="8" s="1"/>
  <c r="K342" i="8"/>
  <c r="U342" i="8" s="1"/>
  <c r="K395" i="8"/>
  <c r="U413" i="8"/>
  <c r="AI26" i="24"/>
  <c r="Q143" i="26"/>
  <c r="R20" i="8"/>
  <c r="S20" i="8" s="1"/>
  <c r="U54" i="8"/>
  <c r="R66" i="8"/>
  <c r="S66" i="8" s="1"/>
  <c r="K95" i="8"/>
  <c r="R138" i="8"/>
  <c r="S138" i="8" s="1"/>
  <c r="K163" i="8"/>
  <c r="K176" i="8"/>
  <c r="K183" i="8"/>
  <c r="K207" i="8"/>
  <c r="K214" i="8"/>
  <c r="K290" i="8"/>
  <c r="K317" i="8"/>
  <c r="K333" i="8"/>
  <c r="K356" i="8"/>
  <c r="K379" i="8"/>
  <c r="K385" i="8"/>
  <c r="K390" i="8"/>
  <c r="R402" i="8"/>
  <c r="S402" i="8" s="1"/>
  <c r="K407" i="8"/>
  <c r="AI29" i="24"/>
  <c r="AL29" i="24" s="1"/>
  <c r="S17" i="28"/>
  <c r="AI30" i="24"/>
  <c r="K55" i="8"/>
  <c r="U127" i="8"/>
  <c r="K77" i="8"/>
  <c r="R90" i="8"/>
  <c r="S90" i="8" s="1"/>
  <c r="U138" i="8"/>
  <c r="R151" i="8"/>
  <c r="S151" i="8" s="1"/>
  <c r="R202" i="8"/>
  <c r="S202" i="8" s="1"/>
  <c r="K208" i="8"/>
  <c r="U221" i="8"/>
  <c r="K275" i="8"/>
  <c r="K307" i="8"/>
  <c r="U337" i="8"/>
  <c r="K343" i="8"/>
  <c r="K351" i="8"/>
  <c r="K357" i="8"/>
  <c r="R133" i="8"/>
  <c r="S133" i="8" s="1"/>
  <c r="K159" i="8"/>
  <c r="R170" i="8"/>
  <c r="S170" i="8" s="1"/>
  <c r="R185" i="8"/>
  <c r="S185" i="8" s="1"/>
  <c r="K192" i="8"/>
  <c r="U196" i="8"/>
  <c r="R243" i="8"/>
  <c r="S243" i="8" s="1"/>
  <c r="R259" i="8"/>
  <c r="S259" i="8" s="1"/>
  <c r="R271" i="8"/>
  <c r="S271" i="8" s="1"/>
  <c r="K297" i="8"/>
  <c r="R312" i="8"/>
  <c r="S312" i="8" s="1"/>
  <c r="K318" i="8"/>
  <c r="K322" i="8"/>
  <c r="U347" i="8"/>
  <c r="K362" i="8"/>
  <c r="R375" i="8"/>
  <c r="S375" i="8" s="1"/>
  <c r="K380" i="8"/>
  <c r="K386" i="8"/>
  <c r="K391" i="8"/>
  <c r="R403" i="8"/>
  <c r="S403" i="8" s="1"/>
  <c r="R414" i="8"/>
  <c r="S414" i="8" s="1"/>
  <c r="AC20" i="9"/>
  <c r="R61" i="8"/>
  <c r="S61" i="8" s="1"/>
  <c r="K177" i="8"/>
  <c r="R225" i="8"/>
  <c r="S225" i="8" s="1"/>
  <c r="R279" i="8"/>
  <c r="S279" i="8" s="1"/>
  <c r="R285" i="8"/>
  <c r="S285" i="8" s="1"/>
  <c r="K301" i="8"/>
  <c r="R408" i="8"/>
  <c r="S408" i="8" s="1"/>
  <c r="K233" i="8"/>
  <c r="U271" i="8"/>
  <c r="U302" i="8"/>
  <c r="U366" i="8"/>
  <c r="K371" i="8"/>
  <c r="R49" i="8"/>
  <c r="S49" i="8" s="1"/>
  <c r="R102" i="8"/>
  <c r="S102" i="8" s="1"/>
  <c r="U115" i="8"/>
  <c r="K128" i="8"/>
  <c r="K56" i="8"/>
  <c r="R67" i="8"/>
  <c r="S67" i="8" s="1"/>
  <c r="R84" i="8"/>
  <c r="S84" i="8" s="1"/>
  <c r="R97" i="8"/>
  <c r="S97" i="8" s="1"/>
  <c r="K110" i="8"/>
  <c r="R115" i="8"/>
  <c r="S115" i="8" s="1"/>
  <c r="K146" i="8"/>
  <c r="K165" i="8"/>
  <c r="R222" i="8"/>
  <c r="S222" i="8" s="1"/>
  <c r="K254" i="8"/>
  <c r="K266" i="8"/>
  <c r="R280" i="8"/>
  <c r="S280" i="8" s="1"/>
  <c r="S195" i="26"/>
  <c r="R238" i="8"/>
  <c r="S238" i="8" s="1"/>
  <c r="R276" i="8"/>
  <c r="S276" i="8" s="1"/>
  <c r="K293" i="8"/>
  <c r="K313" i="8"/>
  <c r="K329" i="8"/>
  <c r="K344" i="8"/>
  <c r="K398" i="8"/>
  <c r="K404" i="8"/>
  <c r="K410" i="8"/>
  <c r="K415" i="8"/>
  <c r="AI37" i="23"/>
  <c r="AG24" i="22"/>
  <c r="J4" i="28"/>
  <c r="AG22" i="22"/>
  <c r="Q19" i="22"/>
  <c r="G4" i="22" s="1"/>
  <c r="G7" i="22" s="1"/>
  <c r="AI26" i="23"/>
  <c r="Q7" i="23"/>
  <c r="AG30" i="23"/>
  <c r="AI41" i="23"/>
  <c r="AI42" i="23"/>
  <c r="AC37" i="9"/>
  <c r="AC34" i="9"/>
  <c r="AC39" i="9"/>
  <c r="AC29" i="9"/>
  <c r="U19" i="8"/>
  <c r="R46" i="8"/>
  <c r="S46" i="8" s="1"/>
  <c r="K38" i="8"/>
  <c r="U27" i="25"/>
  <c r="S17" i="25"/>
  <c r="H4" i="25" s="1"/>
  <c r="U18" i="25"/>
  <c r="I7" i="28"/>
  <c r="AG23" i="22"/>
  <c r="AG26" i="22"/>
  <c r="AG20" i="22"/>
  <c r="AG27" i="22"/>
  <c r="AG28" i="22"/>
  <c r="AG29" i="22"/>
  <c r="AE19" i="22"/>
  <c r="H4" i="22" s="1"/>
  <c r="H7" i="22" s="1"/>
  <c r="AG21" i="22"/>
  <c r="AG25" i="22"/>
  <c r="AL23" i="24"/>
  <c r="AL22" i="24"/>
  <c r="AJ22" i="24"/>
  <c r="AM22" i="24" s="1"/>
  <c r="AJ20" i="24"/>
  <c r="AL20" i="24"/>
  <c r="AJ29" i="24"/>
  <c r="AM29" i="24" s="1"/>
  <c r="AL25" i="24"/>
  <c r="AL26" i="24"/>
  <c r="AJ34" i="24"/>
  <c r="AM34" i="24" s="1"/>
  <c r="AM23" i="24"/>
  <c r="AJ31" i="24"/>
  <c r="AM31" i="24" s="1"/>
  <c r="AL32" i="24"/>
  <c r="AJ28" i="24"/>
  <c r="AM28" i="24" s="1"/>
  <c r="AN19" i="24"/>
  <c r="AM25" i="24"/>
  <c r="AM32" i="24"/>
  <c r="AJ27" i="24"/>
  <c r="AL27" i="24"/>
  <c r="V21" i="24"/>
  <c r="X21" i="24"/>
  <c r="AJ33" i="24"/>
  <c r="AL33" i="24"/>
  <c r="X27" i="24"/>
  <c r="V27" i="24"/>
  <c r="AL18" i="24"/>
  <c r="AM20" i="24"/>
  <c r="AJ24" i="24"/>
  <c r="AL24" i="24"/>
  <c r="AJ21" i="24"/>
  <c r="AL21" i="24"/>
  <c r="AJ30" i="24"/>
  <c r="AM30" i="24" s="1"/>
  <c r="AL30" i="24"/>
  <c r="X24" i="24"/>
  <c r="V24" i="24"/>
  <c r="V33" i="24"/>
  <c r="X33" i="24"/>
  <c r="I5" i="24"/>
  <c r="J5" i="24" s="1"/>
  <c r="AJ33" i="23"/>
  <c r="AJ28" i="23"/>
  <c r="AJ24" i="23"/>
  <c r="AJ34" i="23"/>
  <c r="AI39" i="23"/>
  <c r="AI30" i="23"/>
  <c r="AI23" i="23"/>
  <c r="AJ37" i="23"/>
  <c r="AI33" i="23"/>
  <c r="AF22" i="23"/>
  <c r="H4" i="23" s="1"/>
  <c r="AJ25" i="23"/>
  <c r="AJ40" i="23"/>
  <c r="AJ31" i="23"/>
  <c r="AI38" i="23"/>
  <c r="AI31" i="23"/>
  <c r="AJ38" i="23"/>
  <c r="AJ26" i="23"/>
  <c r="AJ36" i="23"/>
  <c r="AJ29" i="23"/>
  <c r="T22" i="23"/>
  <c r="G5" i="23" s="1"/>
  <c r="AJ23" i="23"/>
  <c r="AI25" i="23"/>
  <c r="S22" i="23"/>
  <c r="G4" i="23" s="1"/>
  <c r="AJ35" i="23"/>
  <c r="AI34" i="23"/>
  <c r="AI21" i="23"/>
  <c r="AJ41" i="23"/>
  <c r="AI27" i="23"/>
  <c r="AJ21" i="23"/>
  <c r="AJ32" i="23"/>
  <c r="AJ42" i="23"/>
  <c r="AJ39" i="23"/>
  <c r="AJ27" i="23"/>
  <c r="AI28" i="23"/>
  <c r="AC21" i="9"/>
  <c r="AC38" i="9"/>
  <c r="AC27" i="9"/>
  <c r="AC33" i="9"/>
  <c r="AC28" i="9"/>
  <c r="AC36" i="9"/>
  <c r="AC22" i="9"/>
  <c r="AC26" i="9"/>
  <c r="AC35" i="9"/>
  <c r="AC24" i="9"/>
  <c r="Q19" i="9"/>
  <c r="G4" i="9" s="1"/>
  <c r="G7" i="9" s="1"/>
  <c r="AC30" i="9"/>
  <c r="AC23" i="9"/>
  <c r="AC31" i="9"/>
  <c r="AC32" i="9"/>
  <c r="AA19" i="9"/>
  <c r="H4" i="9" s="1"/>
  <c r="H7" i="9" s="1"/>
  <c r="AC25" i="9"/>
  <c r="AC18" i="9"/>
  <c r="R30" i="8"/>
  <c r="S30" i="8" s="1"/>
  <c r="K35" i="8"/>
  <c r="R22" i="8"/>
  <c r="S22" i="8" s="1"/>
  <c r="R31" i="8"/>
  <c r="S31" i="8" s="1"/>
  <c r="R40" i="8"/>
  <c r="S40" i="8" s="1"/>
  <c r="R43" i="8"/>
  <c r="S43" i="8" s="1"/>
  <c r="M7" i="8"/>
  <c r="N7" i="8" s="1"/>
  <c r="K23" i="8"/>
  <c r="K32" i="8"/>
  <c r="R18" i="8"/>
  <c r="S18" i="8" s="1"/>
  <c r="R28" i="8"/>
  <c r="S28" i="8" s="1"/>
  <c r="R41" i="8"/>
  <c r="S41" i="8" s="1"/>
  <c r="R25" i="8"/>
  <c r="S25" i="8" s="1"/>
  <c r="R36" i="8"/>
  <c r="S36" i="8" s="1"/>
  <c r="K29" i="8"/>
  <c r="U151" i="8"/>
  <c r="K135" i="8"/>
  <c r="R135" i="8"/>
  <c r="S135" i="8" s="1"/>
  <c r="R86" i="8"/>
  <c r="S86" i="8" s="1"/>
  <c r="K86" i="8"/>
  <c r="U49" i="8"/>
  <c r="U122" i="8"/>
  <c r="U158" i="8"/>
  <c r="U161" i="8"/>
  <c r="R191" i="8"/>
  <c r="S191" i="8" s="1"/>
  <c r="K191" i="8"/>
  <c r="K232" i="8"/>
  <c r="R232" i="8"/>
  <c r="S232" i="8" s="1"/>
  <c r="U267" i="8"/>
  <c r="U102" i="8"/>
  <c r="R267" i="8"/>
  <c r="S267" i="8" s="1"/>
  <c r="U48" i="8"/>
  <c r="U137" i="8"/>
  <c r="U68" i="8"/>
  <c r="U76" i="8"/>
  <c r="R83" i="8"/>
  <c r="S83" i="8" s="1"/>
  <c r="K83" i="8"/>
  <c r="U65" i="8"/>
  <c r="U172" i="8"/>
  <c r="R199" i="8"/>
  <c r="S199" i="8" s="1"/>
  <c r="K199" i="8"/>
  <c r="K258" i="8"/>
  <c r="R258" i="8"/>
  <c r="S258" i="8" s="1"/>
  <c r="U58" i="8"/>
  <c r="U91" i="8"/>
  <c r="U95" i="8"/>
  <c r="K27" i="8"/>
  <c r="R27" i="8"/>
  <c r="S27" i="8" s="1"/>
  <c r="U38" i="8"/>
  <c r="K73" i="8"/>
  <c r="U89" i="8"/>
  <c r="K104" i="8"/>
  <c r="R119" i="8"/>
  <c r="S119" i="8" s="1"/>
  <c r="K119" i="8"/>
  <c r="K212" i="8"/>
  <c r="K228" i="8"/>
  <c r="R228" i="8"/>
  <c r="S228" i="8" s="1"/>
  <c r="U395" i="8"/>
  <c r="K63" i="8"/>
  <c r="R63" i="8"/>
  <c r="S63" i="8" s="1"/>
  <c r="U148" i="8"/>
  <c r="R373" i="8"/>
  <c r="S373" i="8" s="1"/>
  <c r="K373" i="8"/>
  <c r="U391" i="8"/>
  <c r="U100" i="8"/>
  <c r="U140" i="8"/>
  <c r="R178" i="8"/>
  <c r="S178" i="8" s="1"/>
  <c r="K178" i="8"/>
  <c r="U193" i="8"/>
  <c r="U71" i="8"/>
  <c r="K109" i="8"/>
  <c r="U290" i="8"/>
  <c r="U239" i="8"/>
  <c r="U244" i="8"/>
  <c r="U324" i="8"/>
  <c r="U20" i="8"/>
  <c r="U185" i="8"/>
  <c r="U325" i="8"/>
  <c r="U187" i="8"/>
  <c r="R195" i="8"/>
  <c r="S195" i="8" s="1"/>
  <c r="K195" i="8"/>
  <c r="U280" i="8"/>
  <c r="U312" i="8"/>
  <c r="K42" i="8"/>
  <c r="R42" i="8"/>
  <c r="S42" i="8" s="1"/>
  <c r="U61" i="8"/>
  <c r="U111" i="8"/>
  <c r="U133" i="8"/>
  <c r="K219" i="8"/>
  <c r="R231" i="8"/>
  <c r="S231" i="8" s="1"/>
  <c r="U281" i="8"/>
  <c r="U293" i="8"/>
  <c r="U313" i="8"/>
  <c r="K376" i="8"/>
  <c r="R376" i="8"/>
  <c r="S376" i="8" s="1"/>
  <c r="K261" i="8"/>
  <c r="R261" i="8"/>
  <c r="S261" i="8" s="1"/>
  <c r="R34" i="8"/>
  <c r="S34" i="8" s="1"/>
  <c r="K34" i="8"/>
  <c r="R45" i="8"/>
  <c r="S45" i="8" s="1"/>
  <c r="R50" i="8"/>
  <c r="S50" i="8" s="1"/>
  <c r="R94" i="8"/>
  <c r="S94" i="8" s="1"/>
  <c r="R122" i="8"/>
  <c r="S122" i="8" s="1"/>
  <c r="K142" i="8"/>
  <c r="R142" i="8"/>
  <c r="S142" i="8" s="1"/>
  <c r="K150" i="8"/>
  <c r="R150" i="8"/>
  <c r="S150" i="8" s="1"/>
  <c r="R153" i="8"/>
  <c r="S153" i="8" s="1"/>
  <c r="R174" i="8"/>
  <c r="S174" i="8" s="1"/>
  <c r="R180" i="8"/>
  <c r="S180" i="8" s="1"/>
  <c r="K180" i="8"/>
  <c r="U183" i="8"/>
  <c r="R201" i="8"/>
  <c r="S201" i="8" s="1"/>
  <c r="K201" i="8"/>
  <c r="U402" i="8"/>
  <c r="K37" i="8"/>
  <c r="K70" i="8"/>
  <c r="R70" i="8"/>
  <c r="S70" i="8" s="1"/>
  <c r="K78" i="8"/>
  <c r="R78" i="8"/>
  <c r="S78" i="8" s="1"/>
  <c r="R81" i="8"/>
  <c r="S81" i="8" s="1"/>
  <c r="K106" i="8"/>
  <c r="R106" i="8"/>
  <c r="S106" i="8" s="1"/>
  <c r="K114" i="8"/>
  <c r="R114" i="8"/>
  <c r="S114" i="8" s="1"/>
  <c r="R117" i="8"/>
  <c r="S117" i="8" s="1"/>
  <c r="U136" i="8"/>
  <c r="U143" i="8"/>
  <c r="K145" i="8"/>
  <c r="R162" i="8"/>
  <c r="S162" i="8" s="1"/>
  <c r="K162" i="8"/>
  <c r="R171" i="8"/>
  <c r="S171" i="8" s="1"/>
  <c r="K171" i="8"/>
  <c r="U231" i="8"/>
  <c r="K250" i="8"/>
  <c r="R250" i="8"/>
  <c r="S250" i="8" s="1"/>
  <c r="R338" i="8"/>
  <c r="S338" i="8" s="1"/>
  <c r="K338" i="8"/>
  <c r="K24" i="8"/>
  <c r="R24" i="8"/>
  <c r="S24" i="8" s="1"/>
  <c r="K160" i="8"/>
  <c r="K189" i="8"/>
  <c r="K203" i="8"/>
  <c r="R203" i="8"/>
  <c r="S203" i="8" s="1"/>
  <c r="K210" i="8"/>
  <c r="U385" i="8"/>
  <c r="U46" i="8"/>
  <c r="K52" i="8"/>
  <c r="R52" i="8"/>
  <c r="S52" i="8" s="1"/>
  <c r="K60" i="8"/>
  <c r="R60" i="8"/>
  <c r="S60" i="8" s="1"/>
  <c r="U85" i="8"/>
  <c r="K101" i="8"/>
  <c r="R124" i="8"/>
  <c r="S124" i="8" s="1"/>
  <c r="K124" i="8"/>
  <c r="K132" i="8"/>
  <c r="R132" i="8"/>
  <c r="S132" i="8" s="1"/>
  <c r="U154" i="8"/>
  <c r="R182" i="8"/>
  <c r="S182" i="8" s="1"/>
  <c r="K182" i="8"/>
  <c r="U275" i="8"/>
  <c r="U303" i="8"/>
  <c r="U315" i="8"/>
  <c r="K16" i="8"/>
  <c r="R16" i="8"/>
  <c r="S16" i="8" s="1"/>
  <c r="R169" i="8"/>
  <c r="S169" i="8" s="1"/>
  <c r="K169" i="8"/>
  <c r="U204" i="8"/>
  <c r="U207" i="8"/>
  <c r="K217" i="8"/>
  <c r="K255" i="8"/>
  <c r="R255" i="8"/>
  <c r="S255" i="8" s="1"/>
  <c r="K264" i="8"/>
  <c r="R264" i="8"/>
  <c r="S264" i="8" s="1"/>
  <c r="U284" i="8"/>
  <c r="R304" i="8"/>
  <c r="S304" i="8" s="1"/>
  <c r="K304" i="8"/>
  <c r="U330" i="8"/>
  <c r="K382" i="8"/>
  <c r="R382" i="8"/>
  <c r="S382" i="8" s="1"/>
  <c r="U386" i="8"/>
  <c r="U389" i="8"/>
  <c r="U53" i="8"/>
  <c r="R88" i="8"/>
  <c r="S88" i="8" s="1"/>
  <c r="K88" i="8"/>
  <c r="K96" i="8"/>
  <c r="R96" i="8"/>
  <c r="S96" i="8" s="1"/>
  <c r="U125" i="8"/>
  <c r="U170" i="8"/>
  <c r="U197" i="8"/>
  <c r="U301" i="8"/>
  <c r="U316" i="8"/>
  <c r="U354" i="8"/>
  <c r="K47" i="8"/>
  <c r="U153" i="8"/>
  <c r="K155" i="8"/>
  <c r="K167" i="8"/>
  <c r="U174" i="8"/>
  <c r="K226" i="8"/>
  <c r="R226" i="8"/>
  <c r="S226" i="8" s="1"/>
  <c r="U242" i="8"/>
  <c r="U383" i="8"/>
  <c r="K229" i="8"/>
  <c r="K268" i="8"/>
  <c r="R268" i="8"/>
  <c r="S268" i="8" s="1"/>
  <c r="R282" i="8"/>
  <c r="S282" i="8" s="1"/>
  <c r="R291" i="8"/>
  <c r="S291" i="8" s="1"/>
  <c r="U291" i="8" s="1"/>
  <c r="R299" i="8"/>
  <c r="S299" i="8" s="1"/>
  <c r="K299" i="8"/>
  <c r="U377" i="8"/>
  <c r="U392" i="8"/>
  <c r="K44" i="8"/>
  <c r="K62" i="8"/>
  <c r="K98" i="8"/>
  <c r="K116" i="8"/>
  <c r="K152" i="8"/>
  <c r="R188" i="8"/>
  <c r="S188" i="8" s="1"/>
  <c r="K188" i="8"/>
  <c r="K213" i="8"/>
  <c r="K215" i="8"/>
  <c r="K237" i="8"/>
  <c r="R237" i="8"/>
  <c r="S237" i="8" s="1"/>
  <c r="U248" i="8"/>
  <c r="K262" i="8"/>
  <c r="R262" i="8"/>
  <c r="S262" i="8" s="1"/>
  <c r="K265" i="8"/>
  <c r="R265" i="8"/>
  <c r="S265" i="8" s="1"/>
  <c r="R21" i="8"/>
  <c r="S21" i="8" s="1"/>
  <c r="R39" i="8"/>
  <c r="S39" i="8" s="1"/>
  <c r="R57" i="8"/>
  <c r="S57" i="8" s="1"/>
  <c r="R75" i="8"/>
  <c r="S75" i="8" s="1"/>
  <c r="U75" i="8" s="1"/>
  <c r="R93" i="8"/>
  <c r="S93" i="8" s="1"/>
  <c r="K103" i="8"/>
  <c r="R111" i="8"/>
  <c r="S111" i="8" s="1"/>
  <c r="K121" i="8"/>
  <c r="R129" i="8"/>
  <c r="S129" i="8" s="1"/>
  <c r="K139" i="8"/>
  <c r="R147" i="8"/>
  <c r="S147" i="8" s="1"/>
  <c r="K157" i="8"/>
  <c r="K164" i="8"/>
  <c r="K173" i="8"/>
  <c r="K186" i="8"/>
  <c r="K209" i="8"/>
  <c r="U235" i="8"/>
  <c r="K240" i="8"/>
  <c r="R240" i="8"/>
  <c r="S240" i="8" s="1"/>
  <c r="U253" i="8"/>
  <c r="R256" i="8"/>
  <c r="S256" i="8" s="1"/>
  <c r="U259" i="8"/>
  <c r="R311" i="8"/>
  <c r="S311" i="8" s="1"/>
  <c r="K311" i="8"/>
  <c r="K328" i="8"/>
  <c r="U349" i="8"/>
  <c r="R400" i="8"/>
  <c r="S400" i="8" s="1"/>
  <c r="K26" i="8"/>
  <c r="K80" i="8"/>
  <c r="K134" i="8"/>
  <c r="K184" i="8"/>
  <c r="K205" i="8"/>
  <c r="U356" i="8"/>
  <c r="U218" i="8"/>
  <c r="U224" i="8"/>
  <c r="U227" i="8"/>
  <c r="U243" i="8"/>
  <c r="U274" i="8"/>
  <c r="K286" i="8"/>
  <c r="R286" i="8"/>
  <c r="S286" i="8" s="1"/>
  <c r="U308" i="8"/>
  <c r="U320" i="8"/>
  <c r="U353" i="8"/>
  <c r="U380" i="8"/>
  <c r="K397" i="8"/>
  <c r="R397" i="8"/>
  <c r="S397" i="8" s="1"/>
  <c r="U283" i="8"/>
  <c r="R323" i="8"/>
  <c r="S323" i="8" s="1"/>
  <c r="K323" i="8"/>
  <c r="R326" i="8"/>
  <c r="S326" i="8" s="1"/>
  <c r="K326" i="8"/>
  <c r="U359" i="8"/>
  <c r="U362" i="8"/>
  <c r="K273" i="8"/>
  <c r="R273" i="8"/>
  <c r="S273" i="8" s="1"/>
  <c r="U351" i="8"/>
  <c r="R361" i="8"/>
  <c r="S361" i="8" s="1"/>
  <c r="K361" i="8"/>
  <c r="R367" i="8"/>
  <c r="S367" i="8" s="1"/>
  <c r="K367" i="8"/>
  <c r="U407" i="8"/>
  <c r="R198" i="8"/>
  <c r="S198" i="8" s="1"/>
  <c r="K198" i="8"/>
  <c r="U233" i="8"/>
  <c r="U266" i="8"/>
  <c r="U295" i="8"/>
  <c r="R332" i="8"/>
  <c r="S332" i="8" s="1"/>
  <c r="K332" i="8"/>
  <c r="U384" i="8"/>
  <c r="R33" i="8"/>
  <c r="S33" i="8" s="1"/>
  <c r="R51" i="8"/>
  <c r="S51" i="8" s="1"/>
  <c r="R69" i="8"/>
  <c r="S69" i="8" s="1"/>
  <c r="R87" i="8"/>
  <c r="S87" i="8" s="1"/>
  <c r="R105" i="8"/>
  <c r="S105" i="8" s="1"/>
  <c r="R123" i="8"/>
  <c r="S123" i="8" s="1"/>
  <c r="R141" i="8"/>
  <c r="S141" i="8" s="1"/>
  <c r="U181" i="8"/>
  <c r="R216" i="8"/>
  <c r="S216" i="8" s="1"/>
  <c r="K216" i="8"/>
  <c r="U241" i="8"/>
  <c r="R246" i="8"/>
  <c r="S246" i="8" s="1"/>
  <c r="U249" i="8"/>
  <c r="U260" i="8"/>
  <c r="U238" i="8"/>
  <c r="U257" i="8"/>
  <c r="U270" i="8"/>
  <c r="U278" i="8"/>
  <c r="R292" i="8"/>
  <c r="S292" i="8" s="1"/>
  <c r="K292" i="8"/>
  <c r="R305" i="8"/>
  <c r="S305" i="8" s="1"/>
  <c r="K305" i="8"/>
  <c r="R394" i="8"/>
  <c r="S394" i="8" s="1"/>
  <c r="K394" i="8"/>
  <c r="U401" i="8"/>
  <c r="U234" i="8"/>
  <c r="U245" i="8"/>
  <c r="U276" i="8"/>
  <c r="U287" i="8"/>
  <c r="R352" i="8"/>
  <c r="S352" i="8" s="1"/>
  <c r="K355" i="8"/>
  <c r="K409" i="8"/>
  <c r="U403" i="8"/>
  <c r="U406" i="8"/>
  <c r="R296" i="8"/>
  <c r="S296" i="8" s="1"/>
  <c r="K296" i="8"/>
  <c r="R335" i="8"/>
  <c r="S335" i="8" s="1"/>
  <c r="K335" i="8"/>
  <c r="U387" i="8"/>
  <c r="U370" i="8"/>
  <c r="U393" i="8"/>
  <c r="U358" i="8"/>
  <c r="U417" i="8"/>
  <c r="U388" i="8"/>
  <c r="U415" i="8"/>
  <c r="U364" i="8"/>
  <c r="U396" i="8"/>
  <c r="U411" i="8"/>
  <c r="U381" i="8"/>
  <c r="U405" i="8"/>
  <c r="U399" i="8"/>
  <c r="AE143" i="26"/>
  <c r="W42" i="26"/>
  <c r="AA42" i="26" s="1"/>
  <c r="Q42" i="26"/>
  <c r="AG73" i="26"/>
  <c r="AF73" i="26"/>
  <c r="K13" i="26"/>
  <c r="S73" i="26"/>
  <c r="M11" i="1"/>
  <c r="M10" i="1"/>
  <c r="F57" i="14"/>
  <c r="G54" i="14"/>
  <c r="AJ73" i="26" l="1"/>
  <c r="U289" i="8"/>
  <c r="U410" i="8"/>
  <c r="U225" i="8"/>
  <c r="U340" i="8"/>
  <c r="U404" i="8"/>
  <c r="U67" i="8"/>
  <c r="U333" i="8"/>
  <c r="U282" i="8"/>
  <c r="U30" i="8"/>
  <c r="U56" i="8"/>
  <c r="U159" i="8"/>
  <c r="U321" i="8"/>
  <c r="U35" i="8"/>
  <c r="U128" i="8"/>
  <c r="U118" i="8"/>
  <c r="U314" i="8"/>
  <c r="U220" i="8"/>
  <c r="U254" i="8"/>
  <c r="U194" i="8"/>
  <c r="U327" i="8"/>
  <c r="U309" i="8"/>
  <c r="U322" i="8"/>
  <c r="U398" i="8"/>
  <c r="U50" i="8"/>
  <c r="U247" i="8"/>
  <c r="U200" i="8"/>
  <c r="U99" i="8"/>
  <c r="U165" i="8"/>
  <c r="U81" i="8"/>
  <c r="U246" i="8"/>
  <c r="U146" i="8"/>
  <c r="U408" i="8"/>
  <c r="U414" i="8"/>
  <c r="U55" i="8"/>
  <c r="U379" i="8"/>
  <c r="I4" i="25"/>
  <c r="J4" i="25" s="1"/>
  <c r="H7" i="25"/>
  <c r="U84" i="8"/>
  <c r="U371" i="8"/>
  <c r="U192" i="8"/>
  <c r="U126" i="8"/>
  <c r="U331" i="8"/>
  <c r="U317" i="8"/>
  <c r="U412" i="8"/>
  <c r="U108" i="8"/>
  <c r="U175" i="8"/>
  <c r="U298" i="8"/>
  <c r="U222" i="8"/>
  <c r="U177" i="8"/>
  <c r="U202" i="8"/>
  <c r="U310" i="8"/>
  <c r="U341" i="8"/>
  <c r="U336" i="8"/>
  <c r="U156" i="8"/>
  <c r="U369" i="8"/>
  <c r="U176" i="8"/>
  <c r="U344" i="8"/>
  <c r="U357" i="8"/>
  <c r="U163" i="8"/>
  <c r="AJ26" i="24"/>
  <c r="AM26" i="24" s="1"/>
  <c r="AI19" i="24"/>
  <c r="U82" i="8"/>
  <c r="U277" i="8"/>
  <c r="U390" i="8"/>
  <c r="U208" i="8"/>
  <c r="U130" i="8"/>
  <c r="U28" i="8"/>
  <c r="U329" i="8"/>
  <c r="U375" i="8"/>
  <c r="U343" i="8"/>
  <c r="U144" i="8"/>
  <c r="U113" i="8"/>
  <c r="U112" i="8"/>
  <c r="U297" i="8"/>
  <c r="U236" i="8"/>
  <c r="U360" i="8"/>
  <c r="U110" i="8"/>
  <c r="U285" i="8"/>
  <c r="U168" i="8"/>
  <c r="U368" i="8"/>
  <c r="U346" i="8"/>
  <c r="G8" i="23"/>
  <c r="U97" i="8"/>
  <c r="U279" i="8"/>
  <c r="U66" i="8"/>
  <c r="U214" i="8"/>
  <c r="U307" i="8"/>
  <c r="U179" i="8"/>
  <c r="U92" i="8"/>
  <c r="U90" i="8"/>
  <c r="U206" i="8"/>
  <c r="U378" i="8"/>
  <c r="U59" i="8"/>
  <c r="AG143" i="26"/>
  <c r="AJ30" i="23"/>
  <c r="AJ22" i="23" s="1"/>
  <c r="J7" i="28"/>
  <c r="U17" i="25"/>
  <c r="AG22" i="23"/>
  <c r="H5" i="23" s="1"/>
  <c r="U32" i="8"/>
  <c r="U29" i="8"/>
  <c r="I7" i="25"/>
  <c r="I4" i="22"/>
  <c r="J4" i="22" s="1"/>
  <c r="AG19" i="22"/>
  <c r="I7" i="22"/>
  <c r="J7" i="22" s="1"/>
  <c r="AL19" i="24"/>
  <c r="H6" i="24" s="1"/>
  <c r="AM24" i="24"/>
  <c r="AM27" i="24"/>
  <c r="X19" i="24"/>
  <c r="G6" i="24" s="1"/>
  <c r="AM33" i="24"/>
  <c r="V19" i="24"/>
  <c r="G4" i="24" s="1"/>
  <c r="AM21" i="24"/>
  <c r="AI22" i="23"/>
  <c r="I4" i="23"/>
  <c r="J4" i="23" s="1"/>
  <c r="AC19" i="9"/>
  <c r="I7" i="9"/>
  <c r="J7" i="9" s="1"/>
  <c r="I4" i="9"/>
  <c r="J4" i="9" s="1"/>
  <c r="U18" i="8"/>
  <c r="U40" i="8"/>
  <c r="U45" i="8"/>
  <c r="U31" i="8"/>
  <c r="U25" i="8"/>
  <c r="U41" i="8"/>
  <c r="U23" i="8"/>
  <c r="U43" i="8"/>
  <c r="U22" i="8"/>
  <c r="K17" i="8"/>
  <c r="G4" i="8" s="1"/>
  <c r="G7" i="8" s="1"/>
  <c r="U36" i="8"/>
  <c r="U33" i="8"/>
  <c r="U164" i="8"/>
  <c r="U180" i="8"/>
  <c r="U210" i="8"/>
  <c r="U258" i="8"/>
  <c r="U83" i="8"/>
  <c r="U256" i="8"/>
  <c r="U382" i="8"/>
  <c r="U98" i="8"/>
  <c r="U167" i="8"/>
  <c r="U203" i="8"/>
  <c r="U109" i="8"/>
  <c r="U39" i="8"/>
  <c r="U199" i="8"/>
  <c r="U94" i="8"/>
  <c r="U135" i="8"/>
  <c r="U134" i="8"/>
  <c r="U121" i="8"/>
  <c r="U62" i="8"/>
  <c r="U299" i="8"/>
  <c r="U96" i="8"/>
  <c r="U182" i="8"/>
  <c r="U189" i="8"/>
  <c r="U73" i="8"/>
  <c r="U397" i="8"/>
  <c r="U262" i="8"/>
  <c r="U70" i="8"/>
  <c r="U205" i="8"/>
  <c r="U198" i="8"/>
  <c r="U184" i="8"/>
  <c r="U114" i="8"/>
  <c r="U292" i="8"/>
  <c r="U141" i="8"/>
  <c r="U169" i="8"/>
  <c r="U171" i="8"/>
  <c r="U123" i="8"/>
  <c r="U400" i="8"/>
  <c r="U129" i="8"/>
  <c r="U332" i="8"/>
  <c r="U80" i="8"/>
  <c r="U213" i="8"/>
  <c r="U162" i="8"/>
  <c r="U228" i="8"/>
  <c r="U229" i="8"/>
  <c r="U195" i="8"/>
  <c r="U86" i="8"/>
  <c r="U323" i="8"/>
  <c r="U157" i="8"/>
  <c r="U255" i="8"/>
  <c r="U101" i="8"/>
  <c r="U37" i="8"/>
  <c r="U104" i="8"/>
  <c r="U116" i="8"/>
  <c r="U217" i="8"/>
  <c r="U250" i="8"/>
  <c r="U305" i="8"/>
  <c r="U216" i="8"/>
  <c r="U139" i="8"/>
  <c r="U63" i="8"/>
  <c r="U409" i="8"/>
  <c r="U273" i="8"/>
  <c r="U328" i="8"/>
  <c r="U155" i="8"/>
  <c r="U355" i="8"/>
  <c r="U335" i="8"/>
  <c r="U352" i="8"/>
  <c r="U240" i="8"/>
  <c r="U237" i="8"/>
  <c r="U44" i="8"/>
  <c r="U88" i="8"/>
  <c r="U304" i="8"/>
  <c r="U160" i="8"/>
  <c r="U106" i="8"/>
  <c r="U34" i="8"/>
  <c r="U42" i="8"/>
  <c r="U311" i="8"/>
  <c r="U103" i="8"/>
  <c r="U215" i="8"/>
  <c r="U60" i="8"/>
  <c r="U150" i="8"/>
  <c r="U373" i="8"/>
  <c r="U296" i="8"/>
  <c r="U105" i="8"/>
  <c r="U57" i="8"/>
  <c r="U87" i="8"/>
  <c r="U367" i="8"/>
  <c r="U209" i="8"/>
  <c r="U188" i="8"/>
  <c r="U93" i="8"/>
  <c r="U52" i="8"/>
  <c r="U201" i="8"/>
  <c r="U142" i="8"/>
  <c r="U261" i="8"/>
  <c r="U212" i="8"/>
  <c r="U191" i="8"/>
  <c r="U232" i="8"/>
  <c r="U394" i="8"/>
  <c r="U69" i="8"/>
  <c r="U186" i="8"/>
  <c r="U265" i="8"/>
  <c r="U226" i="8"/>
  <c r="U47" i="8"/>
  <c r="U132" i="8"/>
  <c r="U24" i="8"/>
  <c r="U145" i="8"/>
  <c r="U78" i="8"/>
  <c r="U219" i="8"/>
  <c r="U178" i="8"/>
  <c r="U147" i="8"/>
  <c r="U27" i="8"/>
  <c r="U51" i="8"/>
  <c r="U361" i="8"/>
  <c r="U326" i="8"/>
  <c r="U286" i="8"/>
  <c r="U26" i="8"/>
  <c r="U173" i="8"/>
  <c r="U152" i="8"/>
  <c r="U268" i="8"/>
  <c r="U264" i="8"/>
  <c r="U16" i="8"/>
  <c r="U124" i="8"/>
  <c r="U338" i="8"/>
  <c r="U117" i="8"/>
  <c r="U376" i="8"/>
  <c r="U119" i="8"/>
  <c r="S17" i="8"/>
  <c r="U21" i="8"/>
  <c r="AI73" i="26"/>
  <c r="U13" i="26"/>
  <c r="AC42" i="26"/>
  <c r="H11" i="1"/>
  <c r="H10" i="1"/>
  <c r="H9" i="1"/>
  <c r="H8" i="1"/>
  <c r="H7" i="1"/>
  <c r="G57" i="14"/>
  <c r="AJ19" i="24" l="1"/>
  <c r="H4" i="24" s="1"/>
  <c r="H6" i="28"/>
  <c r="G6" i="28"/>
  <c r="AY18" i="24"/>
  <c r="AK18" i="24" s="1"/>
  <c r="H6" i="25"/>
  <c r="AS18" i="24"/>
  <c r="W18" i="24" s="1"/>
  <c r="G6" i="25"/>
  <c r="I6" i="25" s="1"/>
  <c r="J6" i="25" s="1"/>
  <c r="H6" i="22"/>
  <c r="G6" i="22"/>
  <c r="H7" i="23"/>
  <c r="G7" i="23"/>
  <c r="I7" i="23" s="1"/>
  <c r="J7" i="23" s="1"/>
  <c r="H6" i="8"/>
  <c r="G6" i="8"/>
  <c r="H6" i="9"/>
  <c r="G6" i="9"/>
  <c r="J10" i="23"/>
  <c r="I5" i="23"/>
  <c r="J5" i="23" s="1"/>
  <c r="H8" i="23"/>
  <c r="I6" i="24"/>
  <c r="J6" i="24" s="1"/>
  <c r="J7" i="25"/>
  <c r="AM19" i="24"/>
  <c r="I4" i="24"/>
  <c r="J4" i="24" s="1"/>
  <c r="I8" i="23"/>
  <c r="J8" i="23" s="1"/>
  <c r="U17" i="8"/>
  <c r="I4" i="8"/>
  <c r="I7" i="8" s="1"/>
  <c r="H4" i="8"/>
  <c r="H7" i="8" s="1"/>
  <c r="O9" i="1"/>
  <c r="E56" i="14"/>
  <c r="D56" i="14"/>
  <c r="I6" i="22" l="1"/>
  <c r="J6" i="22" s="1"/>
  <c r="J6" i="8"/>
  <c r="K6" i="8"/>
  <c r="AN18" i="24"/>
  <c r="I6" i="28"/>
  <c r="I6" i="9"/>
  <c r="J6" i="9" s="1"/>
  <c r="J7" i="8"/>
  <c r="K7" i="8" s="1"/>
  <c r="J4" i="8"/>
  <c r="K4" i="8" s="1"/>
  <c r="F56" i="14"/>
  <c r="J6" i="28" l="1"/>
  <c r="C18" i="16"/>
  <c r="C17" i="16"/>
  <c r="C16" i="16"/>
  <c r="D15" i="16"/>
  <c r="C15" i="16"/>
  <c r="D14" i="16"/>
  <c r="C14" i="16"/>
  <c r="F49" i="14"/>
  <c r="F43" i="14"/>
  <c r="E29" i="14"/>
  <c r="E47" i="14"/>
  <c r="E25" i="14"/>
  <c r="F42" i="14"/>
  <c r="F25" i="14"/>
  <c r="D49" i="14"/>
  <c r="E49" i="14"/>
  <c r="D50" i="14"/>
  <c r="G26" i="14"/>
  <c r="D21" i="14"/>
  <c r="G25" i="14"/>
  <c r="D26" i="14"/>
  <c r="E50" i="14"/>
  <c r="D35" i="14"/>
  <c r="D28" i="14"/>
  <c r="F26" i="14"/>
  <c r="F28" i="14"/>
  <c r="F50" i="14"/>
  <c r="D20" i="14"/>
  <c r="E26" i="14"/>
  <c r="F29" i="14"/>
  <c r="D40" i="14"/>
  <c r="E43" i="14"/>
  <c r="D25" i="14"/>
  <c r="F40" i="14"/>
  <c r="D42" i="14"/>
  <c r="D18" i="14"/>
  <c r="D34" i="14"/>
  <c r="D29" i="14"/>
  <c r="F18" i="14"/>
  <c r="E40" i="14"/>
  <c r="G56" i="14"/>
  <c r="E21" i="14"/>
  <c r="F47" i="14"/>
  <c r="E20" i="14"/>
  <c r="E42" i="14"/>
  <c r="E28" i="14"/>
  <c r="E35" i="14"/>
  <c r="G40" i="14"/>
  <c r="F21" i="14"/>
  <c r="D43" i="14"/>
  <c r="E18" i="14"/>
  <c r="G47" i="14"/>
  <c r="E34" i="14"/>
  <c r="I30" i="4" l="1"/>
  <c r="H30" i="4"/>
  <c r="D30" i="4"/>
  <c r="I29" i="4"/>
  <c r="H29" i="4"/>
  <c r="D29" i="4"/>
  <c r="I28" i="4"/>
  <c r="H28" i="4"/>
  <c r="D28" i="4"/>
  <c r="I27" i="4"/>
  <c r="H27" i="4"/>
  <c r="D27" i="4"/>
  <c r="I26" i="4"/>
  <c r="H26" i="4"/>
  <c r="D26" i="4"/>
  <c r="I25" i="4"/>
  <c r="H25" i="4"/>
  <c r="Z4" i="23" s="1"/>
  <c r="Z5" i="23" s="1"/>
  <c r="D25" i="4"/>
  <c r="I24" i="4"/>
  <c r="H24" i="4"/>
  <c r="D24" i="4"/>
  <c r="I23" i="4"/>
  <c r="H23" i="4"/>
  <c r="D23" i="4"/>
  <c r="I22" i="4"/>
  <c r="H22" i="4"/>
  <c r="D22" i="4"/>
  <c r="I21" i="4"/>
  <c r="H21" i="4"/>
  <c r="D21" i="4"/>
  <c r="I20" i="4"/>
  <c r="H20" i="4"/>
  <c r="D20" i="4"/>
  <c r="I19" i="4"/>
  <c r="H19" i="4"/>
  <c r="D19" i="4"/>
  <c r="I18" i="4"/>
  <c r="H18" i="4"/>
  <c r="D18" i="4"/>
  <c r="I17" i="4"/>
  <c r="H17" i="4"/>
  <c r="D17" i="4"/>
  <c r="I16" i="4"/>
  <c r="H16" i="4"/>
  <c r="D16" i="4"/>
  <c r="I15" i="4"/>
  <c r="H15" i="4"/>
  <c r="Z6" i="23" s="1"/>
  <c r="D15" i="4"/>
  <c r="I14" i="4"/>
  <c r="H14" i="4"/>
  <c r="D14" i="4"/>
  <c r="I13" i="4"/>
  <c r="H13" i="4"/>
  <c r="D13" i="4"/>
  <c r="I12" i="4"/>
  <c r="H12" i="4"/>
  <c r="D12" i="4"/>
  <c r="I11" i="4"/>
  <c r="H11" i="4"/>
  <c r="D11" i="4"/>
  <c r="I10" i="4"/>
  <c r="H10" i="4"/>
  <c r="D10" i="4"/>
  <c r="I9" i="4"/>
  <c r="H9" i="4"/>
  <c r="D9" i="4"/>
  <c r="I8" i="4"/>
  <c r="H8" i="4"/>
  <c r="D8" i="4"/>
  <c r="I7" i="4"/>
  <c r="H7" i="4"/>
  <c r="D7" i="4"/>
  <c r="I6" i="4"/>
  <c r="H6" i="4"/>
  <c r="D6" i="4"/>
  <c r="I5" i="4"/>
  <c r="H5" i="4"/>
  <c r="D5" i="4"/>
  <c r="I4" i="4"/>
  <c r="H4" i="4"/>
  <c r="D4" i="4"/>
  <c r="I3" i="4"/>
  <c r="H3" i="4"/>
  <c r="D3" i="4"/>
  <c r="G43" i="14"/>
  <c r="F35" i="14"/>
  <c r="G20" i="14"/>
  <c r="E33" i="14"/>
  <c r="G21" i="14"/>
  <c r="G49" i="14"/>
  <c r="F20" i="14"/>
  <c r="G29" i="14"/>
  <c r="G28" i="14"/>
  <c r="F34" i="14"/>
  <c r="G18" i="14"/>
  <c r="D14" i="14"/>
  <c r="D33" i="14"/>
  <c r="G50" i="14"/>
  <c r="D11" i="14"/>
  <c r="D13" i="14"/>
  <c r="G42" i="14"/>
  <c r="G34" i="14"/>
  <c r="G35" i="14"/>
  <c r="R36" i="28" l="1"/>
  <c r="R29" i="28"/>
  <c r="R22" i="28"/>
  <c r="AV18" i="24"/>
  <c r="AJ18" i="24" s="1"/>
  <c r="R34" i="28"/>
  <c r="R27" i="28"/>
  <c r="R20" i="28"/>
  <c r="R33" i="28"/>
  <c r="R26" i="28"/>
  <c r="R19" i="28"/>
  <c r="R37" i="28"/>
  <c r="R24" i="28"/>
  <c r="R35" i="28"/>
  <c r="R23" i="28"/>
  <c r="AP18" i="24"/>
  <c r="V18" i="24" s="1"/>
  <c r="R28" i="28"/>
  <c r="R32" i="28"/>
  <c r="R31" i="28"/>
  <c r="R195" i="26"/>
  <c r="R30" i="28"/>
  <c r="R25" i="28"/>
  <c r="R21" i="28"/>
  <c r="R18" i="28"/>
  <c r="R16" i="28"/>
  <c r="K41" i="25"/>
  <c r="V41" i="25" s="1"/>
  <c r="K20" i="28"/>
  <c r="T20" i="28" s="1"/>
  <c r="K35" i="25"/>
  <c r="V35" i="25" s="1"/>
  <c r="K28" i="28"/>
  <c r="T28" i="28" s="1"/>
  <c r="R18" i="22"/>
  <c r="K42" i="25"/>
  <c r="R26" i="9"/>
  <c r="T45" i="25"/>
  <c r="R38" i="9"/>
  <c r="AD38" i="9" s="1"/>
  <c r="K44" i="25"/>
  <c r="K20" i="25"/>
  <c r="K37" i="25"/>
  <c r="K34" i="25"/>
  <c r="K39" i="25"/>
  <c r="K19" i="25"/>
  <c r="V19" i="25" s="1"/>
  <c r="K23" i="25"/>
  <c r="K21" i="25"/>
  <c r="V21" i="25" s="1"/>
  <c r="T47" i="25"/>
  <c r="T48" i="25"/>
  <c r="K33" i="25"/>
  <c r="K16" i="28"/>
  <c r="T16" i="28" s="1"/>
  <c r="T35" i="25"/>
  <c r="K30" i="28"/>
  <c r="T30" i="28" s="1"/>
  <c r="T28" i="25"/>
  <c r="K21" i="28"/>
  <c r="K36" i="25"/>
  <c r="K54" i="25"/>
  <c r="T60" i="25"/>
  <c r="K34" i="28"/>
  <c r="K53" i="25"/>
  <c r="V53" i="25" s="1"/>
  <c r="K16" i="25"/>
  <c r="T55" i="25"/>
  <c r="K48" i="25"/>
  <c r="V48" i="25" s="1"/>
  <c r="T59" i="25"/>
  <c r="T53" i="25"/>
  <c r="T38" i="25"/>
  <c r="K40" i="25"/>
  <c r="V40" i="25" s="1"/>
  <c r="T58" i="25"/>
  <c r="K30" i="25"/>
  <c r="V30" i="25" s="1"/>
  <c r="K33" i="28"/>
  <c r="T33" i="28" s="1"/>
  <c r="K32" i="25"/>
  <c r="K29" i="25"/>
  <c r="R34" i="9"/>
  <c r="AD34" i="9" s="1"/>
  <c r="T56" i="25"/>
  <c r="K64" i="25"/>
  <c r="T23" i="25"/>
  <c r="K67" i="25"/>
  <c r="T42" i="25"/>
  <c r="R29" i="22"/>
  <c r="K57" i="25"/>
  <c r="V57" i="25" s="1"/>
  <c r="K26" i="25"/>
  <c r="V26" i="25" s="1"/>
  <c r="K25" i="28"/>
  <c r="T31" i="25"/>
  <c r="K62" i="25"/>
  <c r="V62" i="25" s="1"/>
  <c r="T30" i="25"/>
  <c r="T19" i="25"/>
  <c r="K51" i="25"/>
  <c r="K22" i="25"/>
  <c r="V22" i="25" s="1"/>
  <c r="K35" i="28"/>
  <c r="T35" i="28" s="1"/>
  <c r="K50" i="25"/>
  <c r="V50" i="25" s="1"/>
  <c r="K61" i="25"/>
  <c r="V61" i="25" s="1"/>
  <c r="K60" i="25"/>
  <c r="T44" i="25"/>
  <c r="T52" i="25"/>
  <c r="K24" i="25"/>
  <c r="V24" i="25" s="1"/>
  <c r="K18" i="28"/>
  <c r="K22" i="28"/>
  <c r="K31" i="25"/>
  <c r="V31" i="25" s="1"/>
  <c r="R22" i="9"/>
  <c r="K23" i="28"/>
  <c r="T49" i="25"/>
  <c r="R20" i="9"/>
  <c r="T43" i="25"/>
  <c r="T36" i="25"/>
  <c r="K63" i="25"/>
  <c r="K49" i="25"/>
  <c r="K59" i="25"/>
  <c r="V59" i="25" s="1"/>
  <c r="K28" i="25"/>
  <c r="V28" i="25" s="1"/>
  <c r="K56" i="25"/>
  <c r="V56" i="25" s="1"/>
  <c r="K58" i="25"/>
  <c r="V58" i="25" s="1"/>
  <c r="K37" i="28"/>
  <c r="R24" i="22"/>
  <c r="AH24" i="22" s="1"/>
  <c r="K52" i="25"/>
  <c r="R27" i="9"/>
  <c r="K65" i="25"/>
  <c r="T57" i="25"/>
  <c r="K46" i="25"/>
  <c r="V46" i="25" s="1"/>
  <c r="K25" i="25"/>
  <c r="V25" i="25" s="1"/>
  <c r="K43" i="25"/>
  <c r="K45" i="25"/>
  <c r="R24" i="9"/>
  <c r="T24" i="25"/>
  <c r="T29" i="25"/>
  <c r="K66" i="25"/>
  <c r="T25" i="25"/>
  <c r="AB30" i="9"/>
  <c r="R20" i="22"/>
  <c r="T39" i="25"/>
  <c r="K29" i="28"/>
  <c r="T29" i="28" s="1"/>
  <c r="T50" i="25"/>
  <c r="K38" i="25"/>
  <c r="V38" i="25" s="1"/>
  <c r="K27" i="25"/>
  <c r="V27" i="25" s="1"/>
  <c r="T63" i="25"/>
  <c r="K19" i="28"/>
  <c r="K36" i="28"/>
  <c r="T36" i="28" s="1"/>
  <c r="K18" i="25"/>
  <c r="K55" i="25"/>
  <c r="K26" i="28"/>
  <c r="K24" i="28"/>
  <c r="T46" i="25"/>
  <c r="T61" i="25"/>
  <c r="R39" i="9"/>
  <c r="AD39" i="9" s="1"/>
  <c r="T32" i="25"/>
  <c r="T40" i="25"/>
  <c r="T34" i="25"/>
  <c r="K31" i="28"/>
  <c r="T31" i="28" s="1"/>
  <c r="K47" i="25"/>
  <c r="K27" i="28"/>
  <c r="T27" i="28" s="1"/>
  <c r="T22" i="25"/>
  <c r="T51" i="25"/>
  <c r="T64" i="25"/>
  <c r="T62" i="25"/>
  <c r="K32" i="28"/>
  <c r="T26" i="25"/>
  <c r="L136" i="8"/>
  <c r="L400" i="8"/>
  <c r="L417" i="8"/>
  <c r="V417" i="8" s="1"/>
  <c r="L339" i="8"/>
  <c r="V339" i="8" s="1"/>
  <c r="T363" i="8"/>
  <c r="T378" i="8"/>
  <c r="T187" i="8"/>
  <c r="L353" i="8"/>
  <c r="T404" i="8"/>
  <c r="L218" i="8"/>
  <c r="V218" i="8" s="1"/>
  <c r="L388" i="8"/>
  <c r="V388" i="8" s="1"/>
  <c r="T229" i="8"/>
  <c r="T263" i="8"/>
  <c r="T120" i="8"/>
  <c r="L46" i="8"/>
  <c r="AH41" i="23"/>
  <c r="T181" i="8"/>
  <c r="U27" i="23"/>
  <c r="AK27" i="23" s="1"/>
  <c r="T316" i="8"/>
  <c r="L413" i="8"/>
  <c r="V413" i="8" s="1"/>
  <c r="T270" i="8"/>
  <c r="AB25" i="9"/>
  <c r="L49" i="8"/>
  <c r="V49" i="8" s="1"/>
  <c r="T221" i="8"/>
  <c r="T23" i="8"/>
  <c r="L389" i="8"/>
  <c r="L271" i="8"/>
  <c r="V271" i="8" s="1"/>
  <c r="L302" i="8"/>
  <c r="AH37" i="23"/>
  <c r="L276" i="8"/>
  <c r="AH40" i="23"/>
  <c r="R25" i="9"/>
  <c r="AD25" i="9" s="1"/>
  <c r="T131" i="8"/>
  <c r="T160" i="8"/>
  <c r="L148" i="8"/>
  <c r="T254" i="8"/>
  <c r="T366" i="8"/>
  <c r="T230" i="8"/>
  <c r="U42" i="23"/>
  <c r="AK42" i="23" s="1"/>
  <c r="L230" i="8"/>
  <c r="U40" i="23"/>
  <c r="T350" i="8"/>
  <c r="L402" i="8"/>
  <c r="AB32" i="9"/>
  <c r="L279" i="8"/>
  <c r="V279" i="8" s="1"/>
  <c r="AF20" i="22"/>
  <c r="AF27" i="22"/>
  <c r="T253" i="8"/>
  <c r="L97" i="8"/>
  <c r="AB38" i="9"/>
  <c r="T313" i="8"/>
  <c r="AF29" i="22"/>
  <c r="T62" i="8"/>
  <c r="AH29" i="23"/>
  <c r="AK29" i="23" s="1"/>
  <c r="T74" i="8"/>
  <c r="T110" i="8"/>
  <c r="L220" i="8"/>
  <c r="T244" i="8"/>
  <c r="R23" i="9"/>
  <c r="AD23" i="9" s="1"/>
  <c r="L40" i="8"/>
  <c r="V40" i="8" s="1"/>
  <c r="L377" i="8"/>
  <c r="V377" i="8" s="1"/>
  <c r="L187" i="8"/>
  <c r="V187" i="8" s="1"/>
  <c r="T387" i="8"/>
  <c r="L204" i="8"/>
  <c r="AB27" i="9"/>
  <c r="T211" i="8"/>
  <c r="T309" i="8"/>
  <c r="L211" i="8"/>
  <c r="T339" i="8"/>
  <c r="L234" i="8"/>
  <c r="T269" i="8"/>
  <c r="L82" i="8"/>
  <c r="V82" i="8" s="1"/>
  <c r="AH42" i="23"/>
  <c r="T76" i="8"/>
  <c r="L387" i="8"/>
  <c r="V387" i="8" s="1"/>
  <c r="L221" i="8"/>
  <c r="V221" i="8" s="1"/>
  <c r="L403" i="8"/>
  <c r="T227" i="8"/>
  <c r="AF21" i="22"/>
  <c r="T284" i="8"/>
  <c r="L30" i="8"/>
  <c r="V30" i="8" s="1"/>
  <c r="T288" i="8"/>
  <c r="L267" i="8"/>
  <c r="T125" i="8"/>
  <c r="L412" i="8"/>
  <c r="L263" i="8"/>
  <c r="V263" i="8" s="1"/>
  <c r="T56" i="8"/>
  <c r="L239" i="8"/>
  <c r="V239" i="8" s="1"/>
  <c r="U34" i="23"/>
  <c r="AK34" i="23" s="1"/>
  <c r="T365" i="8"/>
  <c r="AH39" i="23"/>
  <c r="T407" i="8"/>
  <c r="L48" i="8"/>
  <c r="V48" i="8" s="1"/>
  <c r="L253" i="8"/>
  <c r="AB33" i="9"/>
  <c r="L285" i="8"/>
  <c r="AF24" i="22"/>
  <c r="L20" i="8"/>
  <c r="V20" i="8" s="1"/>
  <c r="T121" i="8"/>
  <c r="U33" i="23"/>
  <c r="T329" i="8"/>
  <c r="R23" i="22"/>
  <c r="L67" i="8"/>
  <c r="V67" i="8" s="1"/>
  <c r="U28" i="23"/>
  <c r="AK28" i="23" s="1"/>
  <c r="T233" i="8"/>
  <c r="T330" i="8"/>
  <c r="L375" i="8"/>
  <c r="V375" i="8" s="1"/>
  <c r="L244" i="8"/>
  <c r="V244" i="8" s="1"/>
  <c r="R30" i="9"/>
  <c r="AD30" i="9" s="1"/>
  <c r="AH38" i="23"/>
  <c r="L105" i="8"/>
  <c r="V105" i="8" s="1"/>
  <c r="L393" i="8"/>
  <c r="L227" i="8"/>
  <c r="V227" i="8" s="1"/>
  <c r="T21" i="25"/>
  <c r="AH27" i="23"/>
  <c r="AH35" i="23"/>
  <c r="L411" i="8"/>
  <c r="V411" i="8" s="1"/>
  <c r="T44" i="8"/>
  <c r="T179" i="8"/>
  <c r="T390" i="8"/>
  <c r="L168" i="8"/>
  <c r="L18" i="8"/>
  <c r="T345" i="8"/>
  <c r="R35" i="9"/>
  <c r="T64" i="8"/>
  <c r="L272" i="8"/>
  <c r="V272" i="8" s="1"/>
  <c r="AF26" i="22"/>
  <c r="T239" i="8"/>
  <c r="T27" i="25"/>
  <c r="T374" i="8"/>
  <c r="T65" i="25"/>
  <c r="L270" i="8"/>
  <c r="V270" i="8" s="1"/>
  <c r="AB34" i="9"/>
  <c r="T301" i="8"/>
  <c r="L33" i="8"/>
  <c r="T176" i="8"/>
  <c r="L291" i="8"/>
  <c r="V291" i="8" s="1"/>
  <c r="L280" i="8"/>
  <c r="T409" i="8"/>
  <c r="T35" i="8"/>
  <c r="T344" i="8"/>
  <c r="R27" i="22"/>
  <c r="L84" i="8"/>
  <c r="K195" i="26"/>
  <c r="T308" i="8"/>
  <c r="L345" i="8"/>
  <c r="V345" i="8" s="1"/>
  <c r="T266" i="8"/>
  <c r="T368" i="8"/>
  <c r="T155" i="8"/>
  <c r="T275" i="8"/>
  <c r="AB24" i="9"/>
  <c r="L324" i="8"/>
  <c r="T128" i="8"/>
  <c r="T210" i="8"/>
  <c r="T417" i="8"/>
  <c r="L74" i="8"/>
  <c r="V74" i="8" s="1"/>
  <c r="T29" i="8"/>
  <c r="T189" i="8"/>
  <c r="L100" i="8"/>
  <c r="V100" i="8" s="1"/>
  <c r="T298" i="8"/>
  <c r="L246" i="8"/>
  <c r="T79" i="8"/>
  <c r="T294" i="8"/>
  <c r="R37" i="9"/>
  <c r="AD37" i="9" s="1"/>
  <c r="L59" i="8"/>
  <c r="V59" i="8" s="1"/>
  <c r="T287" i="8"/>
  <c r="L19" i="8"/>
  <c r="V19" i="8" s="1"/>
  <c r="L288" i="8"/>
  <c r="V288" i="8" s="1"/>
  <c r="T19" i="8"/>
  <c r="T389" i="8"/>
  <c r="T47" i="8"/>
  <c r="T413" i="8"/>
  <c r="U21" i="23"/>
  <c r="L337" i="8"/>
  <c r="V337" i="8" s="1"/>
  <c r="T55" i="8"/>
  <c r="L21" i="8"/>
  <c r="L102" i="8"/>
  <c r="V102" i="8" s="1"/>
  <c r="T139" i="8"/>
  <c r="T324" i="8"/>
  <c r="L125" i="8"/>
  <c r="L111" i="8"/>
  <c r="T104" i="8"/>
  <c r="L363" i="8"/>
  <c r="L320" i="8"/>
  <c r="L181" i="8"/>
  <c r="V181" i="8" s="1"/>
  <c r="L284" i="8"/>
  <c r="L87" i="8"/>
  <c r="T317" i="8"/>
  <c r="AH32" i="23"/>
  <c r="T213" i="8"/>
  <c r="L79" i="8"/>
  <c r="V79" i="8" s="1"/>
  <c r="T95" i="8"/>
  <c r="L325" i="8"/>
  <c r="V325" i="8" s="1"/>
  <c r="L319" i="8"/>
  <c r="L99" i="8"/>
  <c r="T319" i="8"/>
  <c r="T91" i="8"/>
  <c r="T351" i="8"/>
  <c r="T65" i="8"/>
  <c r="AB21" i="9"/>
  <c r="T183" i="8"/>
  <c r="AH36" i="23"/>
  <c r="T393" i="8"/>
  <c r="T385" i="8"/>
  <c r="L348" i="8"/>
  <c r="V348" i="8" s="1"/>
  <c r="T281" i="8"/>
  <c r="T300" i="8"/>
  <c r="T107" i="8"/>
  <c r="L364" i="8"/>
  <c r="V364" i="8" s="1"/>
  <c r="L174" i="8"/>
  <c r="T318" i="8"/>
  <c r="T204" i="8"/>
  <c r="T391" i="8"/>
  <c r="L190" i="8"/>
  <c r="T331" i="8"/>
  <c r="L31" i="8"/>
  <c r="V31" i="8" s="1"/>
  <c r="T18" i="25"/>
  <c r="U31" i="23"/>
  <c r="L366" i="8"/>
  <c r="V366" i="8" s="1"/>
  <c r="L259" i="8"/>
  <c r="T215" i="8"/>
  <c r="T355" i="8"/>
  <c r="T347" i="8"/>
  <c r="T410" i="8"/>
  <c r="U37" i="23"/>
  <c r="AK37" i="23" s="1"/>
  <c r="L25" i="8"/>
  <c r="T67" i="25"/>
  <c r="L158" i="8"/>
  <c r="V158" i="8" s="1"/>
  <c r="L396" i="8"/>
  <c r="V396" i="8" s="1"/>
  <c r="R22" i="22"/>
  <c r="L222" i="8"/>
  <c r="V222" i="8" s="1"/>
  <c r="L61" i="8"/>
  <c r="T370" i="8"/>
  <c r="T415" i="8"/>
  <c r="T37" i="8"/>
  <c r="L39" i="8"/>
  <c r="T334" i="8"/>
  <c r="T315" i="8"/>
  <c r="T224" i="8"/>
  <c r="T392" i="8"/>
  <c r="T354" i="8"/>
  <c r="L91" i="8"/>
  <c r="V91" i="8" s="1"/>
  <c r="L308" i="8"/>
  <c r="V308" i="8" s="1"/>
  <c r="L117" i="8"/>
  <c r="V117" i="8" s="1"/>
  <c r="L224" i="8"/>
  <c r="V224" i="8" s="1"/>
  <c r="T357" i="8"/>
  <c r="T214" i="8"/>
  <c r="AH34" i="23"/>
  <c r="AH26" i="23"/>
  <c r="L45" i="8"/>
  <c r="U35" i="23"/>
  <c r="L399" i="8"/>
  <c r="V399" i="8" s="1"/>
  <c r="T154" i="8"/>
  <c r="T333" i="8"/>
  <c r="T140" i="8"/>
  <c r="L129" i="8"/>
  <c r="L197" i="8"/>
  <c r="L154" i="8"/>
  <c r="V154" i="8" s="1"/>
  <c r="L54" i="8"/>
  <c r="L66" i="8"/>
  <c r="L408" i="8"/>
  <c r="AF22" i="22"/>
  <c r="L133" i="8"/>
  <c r="V133" i="8" s="1"/>
  <c r="L36" i="8"/>
  <c r="T386" i="8"/>
  <c r="R18" i="9"/>
  <c r="L122" i="8"/>
  <c r="L50" i="8"/>
  <c r="V50" i="8" s="1"/>
  <c r="T161" i="8"/>
  <c r="L93" i="8"/>
  <c r="V93" i="8" s="1"/>
  <c r="L138" i="8"/>
  <c r="V138" i="8" s="1"/>
  <c r="AF28" i="22"/>
  <c r="L414" i="8"/>
  <c r="T41" i="25"/>
  <c r="T193" i="8"/>
  <c r="L58" i="8"/>
  <c r="L137" i="8"/>
  <c r="V137" i="8" s="1"/>
  <c r="T68" i="8"/>
  <c r="T100" i="8"/>
  <c r="T348" i="8"/>
  <c r="T260" i="8"/>
  <c r="T159" i="8"/>
  <c r="T314" i="8"/>
  <c r="T306" i="8"/>
  <c r="L294" i="8"/>
  <c r="V294" i="8" s="1"/>
  <c r="T205" i="8"/>
  <c r="T146" i="8"/>
  <c r="AB23" i="9"/>
  <c r="T118" i="8"/>
  <c r="AB35" i="9"/>
  <c r="L75" i="8"/>
  <c r="T377" i="8"/>
  <c r="T272" i="8"/>
  <c r="L354" i="8"/>
  <c r="T167" i="8"/>
  <c r="T383" i="8"/>
  <c r="T54" i="8"/>
  <c r="L287" i="8"/>
  <c r="V287" i="8" s="1"/>
  <c r="T16" i="25"/>
  <c r="L223" i="8"/>
  <c r="V223" i="8" s="1"/>
  <c r="L68" i="8"/>
  <c r="V68" i="8" s="1"/>
  <c r="L303" i="8"/>
  <c r="T137" i="8"/>
  <c r="T157" i="8"/>
  <c r="T54" i="25"/>
  <c r="U38" i="23"/>
  <c r="AK38" i="23" s="1"/>
  <c r="AB31" i="9"/>
  <c r="T48" i="8"/>
  <c r="T380" i="8"/>
  <c r="T109" i="8"/>
  <c r="AB18" i="9"/>
  <c r="AH33" i="23"/>
  <c r="T223" i="8"/>
  <c r="U32" i="23"/>
  <c r="AK32" i="23" s="1"/>
  <c r="T175" i="8"/>
  <c r="L94" i="8"/>
  <c r="T20" i="25"/>
  <c r="R21" i="9"/>
  <c r="AD21" i="9" s="1"/>
  <c r="T293" i="8"/>
  <c r="AB28" i="9"/>
  <c r="T416" i="8"/>
  <c r="L64" i="8"/>
  <c r="V64" i="8" s="1"/>
  <c r="T349" i="8"/>
  <c r="T343" i="8"/>
  <c r="L235" i="8"/>
  <c r="T303" i="8"/>
  <c r="T212" i="8"/>
  <c r="T207" i="8"/>
  <c r="T66" i="25"/>
  <c r="AH23" i="23"/>
  <c r="AB29" i="9"/>
  <c r="T101" i="8"/>
  <c r="T164" i="8"/>
  <c r="AB39" i="9"/>
  <c r="T163" i="8"/>
  <c r="T194" i="8"/>
  <c r="T149" i="8"/>
  <c r="L300" i="8"/>
  <c r="AF18" i="22"/>
  <c r="L372" i="8"/>
  <c r="V372" i="8" s="1"/>
  <c r="T362" i="8"/>
  <c r="T136" i="8"/>
  <c r="T219" i="8"/>
  <c r="L283" i="8"/>
  <c r="L166" i="8"/>
  <c r="T200" i="8"/>
  <c r="L41" i="8"/>
  <c r="V41" i="8" s="1"/>
  <c r="L147" i="8"/>
  <c r="L51" i="8"/>
  <c r="V51" i="8" s="1"/>
  <c r="T89" i="8"/>
  <c r="T388" i="8"/>
  <c r="L392" i="8"/>
  <c r="V392" i="8" s="1"/>
  <c r="L349" i="8"/>
  <c r="V349" i="8" s="1"/>
  <c r="T72" i="8"/>
  <c r="T359" i="8"/>
  <c r="T320" i="8"/>
  <c r="L252" i="8"/>
  <c r="V252" i="8" s="1"/>
  <c r="AH24" i="23"/>
  <c r="L127" i="8"/>
  <c r="AB20" i="9"/>
  <c r="L316" i="8"/>
  <c r="V316" i="8" s="1"/>
  <c r="T165" i="8"/>
  <c r="T172" i="8"/>
  <c r="T152" i="8"/>
  <c r="R33" i="9"/>
  <c r="T196" i="8"/>
  <c r="L350" i="8"/>
  <c r="V350" i="8" s="1"/>
  <c r="T38" i="8"/>
  <c r="L238" i="8"/>
  <c r="V238" i="8" s="1"/>
  <c r="T209" i="8"/>
  <c r="AB22" i="9"/>
  <c r="T245" i="8"/>
  <c r="L256" i="8"/>
  <c r="T290" i="8"/>
  <c r="T192" i="8"/>
  <c r="U39" i="23"/>
  <c r="T252" i="8"/>
  <c r="T85" i="8"/>
  <c r="T26" i="8"/>
  <c r="R32" i="9"/>
  <c r="AD32" i="9" s="1"/>
  <c r="T372" i="8"/>
  <c r="T406" i="8"/>
  <c r="T356" i="8"/>
  <c r="R26" i="22"/>
  <c r="AH26" i="22" s="1"/>
  <c r="L151" i="8"/>
  <c r="L251" i="8"/>
  <c r="T112" i="8"/>
  <c r="L260" i="8"/>
  <c r="V260" i="8" s="1"/>
  <c r="L131" i="8"/>
  <c r="V131" i="8" s="1"/>
  <c r="L28" i="8"/>
  <c r="L334" i="8"/>
  <c r="V334" i="8" s="1"/>
  <c r="L141" i="8"/>
  <c r="T208" i="8"/>
  <c r="L269" i="8"/>
  <c r="V269" i="8" s="1"/>
  <c r="T98" i="8"/>
  <c r="L161" i="8"/>
  <c r="V161" i="8" s="1"/>
  <c r="T405" i="8"/>
  <c r="U24" i="23"/>
  <c r="AK24" i="23" s="1"/>
  <c r="L231" i="8"/>
  <c r="V231" i="8" s="1"/>
  <c r="L202" i="8"/>
  <c r="L196" i="8"/>
  <c r="V196" i="8" s="1"/>
  <c r="AF23" i="22"/>
  <c r="T395" i="8"/>
  <c r="T73" i="8"/>
  <c r="R21" i="22"/>
  <c r="L92" i="8"/>
  <c r="V92" i="8" s="1"/>
  <c r="T340" i="8"/>
  <c r="T173" i="8"/>
  <c r="L277" i="8"/>
  <c r="V277" i="8" s="1"/>
  <c r="T302" i="8"/>
  <c r="L281" i="8"/>
  <c r="V281" i="8" s="1"/>
  <c r="T341" i="8"/>
  <c r="T143" i="8"/>
  <c r="T358" i="8"/>
  <c r="L130" i="8"/>
  <c r="V130" i="8" s="1"/>
  <c r="T190" i="8"/>
  <c r="L81" i="8"/>
  <c r="V81" i="8" s="1"/>
  <c r="U25" i="23"/>
  <c r="U26" i="23"/>
  <c r="R36" i="9"/>
  <c r="L120" i="8"/>
  <c r="L370" i="8"/>
  <c r="L248" i="8"/>
  <c r="T13" i="26"/>
  <c r="L22" i="8"/>
  <c r="V22" i="8" s="1"/>
  <c r="T322" i="8"/>
  <c r="R28" i="22"/>
  <c r="L406" i="8"/>
  <c r="R31" i="9"/>
  <c r="AD31" i="9" s="1"/>
  <c r="T248" i="8"/>
  <c r="T342" i="8"/>
  <c r="L107" i="8"/>
  <c r="V107" i="8" s="1"/>
  <c r="L172" i="8"/>
  <c r="V172" i="8" s="1"/>
  <c r="AB37" i="9"/>
  <c r="L72" i="8"/>
  <c r="L374" i="8"/>
  <c r="L306" i="8"/>
  <c r="AH31" i="23"/>
  <c r="L90" i="8"/>
  <c r="V90" i="8" s="1"/>
  <c r="AF25" i="22"/>
  <c r="L65" i="8"/>
  <c r="V65" i="8" s="1"/>
  <c r="L282" i="8"/>
  <c r="L381" i="8"/>
  <c r="AB26" i="9"/>
  <c r="AH21" i="23"/>
  <c r="T396" i="8"/>
  <c r="T251" i="8"/>
  <c r="L140" i="8"/>
  <c r="T307" i="8"/>
  <c r="T297" i="8"/>
  <c r="T353" i="8"/>
  <c r="L57" i="8"/>
  <c r="U23" i="23"/>
  <c r="T127" i="8"/>
  <c r="T177" i="8"/>
  <c r="U36" i="23"/>
  <c r="L153" i="8"/>
  <c r="T186" i="8"/>
  <c r="T53" i="8"/>
  <c r="T32" i="8"/>
  <c r="L249" i="8"/>
  <c r="L149" i="8"/>
  <c r="V149" i="8" s="1"/>
  <c r="T184" i="8"/>
  <c r="T37" i="25"/>
  <c r="T325" i="8"/>
  <c r="T166" i="8"/>
  <c r="T249" i="8"/>
  <c r="L43" i="8"/>
  <c r="V43" i="8" s="1"/>
  <c r="L405" i="8"/>
  <c r="T379" i="8"/>
  <c r="U41" i="23"/>
  <c r="AK41" i="23" s="1"/>
  <c r="AH25" i="23"/>
  <c r="T328" i="8"/>
  <c r="L115" i="8"/>
  <c r="T80" i="8"/>
  <c r="T145" i="8"/>
  <c r="L352" i="8"/>
  <c r="L358" i="8"/>
  <c r="V358" i="8" s="1"/>
  <c r="R28" i="9"/>
  <c r="AD28" i="9" s="1"/>
  <c r="L143" i="8"/>
  <c r="V143" i="8" s="1"/>
  <c r="L170" i="8"/>
  <c r="V170" i="8" s="1"/>
  <c r="T381" i="8"/>
  <c r="AH28" i="23"/>
  <c r="T116" i="8"/>
  <c r="T337" i="8"/>
  <c r="T33" i="25"/>
  <c r="L123" i="8"/>
  <c r="V123" i="8" s="1"/>
  <c r="L247" i="8"/>
  <c r="T158" i="8"/>
  <c r="L365" i="8"/>
  <c r="T134" i="8"/>
  <c r="T217" i="8"/>
  <c r="R25" i="22"/>
  <c r="T77" i="8"/>
  <c r="T197" i="8"/>
  <c r="L312" i="8"/>
  <c r="V312" i="8" s="1"/>
  <c r="AB36" i="9"/>
  <c r="L225" i="8"/>
  <c r="L185" i="8"/>
  <c r="T371" i="8"/>
  <c r="L69" i="8"/>
  <c r="V69" i="8" s="1"/>
  <c r="T364" i="8"/>
  <c r="L347" i="8"/>
  <c r="V347" i="8" s="1"/>
  <c r="T398" i="8"/>
  <c r="L85" i="8"/>
  <c r="L76" i="8"/>
  <c r="L89" i="8"/>
  <c r="V89" i="8" s="1"/>
  <c r="U30" i="23"/>
  <c r="AK30" i="23" s="1"/>
  <c r="L243" i="8"/>
  <c r="V243" i="8" s="1"/>
  <c r="R29" i="9"/>
  <c r="AD29" i="9" s="1"/>
  <c r="T103" i="8"/>
  <c r="T299" i="8"/>
  <c r="L191" i="8"/>
  <c r="T191" i="8"/>
  <c r="T327" i="8"/>
  <c r="T50" i="8"/>
  <c r="L182" i="8"/>
  <c r="U73" i="26"/>
  <c r="T201" i="8"/>
  <c r="L305" i="8"/>
  <c r="T185" i="8"/>
  <c r="L193" i="8"/>
  <c r="V193" i="8" s="1"/>
  <c r="L232" i="8"/>
  <c r="V232" i="8" s="1"/>
  <c r="L73" i="8"/>
  <c r="V73" i="8" s="1"/>
  <c r="L338" i="8"/>
  <c r="V338" i="8" s="1"/>
  <c r="T332" i="8"/>
  <c r="L380" i="8"/>
  <c r="V380" i="8" s="1"/>
  <c r="T88" i="8"/>
  <c r="L329" i="8"/>
  <c r="V329" i="8" s="1"/>
  <c r="L241" i="8"/>
  <c r="T66" i="8"/>
  <c r="T16" i="8"/>
  <c r="L110" i="8"/>
  <c r="L96" i="8"/>
  <c r="T256" i="8"/>
  <c r="T97" i="8"/>
  <c r="T141" i="8"/>
  <c r="T36" i="8"/>
  <c r="L289" i="8"/>
  <c r="V289" i="8" s="1"/>
  <c r="L404" i="8"/>
  <c r="T282" i="8"/>
  <c r="L409" i="8"/>
  <c r="V409" i="8" s="1"/>
  <c r="T321" i="8"/>
  <c r="T108" i="8"/>
  <c r="L80" i="8"/>
  <c r="V80" i="8" s="1"/>
  <c r="T81" i="8"/>
  <c r="L134" i="8"/>
  <c r="V134" i="8" s="1"/>
  <c r="L201" i="8"/>
  <c r="V201" i="8" s="1"/>
  <c r="L83" i="8"/>
  <c r="V83" i="8" s="1"/>
  <c r="T69" i="8"/>
  <c r="L356" i="8"/>
  <c r="V356" i="8" s="1"/>
  <c r="L135" i="8"/>
  <c r="T258" i="8"/>
  <c r="L183" i="8"/>
  <c r="L142" i="8"/>
  <c r="T295" i="8"/>
  <c r="L361" i="8"/>
  <c r="V361" i="8" s="1"/>
  <c r="L351" i="8"/>
  <c r="L264" i="8"/>
  <c r="L179" i="8"/>
  <c r="V179" i="8" s="1"/>
  <c r="T92" i="8"/>
  <c r="L101" i="8"/>
  <c r="L368" i="8"/>
  <c r="V368" i="8" s="1"/>
  <c r="T129" i="8"/>
  <c r="L332" i="8"/>
  <c r="V332" i="8" s="1"/>
  <c r="L373" i="8"/>
  <c r="V373" i="8" s="1"/>
  <c r="L206" i="8"/>
  <c r="T51" i="8"/>
  <c r="L355" i="8"/>
  <c r="V355" i="8" s="1"/>
  <c r="L194" i="8"/>
  <c r="V194" i="8" s="1"/>
  <c r="L52" i="8"/>
  <c r="V52" i="8" s="1"/>
  <c r="T102" i="8"/>
  <c r="T22" i="8"/>
  <c r="L114" i="8"/>
  <c r="T292" i="8"/>
  <c r="L55" i="8"/>
  <c r="V55" i="8" s="1"/>
  <c r="T273" i="8"/>
  <c r="L95" i="8"/>
  <c r="V95" i="8" s="1"/>
  <c r="L175" i="8"/>
  <c r="V175" i="8" s="1"/>
  <c r="L38" i="8"/>
  <c r="V38" i="8" s="1"/>
  <c r="L415" i="8"/>
  <c r="L341" i="8"/>
  <c r="T277" i="8"/>
  <c r="L178" i="8"/>
  <c r="V178" i="8" s="1"/>
  <c r="L384" i="8"/>
  <c r="V384" i="8" s="1"/>
  <c r="T240" i="8"/>
  <c r="L390" i="8"/>
  <c r="V390" i="8" s="1"/>
  <c r="T52" i="8"/>
  <c r="T375" i="8"/>
  <c r="L330" i="8"/>
  <c r="V330" i="8" s="1"/>
  <c r="L203" i="8"/>
  <c r="L152" i="8"/>
  <c r="V152" i="8" s="1"/>
  <c r="T367" i="8"/>
  <c r="L104" i="8"/>
  <c r="V104" i="8" s="1"/>
  <c r="T71" i="8"/>
  <c r="T105" i="8"/>
  <c r="L410" i="8"/>
  <c r="V410" i="8" s="1"/>
  <c r="T67" i="8"/>
  <c r="T63" i="8"/>
  <c r="T311" i="8"/>
  <c r="T247" i="8"/>
  <c r="L296" i="8"/>
  <c r="L199" i="8"/>
  <c r="L216" i="8"/>
  <c r="L32" i="8"/>
  <c r="V32" i="8" s="1"/>
  <c r="L286" i="8"/>
  <c r="V286" i="8" s="1"/>
  <c r="L126" i="8"/>
  <c r="L298" i="8"/>
  <c r="V298" i="8" s="1"/>
  <c r="L318" i="8"/>
  <c r="V318" i="8" s="1"/>
  <c r="T222" i="8"/>
  <c r="T218" i="8"/>
  <c r="T148" i="8"/>
  <c r="T228" i="8"/>
  <c r="T82" i="8"/>
  <c r="L103" i="8"/>
  <c r="L173" i="8"/>
  <c r="V173" i="8" s="1"/>
  <c r="T225" i="8"/>
  <c r="T170" i="8"/>
  <c r="T30" i="8"/>
  <c r="L265" i="8"/>
  <c r="V265" i="8" s="1"/>
  <c r="T33" i="8"/>
  <c r="R42" i="26"/>
  <c r="AD42" i="26" s="1"/>
  <c r="AB42" i="26"/>
  <c r="T376" i="8"/>
  <c r="L165" i="8"/>
  <c r="V165" i="8" s="1"/>
  <c r="L215" i="8"/>
  <c r="L336" i="8"/>
  <c r="V336" i="8" s="1"/>
  <c r="L209" i="8"/>
  <c r="L164" i="8"/>
  <c r="L208" i="8"/>
  <c r="V208" i="8" s="1"/>
  <c r="L233" i="8"/>
  <c r="V233" i="8" s="1"/>
  <c r="L401" i="8"/>
  <c r="V401" i="8" s="1"/>
  <c r="T25" i="8"/>
  <c r="L229" i="8"/>
  <c r="V229" i="8" s="1"/>
  <c r="T144" i="8"/>
  <c r="L53" i="8"/>
  <c r="V53" i="8" s="1"/>
  <c r="T46" i="8"/>
  <c r="T271" i="8"/>
  <c r="T162" i="8"/>
  <c r="T259" i="8"/>
  <c r="L121" i="8"/>
  <c r="V121" i="8" s="1"/>
  <c r="T238" i="8"/>
  <c r="L378" i="8"/>
  <c r="L47" i="8"/>
  <c r="L340" i="8"/>
  <c r="V340" i="8" s="1"/>
  <c r="L261" i="8"/>
  <c r="V261" i="8" s="1"/>
  <c r="L98" i="8"/>
  <c r="V98" i="8" s="1"/>
  <c r="L128" i="8"/>
  <c r="V128" i="8" s="1"/>
  <c r="T262" i="8"/>
  <c r="T296" i="8"/>
  <c r="T352" i="8"/>
  <c r="L258" i="8"/>
  <c r="T326" i="8"/>
  <c r="T199" i="8"/>
  <c r="T87" i="8"/>
  <c r="L237" i="8"/>
  <c r="L317" i="8"/>
  <c r="L226" i="8"/>
  <c r="T198" i="8"/>
  <c r="L344" i="8"/>
  <c r="V344" i="8" s="1"/>
  <c r="L274" i="8"/>
  <c r="V274" i="8" s="1"/>
  <c r="L60" i="8"/>
  <c r="V60" i="8" s="1"/>
  <c r="L394" i="8"/>
  <c r="T94" i="8"/>
  <c r="T138" i="8"/>
  <c r="L113" i="8"/>
  <c r="L301" i="8"/>
  <c r="V301" i="8" s="1"/>
  <c r="L34" i="8"/>
  <c r="V34" i="8" s="1"/>
  <c r="L275" i="8"/>
  <c r="V275" i="8" s="1"/>
  <c r="L139" i="8"/>
  <c r="T34" i="8"/>
  <c r="L88" i="8"/>
  <c r="T49" i="8"/>
  <c r="AF143" i="26"/>
  <c r="L56" i="8"/>
  <c r="V56" i="8" s="1"/>
  <c r="L118" i="8"/>
  <c r="V118" i="8" s="1"/>
  <c r="T124" i="8"/>
  <c r="L171" i="8"/>
  <c r="V171" i="8" s="1"/>
  <c r="L322" i="8"/>
  <c r="T255" i="8"/>
  <c r="L146" i="8"/>
  <c r="T57" i="8"/>
  <c r="L106" i="8"/>
  <c r="V106" i="8" s="1"/>
  <c r="L359" i="8"/>
  <c r="L132" i="8"/>
  <c r="L157" i="8"/>
  <c r="T241" i="8"/>
  <c r="T111" i="8"/>
  <c r="T369" i="8"/>
  <c r="T122" i="8"/>
  <c r="T361" i="8"/>
  <c r="L112" i="8"/>
  <c r="V112" i="8" s="1"/>
  <c r="T90" i="8"/>
  <c r="T195" i="8"/>
  <c r="L242" i="8"/>
  <c r="T96" i="8"/>
  <c r="T267" i="8"/>
  <c r="L145" i="8"/>
  <c r="T243" i="8"/>
  <c r="T234" i="8"/>
  <c r="L195" i="8"/>
  <c r="V195" i="8" s="1"/>
  <c r="T232" i="8"/>
  <c r="T18" i="8"/>
  <c r="AH73" i="26"/>
  <c r="T237" i="8"/>
  <c r="L299" i="8"/>
  <c r="V299" i="8" s="1"/>
  <c r="L262" i="8"/>
  <c r="T130" i="8"/>
  <c r="T42" i="8"/>
  <c r="T206" i="8"/>
  <c r="T236" i="8"/>
  <c r="L119" i="8"/>
  <c r="T304" i="8"/>
  <c r="T40" i="8"/>
  <c r="T20" i="8"/>
  <c r="L407" i="8"/>
  <c r="V407" i="8" s="1"/>
  <c r="T346" i="8"/>
  <c r="L333" i="8"/>
  <c r="V333" i="8" s="1"/>
  <c r="L321" i="8"/>
  <c r="T220" i="8"/>
  <c r="T61" i="8"/>
  <c r="L24" i="8"/>
  <c r="L167" i="8"/>
  <c r="V167" i="8" s="1"/>
  <c r="L184" i="8"/>
  <c r="V184" i="8" s="1"/>
  <c r="T414" i="8"/>
  <c r="T399" i="8"/>
  <c r="L266" i="8"/>
  <c r="V266" i="8" s="1"/>
  <c r="L124" i="8"/>
  <c r="T60" i="8"/>
  <c r="L44" i="8"/>
  <c r="L290" i="8"/>
  <c r="L293" i="8"/>
  <c r="T280" i="8"/>
  <c r="L395" i="8"/>
  <c r="V395" i="8" s="1"/>
  <c r="AH30" i="23"/>
  <c r="T268" i="8"/>
  <c r="T216" i="8"/>
  <c r="L198" i="8"/>
  <c r="V198" i="8" s="1"/>
  <c r="L326" i="8"/>
  <c r="V326" i="8" s="1"/>
  <c r="T78" i="8"/>
  <c r="T21" i="8"/>
  <c r="T45" i="8"/>
  <c r="T150" i="8"/>
  <c r="L180" i="8"/>
  <c r="V180" i="8" s="1"/>
  <c r="T310" i="8"/>
  <c r="T84" i="8"/>
  <c r="T39" i="8"/>
  <c r="L331" i="8"/>
  <c r="V331" i="8" s="1"/>
  <c r="L188" i="8"/>
  <c r="T335" i="8"/>
  <c r="L177" i="8"/>
  <c r="T156" i="8"/>
  <c r="L257" i="8"/>
  <c r="V257" i="8" s="1"/>
  <c r="T278" i="8"/>
  <c r="T264" i="8"/>
  <c r="L13" i="26"/>
  <c r="L385" i="8"/>
  <c r="V385" i="8" s="1"/>
  <c r="L315" i="8"/>
  <c r="V315" i="8" s="1"/>
  <c r="T115" i="8"/>
  <c r="T174" i="8"/>
  <c r="L346" i="8"/>
  <c r="V346" i="8" s="1"/>
  <c r="L70" i="8"/>
  <c r="V70" i="8" s="1"/>
  <c r="T265" i="8"/>
  <c r="L335" i="8"/>
  <c r="V335" i="8" s="1"/>
  <c r="L150" i="8"/>
  <c r="V150" i="8" s="1"/>
  <c r="T151" i="8"/>
  <c r="L219" i="8"/>
  <c r="V219" i="8" s="1"/>
  <c r="L210" i="8"/>
  <c r="L295" i="8"/>
  <c r="L398" i="8"/>
  <c r="V398" i="8" s="1"/>
  <c r="T169" i="8"/>
  <c r="L186" i="8"/>
  <c r="L200" i="8"/>
  <c r="T99" i="8"/>
  <c r="T75" i="8"/>
  <c r="T135" i="8"/>
  <c r="T286" i="8"/>
  <c r="L371" i="8"/>
  <c r="L217" i="8"/>
  <c r="V217" i="8" s="1"/>
  <c r="T382" i="8"/>
  <c r="L397" i="8"/>
  <c r="V397" i="8" s="1"/>
  <c r="T312" i="8"/>
  <c r="T336" i="8"/>
  <c r="L176" i="8"/>
  <c r="L357" i="8"/>
  <c r="V357" i="8" s="1"/>
  <c r="L245" i="8"/>
  <c r="V245" i="8" s="1"/>
  <c r="T338" i="8"/>
  <c r="T123" i="8"/>
  <c r="L42" i="8"/>
  <c r="V42" i="8" s="1"/>
  <c r="L144" i="8"/>
  <c r="V144" i="8" s="1"/>
  <c r="T133" i="8"/>
  <c r="T231" i="8"/>
  <c r="L77" i="8"/>
  <c r="T188" i="8"/>
  <c r="T119" i="8"/>
  <c r="L214" i="8"/>
  <c r="L160" i="8"/>
  <c r="L386" i="8"/>
  <c r="V386" i="8" s="1"/>
  <c r="T59" i="8"/>
  <c r="T397" i="8"/>
  <c r="L212" i="8"/>
  <c r="L116" i="8"/>
  <c r="V116" i="8" s="1"/>
  <c r="T305" i="8"/>
  <c r="L292" i="8"/>
  <c r="V292" i="8" s="1"/>
  <c r="L376" i="8"/>
  <c r="V376" i="8" s="1"/>
  <c r="L362" i="8"/>
  <c r="T83" i="8"/>
  <c r="T412" i="8"/>
  <c r="T203" i="8"/>
  <c r="T202" i="8"/>
  <c r="T401" i="8"/>
  <c r="T402" i="8"/>
  <c r="L328" i="8"/>
  <c r="L297" i="8"/>
  <c r="V297" i="8" s="1"/>
  <c r="L37" i="8"/>
  <c r="T27" i="8"/>
  <c r="T106" i="8"/>
  <c r="L310" i="8"/>
  <c r="V310" i="8" s="1"/>
  <c r="T41" i="8"/>
  <c r="T384" i="8"/>
  <c r="L26" i="8"/>
  <c r="V26" i="8" s="1"/>
  <c r="L109" i="8"/>
  <c r="V109" i="8" s="1"/>
  <c r="T132" i="8"/>
  <c r="L159" i="8"/>
  <c r="L254" i="8"/>
  <c r="V254" i="8" s="1"/>
  <c r="T24" i="8"/>
  <c r="L205" i="8"/>
  <c r="L213" i="8"/>
  <c r="V213" i="8" s="1"/>
  <c r="T226" i="8"/>
  <c r="T408" i="8"/>
  <c r="L255" i="8"/>
  <c r="V255" i="8" s="1"/>
  <c r="L192" i="8"/>
  <c r="V192" i="8" s="1"/>
  <c r="L86" i="8"/>
  <c r="V86" i="8" s="1"/>
  <c r="T171" i="8"/>
  <c r="L382" i="8"/>
  <c r="L342" i="8"/>
  <c r="L156" i="8"/>
  <c r="V156" i="8" s="1"/>
  <c r="L268" i="8"/>
  <c r="T257" i="8"/>
  <c r="T178" i="8"/>
  <c r="L240" i="8"/>
  <c r="V240" i="8" s="1"/>
  <c r="T283" i="8"/>
  <c r="T168" i="8"/>
  <c r="L367" i="8"/>
  <c r="T242" i="8"/>
  <c r="T153" i="8"/>
  <c r="L207" i="8"/>
  <c r="L63" i="8"/>
  <c r="T142" i="8"/>
  <c r="L35" i="8"/>
  <c r="V35" i="8" s="1"/>
  <c r="L314" i="8"/>
  <c r="V314" i="8" s="1"/>
  <c r="L327" i="8"/>
  <c r="L304" i="8"/>
  <c r="V304" i="8" s="1"/>
  <c r="L250" i="8"/>
  <c r="V250" i="8" s="1"/>
  <c r="L313" i="8"/>
  <c r="L29" i="8"/>
  <c r="T182" i="8"/>
  <c r="L23" i="8"/>
  <c r="L108" i="8"/>
  <c r="V108" i="8" s="1"/>
  <c r="L78" i="8"/>
  <c r="V78" i="8" s="1"/>
  <c r="L169" i="8"/>
  <c r="V169" i="8" s="1"/>
  <c r="T289" i="8"/>
  <c r="L155" i="8"/>
  <c r="V155" i="8" s="1"/>
  <c r="L163" i="8"/>
  <c r="V163" i="8" s="1"/>
  <c r="L228" i="8"/>
  <c r="V228" i="8" s="1"/>
  <c r="T93" i="8"/>
  <c r="T28" i="8"/>
  <c r="T113" i="8"/>
  <c r="L307" i="8"/>
  <c r="V307" i="8" s="1"/>
  <c r="L360" i="8"/>
  <c r="T43" i="8"/>
  <c r="L383" i="8"/>
  <c r="V383" i="8" s="1"/>
  <c r="L323" i="8"/>
  <c r="V323" i="8" s="1"/>
  <c r="T276" i="8"/>
  <c r="L71" i="8"/>
  <c r="V71" i="8" s="1"/>
  <c r="T261" i="8"/>
  <c r="R143" i="26"/>
  <c r="AH143" i="26" s="1"/>
  <c r="L27" i="8"/>
  <c r="V27" i="8" s="1"/>
  <c r="T394" i="8"/>
  <c r="T180" i="8"/>
  <c r="T117" i="8"/>
  <c r="T360" i="8"/>
  <c r="L379" i="8"/>
  <c r="V379" i="8" s="1"/>
  <c r="L162" i="8"/>
  <c r="L273" i="8"/>
  <c r="V273" i="8" s="1"/>
  <c r="T70" i="8"/>
  <c r="T126" i="8"/>
  <c r="L391" i="8"/>
  <c r="V391" i="8" s="1"/>
  <c r="T285" i="8"/>
  <c r="T250" i="8"/>
  <c r="L416" i="8"/>
  <c r="V416" i="8" s="1"/>
  <c r="T114" i="8"/>
  <c r="T147" i="8"/>
  <c r="L343" i="8"/>
  <c r="T279" i="8"/>
  <c r="T291" i="8"/>
  <c r="T246" i="8"/>
  <c r="T86" i="8"/>
  <c r="T403" i="8"/>
  <c r="L311" i="8"/>
  <c r="V311" i="8" s="1"/>
  <c r="T58" i="8"/>
  <c r="L62" i="8"/>
  <c r="V62" i="8" s="1"/>
  <c r="L278" i="8"/>
  <c r="V278" i="8" s="1"/>
  <c r="T274" i="8"/>
  <c r="T323" i="8"/>
  <c r="L369" i="8"/>
  <c r="V369" i="8" s="1"/>
  <c r="L189" i="8"/>
  <c r="V189" i="8" s="1"/>
  <c r="T373" i="8"/>
  <c r="T411" i="8"/>
  <c r="T400" i="8"/>
  <c r="L309" i="8"/>
  <c r="L236" i="8"/>
  <c r="L16" i="8"/>
  <c r="V16" i="8" s="1"/>
  <c r="T31" i="8"/>
  <c r="T235" i="8"/>
  <c r="AQ18" i="24"/>
  <c r="AW18" i="24"/>
  <c r="D6" i="14"/>
  <c r="D5" i="14"/>
  <c r="G33" i="14"/>
  <c r="E11" i="14"/>
  <c r="E13" i="14"/>
  <c r="F33" i="14"/>
  <c r="E14" i="14"/>
  <c r="F11" i="14"/>
  <c r="AH22" i="22" l="1"/>
  <c r="V126" i="8"/>
  <c r="V200" i="8"/>
  <c r="T17" i="8"/>
  <c r="V203" i="8"/>
  <c r="V306" i="8"/>
  <c r="V236" i="8"/>
  <c r="V162" i="8"/>
  <c r="V360" i="8"/>
  <c r="V29" i="8"/>
  <c r="V186" i="8"/>
  <c r="V44" i="8"/>
  <c r="V216" i="8"/>
  <c r="V101" i="8"/>
  <c r="V96" i="8"/>
  <c r="V305" i="8"/>
  <c r="V76" i="8"/>
  <c r="V374" i="8"/>
  <c r="V370" i="8"/>
  <c r="V300" i="8"/>
  <c r="V25" i="8"/>
  <c r="V320" i="8"/>
  <c r="AH27" i="22"/>
  <c r="AK33" i="23"/>
  <c r="V276" i="8"/>
  <c r="V400" i="8"/>
  <c r="AD27" i="9"/>
  <c r="T23" i="28"/>
  <c r="V29" i="25"/>
  <c r="V39" i="25"/>
  <c r="V309" i="8"/>
  <c r="V313" i="8"/>
  <c r="V205" i="8"/>
  <c r="V328" i="8"/>
  <c r="V199" i="8"/>
  <c r="V110" i="8"/>
  <c r="V85" i="8"/>
  <c r="V352" i="8"/>
  <c r="V72" i="8"/>
  <c r="V120" i="8"/>
  <c r="AD33" i="9"/>
  <c r="V122" i="8"/>
  <c r="V363" i="8"/>
  <c r="V412" i="8"/>
  <c r="V220" i="8"/>
  <c r="V402" i="8"/>
  <c r="V46" i="8"/>
  <c r="V136" i="8"/>
  <c r="AH20" i="22"/>
  <c r="R19" i="22"/>
  <c r="G5" i="22" s="1"/>
  <c r="V52" i="25"/>
  <c r="AD22" i="9"/>
  <c r="V32" i="25"/>
  <c r="V54" i="25"/>
  <c r="V34" i="25"/>
  <c r="R17" i="28"/>
  <c r="H5" i="28" s="1"/>
  <c r="V135" i="8"/>
  <c r="V321" i="8"/>
  <c r="V394" i="8"/>
  <c r="U22" i="23"/>
  <c r="G6" i="23" s="1"/>
  <c r="AK23" i="23"/>
  <c r="V197" i="8"/>
  <c r="V87" i="8"/>
  <c r="AK21" i="23"/>
  <c r="V64" i="25"/>
  <c r="V16" i="25"/>
  <c r="V23" i="8"/>
  <c r="V367" i="8"/>
  <c r="V293" i="8"/>
  <c r="V57" i="8"/>
  <c r="V129" i="8"/>
  <c r="V190" i="8"/>
  <c r="V284" i="8"/>
  <c r="T195" i="26"/>
  <c r="AH23" i="22"/>
  <c r="AF19" i="22"/>
  <c r="H5" i="22" s="1"/>
  <c r="R19" i="9"/>
  <c r="G5" i="9" s="1"/>
  <c r="AD20" i="9"/>
  <c r="V23" i="25"/>
  <c r="V37" i="8"/>
  <c r="V212" i="8"/>
  <c r="V290" i="8"/>
  <c r="AH25" i="22"/>
  <c r="V248" i="8"/>
  <c r="V235" i="8"/>
  <c r="V84" i="8"/>
  <c r="V65" i="25"/>
  <c r="V51" i="25"/>
  <c r="T34" i="28"/>
  <c r="V176" i="8"/>
  <c r="V13" i="26"/>
  <c r="V124" i="8"/>
  <c r="V157" i="8"/>
  <c r="V88" i="8"/>
  <c r="V226" i="8"/>
  <c r="V47" i="8"/>
  <c r="V296" i="8"/>
  <c r="V114" i="8"/>
  <c r="AK73" i="26"/>
  <c r="V365" i="8"/>
  <c r="V140" i="8"/>
  <c r="AD36" i="9"/>
  <c r="V141" i="8"/>
  <c r="V354" i="8"/>
  <c r="AD18" i="9"/>
  <c r="V174" i="8"/>
  <c r="V393" i="8"/>
  <c r="V234" i="8"/>
  <c r="V302" i="8"/>
  <c r="V36" i="25"/>
  <c r="V37" i="25"/>
  <c r="V160" i="8"/>
  <c r="V295" i="8"/>
  <c r="V132" i="8"/>
  <c r="V317" i="8"/>
  <c r="V378" i="8"/>
  <c r="V164" i="8"/>
  <c r="V103" i="8"/>
  <c r="V264" i="8"/>
  <c r="V182" i="8"/>
  <c r="V249" i="8"/>
  <c r="AK26" i="23"/>
  <c r="AH21" i="22"/>
  <c r="AK35" i="23"/>
  <c r="V99" i="8"/>
  <c r="V111" i="8"/>
  <c r="V267" i="8"/>
  <c r="AK40" i="23"/>
  <c r="T32" i="28"/>
  <c r="T24" i="28"/>
  <c r="T37" i="28"/>
  <c r="T22" i="28"/>
  <c r="T21" i="28"/>
  <c r="V20" i="25"/>
  <c r="V343" i="8"/>
  <c r="V327" i="8"/>
  <c r="V268" i="8"/>
  <c r="V159" i="8"/>
  <c r="V214" i="8"/>
  <c r="V210" i="8"/>
  <c r="V119" i="8"/>
  <c r="V145" i="8"/>
  <c r="V359" i="8"/>
  <c r="V139" i="8"/>
  <c r="V237" i="8"/>
  <c r="V209" i="8"/>
  <c r="V351" i="8"/>
  <c r="V241" i="8"/>
  <c r="V247" i="8"/>
  <c r="V115" i="8"/>
  <c r="AK25" i="23"/>
  <c r="V28" i="8"/>
  <c r="AK39" i="23"/>
  <c r="V147" i="8"/>
  <c r="V36" i="8"/>
  <c r="V45" i="8"/>
  <c r="V39" i="8"/>
  <c r="V319" i="8"/>
  <c r="V125" i="8"/>
  <c r="V324" i="8"/>
  <c r="V280" i="8"/>
  <c r="AD35" i="9"/>
  <c r="V285" i="8"/>
  <c r="V211" i="8"/>
  <c r="V230" i="8"/>
  <c r="V389" i="8"/>
  <c r="T26" i="28"/>
  <c r="V66" i="25"/>
  <c r="T18" i="28"/>
  <c r="K17" i="28"/>
  <c r="G5" i="28" s="1"/>
  <c r="T25" i="28"/>
  <c r="V44" i="25"/>
  <c r="V75" i="8"/>
  <c r="V55" i="25"/>
  <c r="V342" i="8"/>
  <c r="V215" i="8"/>
  <c r="AB19" i="9"/>
  <c r="H5" i="9" s="1"/>
  <c r="V58" i="8"/>
  <c r="V259" i="8"/>
  <c r="V18" i="8"/>
  <c r="L17" i="8"/>
  <c r="G5" i="8" s="1"/>
  <c r="V253" i="8"/>
  <c r="V18" i="25"/>
  <c r="K17" i="25"/>
  <c r="G5" i="25" s="1"/>
  <c r="V382" i="8"/>
  <c r="V77" i="8"/>
  <c r="V177" i="8"/>
  <c r="V242" i="8"/>
  <c r="V146" i="8"/>
  <c r="V142" i="8"/>
  <c r="V191" i="8"/>
  <c r="V185" i="8"/>
  <c r="V153" i="8"/>
  <c r="V381" i="8"/>
  <c r="V256" i="8"/>
  <c r="V127" i="8"/>
  <c r="V166" i="8"/>
  <c r="V408" i="8"/>
  <c r="V33" i="8"/>
  <c r="V168" i="8"/>
  <c r="AD24" i="9"/>
  <c r="AH29" i="22"/>
  <c r="AD26" i="9"/>
  <c r="V63" i="8"/>
  <c r="V362" i="8"/>
  <c r="V371" i="8"/>
  <c r="V24" i="8"/>
  <c r="V113" i="8"/>
  <c r="V258" i="8"/>
  <c r="V341" i="8"/>
  <c r="V183" i="8"/>
  <c r="V404" i="8"/>
  <c r="V225" i="8"/>
  <c r="AK36" i="23"/>
  <c r="V282" i="8"/>
  <c r="V406" i="8"/>
  <c r="V202" i="8"/>
  <c r="V251" i="8"/>
  <c r="V283" i="8"/>
  <c r="AH22" i="23"/>
  <c r="H6" i="23" s="1"/>
  <c r="V94" i="8"/>
  <c r="V303" i="8"/>
  <c r="V66" i="8"/>
  <c r="V61" i="8"/>
  <c r="AK31" i="23"/>
  <c r="V21" i="8"/>
  <c r="V204" i="8"/>
  <c r="V353" i="8"/>
  <c r="T19" i="28"/>
  <c r="V45" i="25"/>
  <c r="V49" i="25"/>
  <c r="V60" i="25"/>
  <c r="V33" i="25"/>
  <c r="V42" i="25"/>
  <c r="V207" i="8"/>
  <c r="V188" i="8"/>
  <c r="V262" i="8"/>
  <c r="V322" i="8"/>
  <c r="V415" i="8"/>
  <c r="V206" i="8"/>
  <c r="V405" i="8"/>
  <c r="AH28" i="22"/>
  <c r="V151" i="8"/>
  <c r="V414" i="8"/>
  <c r="V54" i="8"/>
  <c r="T17" i="25"/>
  <c r="H5" i="25" s="1"/>
  <c r="V246" i="8"/>
  <c r="V403" i="8"/>
  <c r="V97" i="8"/>
  <c r="V148" i="8"/>
  <c r="V47" i="25"/>
  <c r="V43" i="25"/>
  <c r="V63" i="25"/>
  <c r="V67" i="25"/>
  <c r="AH18" i="22"/>
  <c r="AM18" i="24"/>
  <c r="E5" i="14"/>
  <c r="F5" i="14" s="1"/>
  <c r="G5" i="14" s="1"/>
  <c r="E6" i="14"/>
  <c r="F6" i="14" s="1"/>
  <c r="G6" i="14" s="1"/>
  <c r="F13" i="14"/>
  <c r="F14" i="14"/>
  <c r="D41" i="14"/>
  <c r="D27" i="14"/>
  <c r="E48" i="14"/>
  <c r="D55" i="14"/>
  <c r="D12" i="14"/>
  <c r="E19" i="14"/>
  <c r="D19" i="14"/>
  <c r="E27" i="14"/>
  <c r="D48" i="14"/>
  <c r="E41" i="14"/>
  <c r="E55" i="14"/>
  <c r="G11" i="14"/>
  <c r="AK22" i="23" l="1"/>
  <c r="D4" i="14"/>
  <c r="I5" i="9"/>
  <c r="AD19" i="9"/>
  <c r="V17" i="8"/>
  <c r="I6" i="23"/>
  <c r="I5" i="25"/>
  <c r="I5" i="22"/>
  <c r="AH19" i="22"/>
  <c r="H5" i="8"/>
  <c r="I5" i="8"/>
  <c r="I5" i="28"/>
  <c r="J5" i="28" s="1"/>
  <c r="V17" i="25"/>
  <c r="T17" i="28"/>
  <c r="C105" i="16"/>
  <c r="F48" i="14"/>
  <c r="E12" i="14"/>
  <c r="G55" i="14"/>
  <c r="F41" i="14"/>
  <c r="F55" i="14"/>
  <c r="F27" i="14"/>
  <c r="G13" i="14"/>
  <c r="F19" i="14"/>
  <c r="G14" i="14"/>
  <c r="E4" i="14" l="1"/>
  <c r="F4" i="14" s="1"/>
  <c r="G4" i="14" s="1"/>
  <c r="J6" i="23"/>
  <c r="J5" i="8"/>
  <c r="J5" i="22"/>
  <c r="J5" i="25"/>
  <c r="J5" i="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E61" i="19"/>
  <c r="E60" i="19"/>
  <c r="E59" i="19"/>
  <c r="E58" i="19"/>
  <c r="E57" i="19"/>
  <c r="E56" i="19"/>
  <c r="E55"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F12" i="14"/>
  <c r="G48" i="14"/>
  <c r="G27" i="14"/>
  <c r="G41" i="14"/>
  <c r="G19" i="14"/>
  <c r="K5" i="8" l="1"/>
  <c r="C17" i="6"/>
  <c r="C16" i="6"/>
  <c r="C15" i="6"/>
  <c r="C14" i="6"/>
  <c r="C13" i="6"/>
  <c r="C12" i="6"/>
  <c r="C11" i="6"/>
  <c r="C10" i="6"/>
  <c r="C9" i="6"/>
  <c r="C8" i="6"/>
  <c r="C7" i="6"/>
  <c r="C6" i="6"/>
  <c r="C5" i="6"/>
  <c r="C4" i="6"/>
  <c r="G12" i="14"/>
  <c r="E5" i="19" l="1"/>
  <c r="E3" i="19"/>
  <c r="F59" i="20"/>
  <c r="E4" i="19" l="1"/>
  <c r="D9" i="19"/>
  <c r="F7" i="19"/>
  <c r="D59" i="20" s="1"/>
  <c r="F6" i="19"/>
  <c r="B109" i="16"/>
  <c r="B103" i="16"/>
  <c r="B104" i="16" s="1"/>
  <c r="C97" i="16"/>
  <c r="C96" i="16"/>
  <c r="B90" i="16" s="1"/>
  <c r="C95" i="16"/>
  <c r="D49" i="1"/>
  <c r="D50" i="1"/>
  <c r="B110" i="16" l="1"/>
  <c r="C111" i="16"/>
  <c r="E6" i="19"/>
  <c r="F6" i="16"/>
  <c r="G6" i="16" s="1"/>
  <c r="C98" i="16"/>
  <c r="C93" i="16" s="1"/>
  <c r="E93" i="16" l="1"/>
  <c r="G93" i="16"/>
  <c r="B89" i="16" l="1"/>
  <c r="B86" i="16"/>
  <c r="B87" i="16" s="1"/>
  <c r="B68" i="16"/>
  <c r="K76" i="16"/>
  <c r="F8" i="16"/>
  <c r="G8" i="16" s="1"/>
  <c r="F7" i="16"/>
  <c r="G7" i="16" s="1"/>
  <c r="F5" i="16"/>
  <c r="G5" i="16" s="1"/>
  <c r="F4" i="16"/>
  <c r="G4" i="16" s="1"/>
  <c r="F3" i="16"/>
  <c r="G3" i="16" s="1"/>
  <c r="B16" i="16"/>
  <c r="B17" i="16"/>
  <c r="B18" i="16"/>
  <c r="B15" i="16"/>
  <c r="B14" i="16"/>
  <c r="B8" i="16"/>
  <c r="B7" i="16"/>
  <c r="B5" i="16"/>
  <c r="B4" i="16"/>
  <c r="B3" i="16"/>
  <c r="B38" i="16"/>
  <c r="O40" i="16"/>
  <c r="N40" i="16"/>
  <c r="O36" i="1"/>
  <c r="O35" i="1"/>
  <c r="O34" i="1"/>
  <c r="O33" i="1"/>
  <c r="O32" i="1"/>
  <c r="C38" i="1"/>
  <c r="K72" i="16" s="1"/>
  <c r="C37" i="1"/>
  <c r="K71" i="16" s="1"/>
  <c r="C23" i="1"/>
  <c r="C22" i="1"/>
  <c r="D33" i="1"/>
  <c r="D32" i="1"/>
  <c r="D18" i="1"/>
  <c r="D17" i="1"/>
  <c r="P70" i="16" l="1"/>
  <c r="Q70" i="16"/>
  <c r="L70" i="16"/>
  <c r="M70" i="16"/>
  <c r="N70" i="16"/>
  <c r="O70" i="16"/>
  <c r="B69" i="16"/>
  <c r="B39" i="16"/>
  <c r="F9" i="16"/>
  <c r="L11" i="1"/>
  <c r="L10" i="1"/>
  <c r="E9" i="1"/>
  <c r="D16" i="16" s="1"/>
  <c r="E11" i="1"/>
  <c r="D18" i="16" s="1"/>
  <c r="E10" i="1"/>
  <c r="D17" i="16" s="1"/>
  <c r="C21" i="1"/>
  <c r="C20" i="1"/>
  <c r="F12" i="1"/>
  <c r="I8" i="1"/>
  <c r="I7" i="1"/>
  <c r="P26" i="1" l="1"/>
  <c r="E26" i="1"/>
  <c r="E25" i="1"/>
  <c r="Q41" i="16" s="1"/>
  <c r="P25" i="1"/>
  <c r="Q52" i="16" s="1"/>
  <c r="C36" i="1"/>
  <c r="C41" i="1" s="1"/>
  <c r="K75" i="16" s="1"/>
  <c r="C26" i="1"/>
  <c r="R40" i="16"/>
  <c r="C35" i="1"/>
  <c r="C40" i="1" s="1"/>
  <c r="K74" i="16" s="1"/>
  <c r="C25" i="1"/>
  <c r="Q40" i="16"/>
  <c r="J40" i="1"/>
  <c r="I40" i="1"/>
  <c r="P74" i="16" s="1"/>
  <c r="H40" i="1"/>
  <c r="O74" i="16" s="1"/>
  <c r="G40" i="1"/>
  <c r="N74" i="16" s="1"/>
  <c r="M40" i="1"/>
  <c r="E40" i="1"/>
  <c r="N40" i="1"/>
  <c r="F40" i="1"/>
  <c r="M74" i="16" s="1"/>
  <c r="L40" i="1"/>
  <c r="K40" i="1"/>
  <c r="H41" i="1"/>
  <c r="O75" i="16" s="1"/>
  <c r="G41" i="1"/>
  <c r="N75" i="16" s="1"/>
  <c r="N41" i="1"/>
  <c r="F41" i="1"/>
  <c r="M75" i="16" s="1"/>
  <c r="M41" i="1"/>
  <c r="E41" i="1"/>
  <c r="K41" i="1"/>
  <c r="I41" i="1"/>
  <c r="P75" i="16" s="1"/>
  <c r="L41" i="1"/>
  <c r="J41" i="1"/>
  <c r="L26" i="1"/>
  <c r="R48" i="16" s="1"/>
  <c r="K26" i="1"/>
  <c r="R47" i="16" s="1"/>
  <c r="J26" i="1"/>
  <c r="R46" i="16" s="1"/>
  <c r="I26" i="1"/>
  <c r="R45" i="16" s="1"/>
  <c r="R52" i="16"/>
  <c r="H26" i="1"/>
  <c r="R44" i="16" s="1"/>
  <c r="O26" i="1"/>
  <c r="R51" i="16" s="1"/>
  <c r="G26" i="1"/>
  <c r="R43" i="16" s="1"/>
  <c r="N26" i="1"/>
  <c r="R50" i="16" s="1"/>
  <c r="F26" i="1"/>
  <c r="R42" i="16" s="1"/>
  <c r="M26" i="1"/>
  <c r="R49" i="16" s="1"/>
  <c r="R41" i="16"/>
  <c r="H25" i="1"/>
  <c r="Q44" i="16" s="1"/>
  <c r="O25" i="1"/>
  <c r="Q51" i="16" s="1"/>
  <c r="N25" i="1"/>
  <c r="Q50" i="16" s="1"/>
  <c r="F25" i="1"/>
  <c r="Q42" i="16" s="1"/>
  <c r="M25" i="1"/>
  <c r="Q49" i="16" s="1"/>
  <c r="L25" i="1"/>
  <c r="Q48" i="16" s="1"/>
  <c r="K25" i="1"/>
  <c r="Q47" i="16" s="1"/>
  <c r="J25" i="1"/>
  <c r="Q46" i="16" s="1"/>
  <c r="I25" i="1"/>
  <c r="Q45" i="16" s="1"/>
  <c r="G25" i="1"/>
  <c r="Q43" i="16" s="1"/>
  <c r="D19" i="1"/>
  <c r="D34" i="1"/>
  <c r="D21" i="1"/>
  <c r="D36" i="1"/>
  <c r="D20" i="1"/>
  <c r="D35" i="1"/>
  <c r="O41" i="1" l="1"/>
  <c r="L75" i="16"/>
  <c r="O40" i="1"/>
  <c r="L74" i="16"/>
  <c r="Q53" i="16"/>
  <c r="R53" i="16"/>
  <c r="Q26" i="1"/>
  <c r="Q25" i="1"/>
  <c r="Q20" i="1" l="1"/>
  <c r="J10" i="1"/>
  <c r="E17" i="16" s="1"/>
  <c r="R74" i="16" s="1"/>
  <c r="Q74" i="16" s="1"/>
  <c r="C34" i="1"/>
  <c r="C39" i="1" s="1"/>
  <c r="K73" i="16" s="1"/>
  <c r="C19" i="1"/>
  <c r="Q21" i="1"/>
  <c r="Q19" i="1"/>
  <c r="Q18" i="1"/>
  <c r="Q17" i="1"/>
  <c r="M9" i="1"/>
  <c r="M8" i="1"/>
  <c r="J11" i="1"/>
  <c r="E18" i="16" s="1"/>
  <c r="R75" i="16" s="1"/>
  <c r="Q75" i="16" s="1"/>
  <c r="L9" i="1"/>
  <c r="L8" i="1"/>
  <c r="I11" i="1"/>
  <c r="I9" i="1"/>
  <c r="M7" i="1"/>
  <c r="P23" i="1" l="1"/>
  <c r="E23" i="1"/>
  <c r="P24" i="1"/>
  <c r="E24" i="1"/>
  <c r="P40" i="16"/>
  <c r="C24" i="1"/>
  <c r="L39" i="1"/>
  <c r="K39" i="1"/>
  <c r="J39" i="1"/>
  <c r="I39" i="1"/>
  <c r="P73" i="16" s="1"/>
  <c r="G39" i="1"/>
  <c r="N73" i="16" s="1"/>
  <c r="M39" i="1"/>
  <c r="H39" i="1"/>
  <c r="O73" i="16" s="1"/>
  <c r="N39" i="1"/>
  <c r="F39" i="1"/>
  <c r="M73" i="16" s="1"/>
  <c r="E39" i="1"/>
  <c r="N38" i="1"/>
  <c r="F38" i="1"/>
  <c r="M72" i="16" s="1"/>
  <c r="M38" i="1"/>
  <c r="E38" i="1"/>
  <c r="L38" i="1"/>
  <c r="K38" i="1"/>
  <c r="I38" i="1"/>
  <c r="P72" i="16" s="1"/>
  <c r="G38" i="1"/>
  <c r="N72" i="16" s="1"/>
  <c r="J38" i="1"/>
  <c r="H38" i="1"/>
  <c r="O72" i="16" s="1"/>
  <c r="J8" i="1"/>
  <c r="E15" i="16" s="1"/>
  <c r="R72" i="16" s="1"/>
  <c r="O52" i="16"/>
  <c r="H23" i="1"/>
  <c r="O44" i="16" s="1"/>
  <c r="O23" i="1"/>
  <c r="O51" i="16" s="1"/>
  <c r="N23" i="1"/>
  <c r="O50" i="16" s="1"/>
  <c r="F23" i="1"/>
  <c r="O42" i="16" s="1"/>
  <c r="M23" i="1"/>
  <c r="O49" i="16" s="1"/>
  <c r="O41" i="16"/>
  <c r="L23" i="1"/>
  <c r="O48" i="16" s="1"/>
  <c r="K23" i="1"/>
  <c r="O47" i="16" s="1"/>
  <c r="J23" i="1"/>
  <c r="O46" i="16" s="1"/>
  <c r="I23" i="1"/>
  <c r="O45" i="16" s="1"/>
  <c r="G23" i="1"/>
  <c r="O43" i="16" s="1"/>
  <c r="J9" i="1"/>
  <c r="E16" i="16" s="1"/>
  <c r="R73" i="16" s="1"/>
  <c r="L24" i="1"/>
  <c r="P48" i="16" s="1"/>
  <c r="J24" i="1"/>
  <c r="P46" i="16" s="1"/>
  <c r="I24" i="1"/>
  <c r="P45" i="16" s="1"/>
  <c r="O24" i="1"/>
  <c r="P51" i="16" s="1"/>
  <c r="K24" i="1"/>
  <c r="P47" i="16" s="1"/>
  <c r="P52" i="16"/>
  <c r="H24" i="1"/>
  <c r="P44" i="16" s="1"/>
  <c r="G24" i="1"/>
  <c r="P43" i="16" s="1"/>
  <c r="N24" i="1"/>
  <c r="P50" i="16" s="1"/>
  <c r="F24" i="1"/>
  <c r="P42" i="16" s="1"/>
  <c r="M24" i="1"/>
  <c r="P49" i="16" s="1"/>
  <c r="P41" i="16"/>
  <c r="L7" i="1"/>
  <c r="I10" i="1"/>
  <c r="E22" i="1" l="1"/>
  <c r="P22" i="1"/>
  <c r="P27" i="1" s="1"/>
  <c r="H37" i="1"/>
  <c r="O71" i="16" s="1"/>
  <c r="O76" i="16" s="1"/>
  <c r="G37" i="1"/>
  <c r="N71" i="16" s="1"/>
  <c r="N76" i="16" s="1"/>
  <c r="N37" i="1"/>
  <c r="F37" i="1"/>
  <c r="M71" i="16" s="1"/>
  <c r="M76" i="16" s="1"/>
  <c r="I37" i="1"/>
  <c r="P71" i="16" s="1"/>
  <c r="P76" i="16" s="1"/>
  <c r="M37" i="1"/>
  <c r="E37" i="1"/>
  <c r="K37" i="1"/>
  <c r="L37" i="1"/>
  <c r="J37" i="1"/>
  <c r="L73" i="16"/>
  <c r="Q73" i="16" s="1"/>
  <c r="O39" i="1"/>
  <c r="O38" i="1"/>
  <c r="L72" i="16"/>
  <c r="Q72" i="16" s="1"/>
  <c r="P53" i="16"/>
  <c r="O53" i="16"/>
  <c r="Q23" i="1"/>
  <c r="L22" i="1"/>
  <c r="N48" i="16" s="1"/>
  <c r="L48" i="16" s="1"/>
  <c r="J22" i="1"/>
  <c r="N46" i="16" s="1"/>
  <c r="L46" i="16" s="1"/>
  <c r="I22" i="1"/>
  <c r="N45" i="16" s="1"/>
  <c r="L45" i="16" s="1"/>
  <c r="N52" i="16"/>
  <c r="L52" i="16" s="1"/>
  <c r="H22" i="1"/>
  <c r="N44" i="16" s="1"/>
  <c r="L44" i="16" s="1"/>
  <c r="O22" i="1"/>
  <c r="N51" i="16" s="1"/>
  <c r="L51" i="16" s="1"/>
  <c r="G22" i="1"/>
  <c r="N43" i="16" s="1"/>
  <c r="L43" i="16" s="1"/>
  <c r="K22" i="1"/>
  <c r="N47" i="16" s="1"/>
  <c r="L47" i="16" s="1"/>
  <c r="N22" i="1"/>
  <c r="N50" i="16" s="1"/>
  <c r="L50" i="16" s="1"/>
  <c r="F22" i="1"/>
  <c r="N42" i="16" s="1"/>
  <c r="L42" i="16" s="1"/>
  <c r="M22" i="1"/>
  <c r="N49" i="16" s="1"/>
  <c r="L49" i="16" s="1"/>
  <c r="N41" i="16"/>
  <c r="Q24" i="1"/>
  <c r="J7" i="1"/>
  <c r="E14" i="16" s="1"/>
  <c r="R71" i="16" s="1"/>
  <c r="O37" i="1" l="1"/>
  <c r="L71" i="16"/>
  <c r="L76" i="16" s="1"/>
  <c r="N53" i="16"/>
  <c r="L41" i="16"/>
  <c r="K42" i="1"/>
  <c r="J42" i="1"/>
  <c r="I42" i="1"/>
  <c r="H42" i="1"/>
  <c r="G42" i="1"/>
  <c r="L42" i="1"/>
  <c r="N42" i="1"/>
  <c r="F42" i="1"/>
  <c r="M42" i="1"/>
  <c r="Q22" i="1"/>
  <c r="I27" i="1"/>
  <c r="K27" i="1"/>
  <c r="E27" i="1"/>
  <c r="L27" i="1"/>
  <c r="M27" i="1"/>
  <c r="F27" i="1"/>
  <c r="N27" i="1"/>
  <c r="G27" i="1"/>
  <c r="O27" i="1"/>
  <c r="J27" i="1"/>
  <c r="H27" i="1"/>
  <c r="J12" i="1"/>
  <c r="D7" i="14" s="1"/>
  <c r="E7" i="14" l="1"/>
  <c r="F7" i="14" s="1"/>
  <c r="G7" i="14" s="1"/>
  <c r="Q71" i="16"/>
  <c r="E42" i="1"/>
  <c r="O42" i="1" s="1"/>
  <c r="L53" i="16"/>
  <c r="Q27" i="1"/>
  <c r="E19" i="16"/>
  <c r="M53" i="16" l="1"/>
  <c r="M47" i="16"/>
  <c r="M45" i="16"/>
  <c r="M52" i="16"/>
  <c r="M44" i="16"/>
  <c r="M50" i="16"/>
  <c r="M48" i="16"/>
  <c r="M43" i="16"/>
  <c r="M42" i="16"/>
  <c r="M41" i="16"/>
  <c r="M46" i="16"/>
  <c r="M49" i="16"/>
  <c r="M51" i="16"/>
  <c r="G14" i="16"/>
  <c r="R76" i="16"/>
  <c r="G17" i="16"/>
  <c r="G19" i="16"/>
  <c r="G18" i="16"/>
  <c r="G16" i="16"/>
  <c r="G15" i="16"/>
  <c r="Q76" i="16" l="1"/>
  <c r="Q77" i="16" s="1"/>
  <c r="O77" i="16"/>
  <c r="N77" i="16"/>
  <c r="M77" i="16"/>
  <c r="L77" i="16"/>
  <c r="P77" i="16"/>
  <c r="R77" i="16"/>
</calcChain>
</file>

<file path=xl/sharedStrings.xml><?xml version="1.0" encoding="utf-8"?>
<sst xmlns="http://schemas.openxmlformats.org/spreadsheetml/2006/main" count="2461" uniqueCount="1031">
  <si>
    <t>電気</t>
    <rPh sb="0" eb="2">
      <t>デンキ</t>
    </rPh>
    <phoneticPr fontId="5"/>
  </si>
  <si>
    <t>都市ガス</t>
    <rPh sb="0" eb="2">
      <t>トシ</t>
    </rPh>
    <phoneticPr fontId="5"/>
  </si>
  <si>
    <t>設備名</t>
    <rPh sb="0" eb="3">
      <t>セツビメイ</t>
    </rPh>
    <phoneticPr fontId="5"/>
  </si>
  <si>
    <t>年間料金</t>
    <rPh sb="0" eb="2">
      <t>ネンカン</t>
    </rPh>
    <rPh sb="2" eb="4">
      <t>リョウキン</t>
    </rPh>
    <phoneticPr fontId="5"/>
  </si>
  <si>
    <t>光熱費</t>
    <rPh sb="0" eb="3">
      <t>コウネツヒ</t>
    </rPh>
    <phoneticPr fontId="5"/>
  </si>
  <si>
    <t>kWh</t>
    <phoneticPr fontId="5"/>
  </si>
  <si>
    <t>L</t>
    <phoneticPr fontId="5"/>
  </si>
  <si>
    <t>4月</t>
  </si>
  <si>
    <t>4月</t>
    <rPh sb="1" eb="2">
      <t>ガツ</t>
    </rPh>
    <phoneticPr fontId="5"/>
  </si>
  <si>
    <t>5月</t>
  </si>
  <si>
    <t>6月</t>
  </si>
  <si>
    <t>7月</t>
  </si>
  <si>
    <t>8月</t>
  </si>
  <si>
    <t>9月</t>
  </si>
  <si>
    <t>10月</t>
  </si>
  <si>
    <t>11月</t>
  </si>
  <si>
    <t>12月</t>
  </si>
  <si>
    <t>1月</t>
  </si>
  <si>
    <t>2月</t>
  </si>
  <si>
    <t>3月</t>
  </si>
  <si>
    <t>エネルギーの種類</t>
    <rPh sb="6" eb="8">
      <t>シュルイ</t>
    </rPh>
    <phoneticPr fontId="8"/>
  </si>
  <si>
    <t>CO2排出係数</t>
    <rPh sb="3" eb="5">
      <t>ハイシュツ</t>
    </rPh>
    <rPh sb="5" eb="7">
      <t>ケイスウ</t>
    </rPh>
    <phoneticPr fontId="8"/>
  </si>
  <si>
    <t>単位</t>
    <rPh sb="0" eb="2">
      <t>タンイ</t>
    </rPh>
    <phoneticPr fontId="8"/>
  </si>
  <si>
    <t>原油（コンデンセートを除く。）</t>
    <rPh sb="0" eb="2">
      <t>ゲンユ</t>
    </rPh>
    <rPh sb="11" eb="12">
      <t>ノゾ</t>
    </rPh>
    <phoneticPr fontId="8"/>
  </si>
  <si>
    <t>tC/GJ</t>
    <phoneticPr fontId="8"/>
  </si>
  <si>
    <t>原油のうちコンデンセート（NGL）</t>
    <rPh sb="0" eb="2">
      <t>ゲンユ</t>
    </rPh>
    <phoneticPr fontId="8"/>
  </si>
  <si>
    <t>揮発油（ガソリン）</t>
    <rPh sb="0" eb="3">
      <t>キハツユ</t>
    </rPh>
    <phoneticPr fontId="8"/>
  </si>
  <si>
    <t>ナフサ</t>
    <phoneticPr fontId="8"/>
  </si>
  <si>
    <t>灯油</t>
    <rPh sb="0" eb="2">
      <t>トウユ</t>
    </rPh>
    <phoneticPr fontId="8"/>
  </si>
  <si>
    <t>軽油</t>
    <rPh sb="0" eb="2">
      <t>ケイユ</t>
    </rPh>
    <phoneticPr fontId="8"/>
  </si>
  <si>
    <t>A重油</t>
    <rPh sb="1" eb="3">
      <t>ジュウユ</t>
    </rPh>
    <phoneticPr fontId="8"/>
  </si>
  <si>
    <t>B・C重油</t>
    <rPh sb="3" eb="5">
      <t>ジュウユ</t>
    </rPh>
    <phoneticPr fontId="8"/>
  </si>
  <si>
    <t>石油アスファルト</t>
    <rPh sb="0" eb="2">
      <t>セキユ</t>
    </rPh>
    <phoneticPr fontId="8"/>
  </si>
  <si>
    <t>石油コークス</t>
    <rPh sb="0" eb="2">
      <t>セキユ</t>
    </rPh>
    <phoneticPr fontId="8"/>
  </si>
  <si>
    <t>液化石油ガス（LPG）</t>
    <rPh sb="0" eb="2">
      <t>エキカ</t>
    </rPh>
    <rPh sb="2" eb="4">
      <t>セキユ</t>
    </rPh>
    <phoneticPr fontId="8"/>
  </si>
  <si>
    <t>石油系炭化水素ガス</t>
    <rPh sb="0" eb="3">
      <t>セキユケイ</t>
    </rPh>
    <rPh sb="3" eb="5">
      <t>タンカ</t>
    </rPh>
    <rPh sb="5" eb="7">
      <t>スイソ</t>
    </rPh>
    <phoneticPr fontId="8"/>
  </si>
  <si>
    <t>液化天然ガス（LＮG）</t>
    <rPh sb="0" eb="2">
      <t>エキカ</t>
    </rPh>
    <rPh sb="2" eb="4">
      <t>テンネン</t>
    </rPh>
    <phoneticPr fontId="8"/>
  </si>
  <si>
    <t>その他可燃性天然ガス</t>
    <rPh sb="2" eb="3">
      <t>タ</t>
    </rPh>
    <rPh sb="3" eb="6">
      <t>カネンセイ</t>
    </rPh>
    <rPh sb="6" eb="8">
      <t>テンネン</t>
    </rPh>
    <phoneticPr fontId="8"/>
  </si>
  <si>
    <t>原料炭</t>
    <rPh sb="0" eb="2">
      <t>ゲンリョウ</t>
    </rPh>
    <rPh sb="2" eb="3">
      <t>タン</t>
    </rPh>
    <phoneticPr fontId="8"/>
  </si>
  <si>
    <t>一般炭</t>
    <rPh sb="0" eb="2">
      <t>イッパン</t>
    </rPh>
    <rPh sb="2" eb="3">
      <t>タン</t>
    </rPh>
    <phoneticPr fontId="8"/>
  </si>
  <si>
    <t>無煙炭</t>
    <rPh sb="0" eb="2">
      <t>ムエン</t>
    </rPh>
    <rPh sb="2" eb="3">
      <t>タン</t>
    </rPh>
    <phoneticPr fontId="8"/>
  </si>
  <si>
    <t>石炭コークス</t>
    <rPh sb="0" eb="2">
      <t>セキタン</t>
    </rPh>
    <phoneticPr fontId="8"/>
  </si>
  <si>
    <t>コールタール</t>
    <phoneticPr fontId="8"/>
  </si>
  <si>
    <t>コークス炉ガス</t>
    <rPh sb="4" eb="5">
      <t>ロ</t>
    </rPh>
    <phoneticPr fontId="8"/>
  </si>
  <si>
    <t>高炉ガス</t>
    <rPh sb="0" eb="2">
      <t>コウロ</t>
    </rPh>
    <phoneticPr fontId="8"/>
  </si>
  <si>
    <t>転炉ガス</t>
    <rPh sb="0" eb="2">
      <t>テンロ</t>
    </rPh>
    <phoneticPr fontId="8"/>
  </si>
  <si>
    <t>都市ガス</t>
    <rPh sb="0" eb="2">
      <t>トシ</t>
    </rPh>
    <phoneticPr fontId="8"/>
  </si>
  <si>
    <t>産業用蒸気</t>
    <rPh sb="0" eb="3">
      <t>サンギョウヨウ</t>
    </rPh>
    <rPh sb="3" eb="5">
      <t>ジョウキ</t>
    </rPh>
    <phoneticPr fontId="8"/>
  </si>
  <si>
    <t>tCO2/GJ</t>
    <phoneticPr fontId="8"/>
  </si>
  <si>
    <t>産業用以外の蒸気</t>
    <rPh sb="0" eb="3">
      <t>サンギョウヨウ</t>
    </rPh>
    <rPh sb="3" eb="5">
      <t>イガイ</t>
    </rPh>
    <rPh sb="6" eb="8">
      <t>ジョウキ</t>
    </rPh>
    <phoneticPr fontId="8"/>
  </si>
  <si>
    <t>温水</t>
    <rPh sb="0" eb="2">
      <t>オンスイ</t>
    </rPh>
    <phoneticPr fontId="8"/>
  </si>
  <si>
    <t>冷水</t>
    <rPh sb="0" eb="2">
      <t>レイスイ</t>
    </rPh>
    <phoneticPr fontId="8"/>
  </si>
  <si>
    <t>tCO2/kWh</t>
    <phoneticPr fontId="8"/>
  </si>
  <si>
    <t>排出係数</t>
    <rPh sb="0" eb="4">
      <t>ハイシュツケイスウ</t>
    </rPh>
    <phoneticPr fontId="8"/>
  </si>
  <si>
    <t>単位発熱量</t>
    <phoneticPr fontId="5"/>
  </si>
  <si>
    <t>発熱量単位</t>
    <rPh sb="3" eb="5">
      <t>タンイ</t>
    </rPh>
    <phoneticPr fontId="8"/>
  </si>
  <si>
    <t>エネルギー単位</t>
    <rPh sb="5" eb="7">
      <t>タンイ</t>
    </rPh>
    <phoneticPr fontId="8"/>
  </si>
  <si>
    <t>炭素換算</t>
    <rPh sb="0" eb="4">
      <t>タンソカンサン</t>
    </rPh>
    <phoneticPr fontId="8"/>
  </si>
  <si>
    <t>CO2排出量</t>
    <rPh sb="3" eb="6">
      <t>ハイシュツリョウ</t>
    </rPh>
    <phoneticPr fontId="5"/>
  </si>
  <si>
    <t>（参考)CO2排出係数</t>
    <rPh sb="1" eb="3">
      <t>サンコウ</t>
    </rPh>
    <rPh sb="7" eb="9">
      <t>ハイシュツ</t>
    </rPh>
    <rPh sb="9" eb="11">
      <t>ケイスウ</t>
    </rPh>
    <phoneticPr fontId="8"/>
  </si>
  <si>
    <t>合計</t>
    <rPh sb="0" eb="2">
      <t>ゴウケイ</t>
    </rPh>
    <phoneticPr fontId="5"/>
  </si>
  <si>
    <t>円/年</t>
    <phoneticPr fontId="5"/>
  </si>
  <si>
    <t>tCO2/年</t>
    <rPh sb="5" eb="6">
      <t>ネン</t>
    </rPh>
    <phoneticPr fontId="5"/>
  </si>
  <si>
    <t>tCO2/月</t>
    <rPh sb="5" eb="6">
      <t>ツキ</t>
    </rPh>
    <phoneticPr fontId="5"/>
  </si>
  <si>
    <t>毎時の電力使用量（デマンド）把握</t>
    <rPh sb="0" eb="2">
      <t>マイジ</t>
    </rPh>
    <rPh sb="3" eb="5">
      <t>デンリョク</t>
    </rPh>
    <rPh sb="5" eb="8">
      <t>シヨウリョウ</t>
    </rPh>
    <rPh sb="14" eb="16">
      <t>ハアク</t>
    </rPh>
    <phoneticPr fontId="5"/>
  </si>
  <si>
    <t>主要エネルギーの月別使用量把握</t>
    <rPh sb="0" eb="2">
      <t>シュヨウ</t>
    </rPh>
    <rPh sb="8" eb="10">
      <t>ツキベツ</t>
    </rPh>
    <rPh sb="10" eb="13">
      <t>シヨウリョウ</t>
    </rPh>
    <rPh sb="13" eb="15">
      <t>ハアク</t>
    </rPh>
    <phoneticPr fontId="5"/>
  </si>
  <si>
    <t>推進体制の整備</t>
    <phoneticPr fontId="5"/>
  </si>
  <si>
    <t>点検、検査措置の記録作成及び記録の一定期間の保存</t>
    <phoneticPr fontId="5"/>
  </si>
  <si>
    <t>低炭素電力の利用</t>
    <phoneticPr fontId="5"/>
  </si>
  <si>
    <t>再生可能エネルギー源により発電した電力や二酸化炭素排出係数のより小さい電力を積極的に利用</t>
    <phoneticPr fontId="5"/>
  </si>
  <si>
    <t>温室効果ガスの排出量削減につながる体制</t>
    <rPh sb="17" eb="19">
      <t>タイセイ</t>
    </rPh>
    <phoneticPr fontId="5"/>
  </si>
  <si>
    <t>エネルギー使用量の把握</t>
    <phoneticPr fontId="5"/>
  </si>
  <si>
    <t>空気比管理</t>
    <phoneticPr fontId="5"/>
  </si>
  <si>
    <t>熱源設備における燃焼設備（吸収式冷凍機、冷温水発生器等）の空気比管理</t>
    <phoneticPr fontId="5"/>
  </si>
  <si>
    <t>台数制御</t>
    <rPh sb="0" eb="4">
      <t>ダイスウセイギョ</t>
    </rPh>
    <phoneticPr fontId="5"/>
  </si>
  <si>
    <t>非表示シート</t>
    <rPh sb="0" eb="3">
      <t>ヒヒョウジ</t>
    </rPh>
    <phoneticPr fontId="5"/>
  </si>
  <si>
    <t>更新前</t>
    <rPh sb="0" eb="3">
      <t>コウシンマエ</t>
    </rPh>
    <phoneticPr fontId="5"/>
  </si>
  <si>
    <t>台</t>
    <rPh sb="0" eb="1">
      <t>ダイ</t>
    </rPh>
    <phoneticPr fontId="5"/>
  </si>
  <si>
    <t>W/台</t>
    <rPh sb="2" eb="3">
      <t>ダイ</t>
    </rPh>
    <phoneticPr fontId="5"/>
  </si>
  <si>
    <t>時間／日</t>
    <rPh sb="0" eb="2">
      <t>ジカン</t>
    </rPh>
    <rPh sb="3" eb="4">
      <t>ニチ</t>
    </rPh>
    <phoneticPr fontId="5"/>
  </si>
  <si>
    <t>年間使用日数</t>
    <rPh sb="0" eb="2">
      <t>ネンカン</t>
    </rPh>
    <rPh sb="2" eb="4">
      <t>シヨウ</t>
    </rPh>
    <rPh sb="4" eb="6">
      <t>ニッスウ</t>
    </rPh>
    <phoneticPr fontId="5"/>
  </si>
  <si>
    <t>日／年</t>
    <rPh sb="0" eb="1">
      <t>ニチ</t>
    </rPh>
    <rPh sb="2" eb="3">
      <t>ネン</t>
    </rPh>
    <phoneticPr fontId="5"/>
  </si>
  <si>
    <t>時間／年</t>
    <rPh sb="0" eb="2">
      <t>ジカン</t>
    </rPh>
    <rPh sb="3" eb="4">
      <t>ネン</t>
    </rPh>
    <phoneticPr fontId="5"/>
  </si>
  <si>
    <t>年間消費電力量</t>
    <rPh sb="0" eb="2">
      <t>ネンカン</t>
    </rPh>
    <rPh sb="2" eb="7">
      <t>ショウヒデンリョクリョウ</t>
    </rPh>
    <phoneticPr fontId="5"/>
  </si>
  <si>
    <t>kWh/年</t>
    <rPh sb="4" eb="5">
      <t>ネン</t>
    </rPh>
    <phoneticPr fontId="5"/>
  </si>
  <si>
    <t>数量(n)</t>
    <rPh sb="0" eb="2">
      <t>スウリョウ</t>
    </rPh>
    <phoneticPr fontId="5"/>
  </si>
  <si>
    <t>更新後</t>
    <rPh sb="0" eb="2">
      <t>コウシン</t>
    </rPh>
    <rPh sb="2" eb="3">
      <t>ゴ</t>
    </rPh>
    <phoneticPr fontId="5"/>
  </si>
  <si>
    <t>主要エネルギー種類別の年間使用量と光熱費</t>
    <rPh sb="0" eb="2">
      <t>シュヨウ</t>
    </rPh>
    <rPh sb="7" eb="10">
      <t>シュルイベツ</t>
    </rPh>
    <rPh sb="11" eb="13">
      <t>ネンカン</t>
    </rPh>
    <rPh sb="13" eb="16">
      <t>シヨウリョウ</t>
    </rPh>
    <rPh sb="17" eb="20">
      <t>コウネツヒ</t>
    </rPh>
    <phoneticPr fontId="5"/>
  </si>
  <si>
    <t>単価</t>
    <rPh sb="0" eb="2">
      <t>タンカ</t>
    </rPh>
    <phoneticPr fontId="5"/>
  </si>
  <si>
    <t>円/年</t>
    <rPh sb="0" eb="1">
      <t>エン</t>
    </rPh>
    <rPh sb="2" eb="3">
      <t>ネン</t>
    </rPh>
    <phoneticPr fontId="5"/>
  </si>
  <si>
    <t>㎥</t>
    <phoneticPr fontId="5"/>
  </si>
  <si>
    <t>kg</t>
    <phoneticPr fontId="5"/>
  </si>
  <si>
    <t>概算単価</t>
    <rPh sb="0" eb="2">
      <t>ガイサン</t>
    </rPh>
    <rPh sb="2" eb="4">
      <t>タンカ</t>
    </rPh>
    <phoneticPr fontId="5"/>
  </si>
  <si>
    <t>削減効果</t>
    <rPh sb="0" eb="2">
      <t>サクゲン</t>
    </rPh>
    <rPh sb="2" eb="4">
      <t>コウカ</t>
    </rPh>
    <phoneticPr fontId="5"/>
  </si>
  <si>
    <t>kW/台</t>
    <rPh sb="3" eb="4">
      <t>ダイ</t>
    </rPh>
    <phoneticPr fontId="5"/>
  </si>
  <si>
    <t>数量(n')</t>
    <rPh sb="0" eb="2">
      <t>スウリョウ</t>
    </rPh>
    <phoneticPr fontId="5"/>
  </si>
  <si>
    <t>運転種別</t>
    <phoneticPr fontId="5"/>
  </si>
  <si>
    <t>冷房</t>
  </si>
  <si>
    <t>暖房</t>
  </si>
  <si>
    <t>用途</t>
    <rPh sb="0" eb="2">
      <t>ヨウト</t>
    </rPh>
    <phoneticPr fontId="12"/>
  </si>
  <si>
    <t>事務所</t>
  </si>
  <si>
    <t>事務所</t>
    <rPh sb="0" eb="3">
      <t>ジムショ</t>
    </rPh>
    <phoneticPr fontId="12"/>
  </si>
  <si>
    <t>店舗</t>
    <rPh sb="0" eb="2">
      <t>テンポ</t>
    </rPh>
    <phoneticPr fontId="12"/>
  </si>
  <si>
    <t>標準外</t>
    <rPh sb="0" eb="3">
      <t>ヒョウジュンガイ</t>
    </rPh>
    <phoneticPr fontId="12"/>
  </si>
  <si>
    <t>冷房</t>
    <rPh sb="0" eb="2">
      <t>レイボウ</t>
    </rPh>
    <phoneticPr fontId="12"/>
  </si>
  <si>
    <t>暖房</t>
    <rPh sb="0" eb="2">
      <t>ダンボウ</t>
    </rPh>
    <phoneticPr fontId="12"/>
  </si>
  <si>
    <t>「標準外」を使う場合には、使用条件から負荷率（0～100%）を入力し、数値の設定理由・根拠を示してください。</t>
    <rPh sb="6" eb="7">
      <t>ツカ</t>
    </rPh>
    <rPh sb="8" eb="10">
      <t>バアイ</t>
    </rPh>
    <rPh sb="13" eb="17">
      <t>シヨウジョウケン</t>
    </rPh>
    <rPh sb="19" eb="22">
      <t>フカリツ</t>
    </rPh>
    <rPh sb="35" eb="37">
      <t>スウチ</t>
    </rPh>
    <rPh sb="38" eb="40">
      <t>セッテイ</t>
    </rPh>
    <rPh sb="40" eb="42">
      <t>リユウ</t>
    </rPh>
    <rPh sb="43" eb="45">
      <t>コンキョ</t>
    </rPh>
    <rPh sb="46" eb="47">
      <t>シメ</t>
    </rPh>
    <phoneticPr fontId="12"/>
  </si>
  <si>
    <t>事務所および店舗の冷暖房負荷率は、</t>
    <rPh sb="0" eb="3">
      <t>ジムショ</t>
    </rPh>
    <rPh sb="6" eb="8">
      <t>テンポ</t>
    </rPh>
    <rPh sb="9" eb="12">
      <t>レイダンボウ</t>
    </rPh>
    <rPh sb="12" eb="15">
      <t>フカリツ</t>
    </rPh>
    <phoneticPr fontId="12"/>
  </si>
  <si>
    <t>JIS B 8616に定められた代表12地域における冷房及び暖房負荷率を、同JISに準じた想定負荷と外気温度発生 データを用いて算出。</t>
  </si>
  <si>
    <t>負荷率</t>
    <rPh sb="0" eb="3">
      <t>フカリツ</t>
    </rPh>
    <phoneticPr fontId="5"/>
  </si>
  <si>
    <t>㎥/年</t>
    <rPh sb="2" eb="3">
      <t>ネン</t>
    </rPh>
    <phoneticPr fontId="5"/>
  </si>
  <si>
    <t>消費ガス量</t>
    <rPh sb="0" eb="2">
      <t>ショウヒ</t>
    </rPh>
    <rPh sb="4" eb="5">
      <t>リョウ</t>
    </rPh>
    <phoneticPr fontId="5"/>
  </si>
  <si>
    <t>ガス種類</t>
    <rPh sb="2" eb="4">
      <t>シュルイ</t>
    </rPh>
    <phoneticPr fontId="12"/>
  </si>
  <si>
    <t>(㎥/(kW・h))</t>
    <phoneticPr fontId="12"/>
  </si>
  <si>
    <t>13A</t>
    <phoneticPr fontId="12"/>
  </si>
  <si>
    <t>12A</t>
    <phoneticPr fontId="12"/>
  </si>
  <si>
    <t>LP</t>
    <phoneticPr fontId="12"/>
  </si>
  <si>
    <t>機種1</t>
    <rPh sb="0" eb="2">
      <t>キシュ</t>
    </rPh>
    <phoneticPr fontId="5"/>
  </si>
  <si>
    <t>機種2</t>
    <rPh sb="0" eb="2">
      <t>キシュ</t>
    </rPh>
    <phoneticPr fontId="5"/>
  </si>
  <si>
    <t>機種3</t>
    <rPh sb="0" eb="2">
      <t>キシュ</t>
    </rPh>
    <phoneticPr fontId="5"/>
  </si>
  <si>
    <t>機種4</t>
    <rPh sb="0" eb="2">
      <t>キシュ</t>
    </rPh>
    <phoneticPr fontId="5"/>
  </si>
  <si>
    <t>機種5</t>
    <rPh sb="0" eb="2">
      <t>キシュ</t>
    </rPh>
    <phoneticPr fontId="5"/>
  </si>
  <si>
    <t>機種6</t>
    <rPh sb="0" eb="2">
      <t>キシュ</t>
    </rPh>
    <phoneticPr fontId="5"/>
  </si>
  <si>
    <t>機種7</t>
    <rPh sb="0" eb="2">
      <t>キシュ</t>
    </rPh>
    <phoneticPr fontId="5"/>
  </si>
  <si>
    <t>機種8</t>
    <rPh sb="0" eb="2">
      <t>キシュ</t>
    </rPh>
    <phoneticPr fontId="5"/>
  </si>
  <si>
    <t>機種9</t>
    <rPh sb="0" eb="2">
      <t>キシュ</t>
    </rPh>
    <phoneticPr fontId="5"/>
  </si>
  <si>
    <t>機種10</t>
    <rPh sb="0" eb="2">
      <t>キシュ</t>
    </rPh>
    <phoneticPr fontId="5"/>
  </si>
  <si>
    <t>機種11</t>
    <rPh sb="0" eb="2">
      <t>キシュ</t>
    </rPh>
    <phoneticPr fontId="5"/>
  </si>
  <si>
    <t>機種12</t>
    <rPh sb="0" eb="2">
      <t>キシュ</t>
    </rPh>
    <phoneticPr fontId="5"/>
  </si>
  <si>
    <t>機種13</t>
    <rPh sb="0" eb="2">
      <t>キシュ</t>
    </rPh>
    <phoneticPr fontId="5"/>
  </si>
  <si>
    <t>機種14</t>
    <rPh sb="0" eb="2">
      <t>キシュ</t>
    </rPh>
    <phoneticPr fontId="5"/>
  </si>
  <si>
    <t>機種15</t>
    <rPh sb="0" eb="2">
      <t>キシュ</t>
    </rPh>
    <phoneticPr fontId="5"/>
  </si>
  <si>
    <t>機種16</t>
    <rPh sb="0" eb="2">
      <t>キシュ</t>
    </rPh>
    <phoneticPr fontId="5"/>
  </si>
  <si>
    <t>機種17</t>
    <rPh sb="0" eb="2">
      <t>キシュ</t>
    </rPh>
    <phoneticPr fontId="5"/>
  </si>
  <si>
    <t>機種18</t>
    <rPh sb="0" eb="2">
      <t>キシュ</t>
    </rPh>
    <phoneticPr fontId="5"/>
  </si>
  <si>
    <t>機種19</t>
    <rPh sb="0" eb="2">
      <t>キシュ</t>
    </rPh>
    <phoneticPr fontId="5"/>
  </si>
  <si>
    <t>機種20</t>
    <rPh sb="0" eb="2">
      <t>キシュ</t>
    </rPh>
    <phoneticPr fontId="5"/>
  </si>
  <si>
    <t>機種別内訳</t>
    <rPh sb="0" eb="3">
      <t>キシュベツ</t>
    </rPh>
    <rPh sb="3" eb="5">
      <t>ウチワケ</t>
    </rPh>
    <phoneticPr fontId="5"/>
  </si>
  <si>
    <t>単位</t>
    <rPh sb="0" eb="2">
      <t>タンイ</t>
    </rPh>
    <phoneticPr fontId="5"/>
  </si>
  <si>
    <t>項目</t>
    <rPh sb="0" eb="2">
      <t>コウモク</t>
    </rPh>
    <phoneticPr fontId="5"/>
  </si>
  <si>
    <t>事業所のエネルギー使用量の把握</t>
    <rPh sb="0" eb="3">
      <t>ジギョウショ</t>
    </rPh>
    <rPh sb="9" eb="12">
      <t>シヨウリョウ</t>
    </rPh>
    <rPh sb="13" eb="15">
      <t>ハアク</t>
    </rPh>
    <phoneticPr fontId="5"/>
  </si>
  <si>
    <t>燃料種類</t>
    <rPh sb="0" eb="2">
      <t>ネンリョウ</t>
    </rPh>
    <rPh sb="2" eb="4">
      <t>シュルイ</t>
    </rPh>
    <phoneticPr fontId="12"/>
  </si>
  <si>
    <t>排出係数</t>
    <rPh sb="0" eb="4">
      <t>ハイシュツケイスウ</t>
    </rPh>
    <phoneticPr fontId="5"/>
  </si>
  <si>
    <t>燃料単位</t>
    <rPh sb="0" eb="4">
      <t>ネンリョウタンイ</t>
    </rPh>
    <phoneticPr fontId="5"/>
  </si>
  <si>
    <t>ファンについて、負荷の変動等に応じたインバーター制御整</t>
    <rPh sb="15" eb="16">
      <t>オウ</t>
    </rPh>
    <rPh sb="24" eb="26">
      <t>セイギョ</t>
    </rPh>
    <phoneticPr fontId="5"/>
  </si>
  <si>
    <t>ポンプについて、負荷の変動等に応じたインバーター制御整</t>
    <rPh sb="15" eb="16">
      <t>オウ</t>
    </rPh>
    <rPh sb="24" eb="26">
      <t>セイギョ</t>
    </rPh>
    <phoneticPr fontId="5"/>
  </si>
  <si>
    <t>ファンのインバーター制御</t>
    <rPh sb="10" eb="12">
      <t>セイギョ</t>
    </rPh>
    <phoneticPr fontId="5"/>
  </si>
  <si>
    <t>ポンプのインバーター制御</t>
    <rPh sb="10" eb="12">
      <t>セイギョ</t>
    </rPh>
    <phoneticPr fontId="5"/>
  </si>
  <si>
    <t>機器管理台帳の整備</t>
    <rPh sb="7" eb="9">
      <t>セイビ</t>
    </rPh>
    <phoneticPr fontId="5"/>
  </si>
  <si>
    <t>管理標準の作成</t>
    <rPh sb="5" eb="7">
      <t>サクセイ</t>
    </rPh>
    <phoneticPr fontId="5"/>
  </si>
  <si>
    <t>点検記録の作成</t>
    <rPh sb="0" eb="2">
      <t>テンケン</t>
    </rPh>
    <rPh sb="2" eb="4">
      <t>キロク</t>
    </rPh>
    <rPh sb="5" eb="7">
      <t>サクセイ</t>
    </rPh>
    <phoneticPr fontId="5"/>
  </si>
  <si>
    <t>空調の温度設定条件を定めて運用している</t>
    <rPh sb="0" eb="2">
      <t>クウチョウ</t>
    </rPh>
    <rPh sb="3" eb="7">
      <t>オンドセッテイ</t>
    </rPh>
    <rPh sb="7" eb="9">
      <t>ジョウケン</t>
    </rPh>
    <rPh sb="10" eb="11">
      <t>サダ</t>
    </rPh>
    <rPh sb="13" eb="15">
      <t>ウンヨウ</t>
    </rPh>
    <phoneticPr fontId="5"/>
  </si>
  <si>
    <t>説明</t>
    <rPh sb="0" eb="2">
      <t>セツメイ</t>
    </rPh>
    <phoneticPr fontId="5"/>
  </si>
  <si>
    <t>省エネアドバイス</t>
    <rPh sb="0" eb="1">
      <t>ショウ</t>
    </rPh>
    <phoneticPr fontId="5"/>
  </si>
  <si>
    <t>温室効果ガスの排出量削減を目的とした、主要設備等に係る運転管理、計測・記録、保守・点検についての自主マニュアル（「管理標準」）の作成</t>
    <phoneticPr fontId="5"/>
  </si>
  <si>
    <t>　管理標準により、運転管理、計測・記録、保守・点検の現状を把握することで、改善点を見直す際に役立ちます。</t>
    <rPh sb="26" eb="28">
      <t>ゲンジョウ</t>
    </rPh>
    <rPh sb="29" eb="31">
      <t>ハアク</t>
    </rPh>
    <rPh sb="37" eb="40">
      <t>カイゼンテン</t>
    </rPh>
    <rPh sb="41" eb="43">
      <t>ミナオ</t>
    </rPh>
    <rPh sb="44" eb="45">
      <t>サイ</t>
    </rPh>
    <rPh sb="46" eb="48">
      <t>ヤクダ</t>
    </rPh>
    <phoneticPr fontId="5"/>
  </si>
  <si>
    <t>　正確な記録、数値に基づいて、設備の健全度の把握、問題点の発見、改善効果を把握することができます。</t>
    <rPh sb="1" eb="3">
      <t>セイカク</t>
    </rPh>
    <rPh sb="4" eb="6">
      <t>キロク</t>
    </rPh>
    <rPh sb="7" eb="9">
      <t>スウチ</t>
    </rPh>
    <rPh sb="10" eb="11">
      <t>モト</t>
    </rPh>
    <rPh sb="15" eb="17">
      <t>セツビ</t>
    </rPh>
    <rPh sb="18" eb="21">
      <t>ケンゼンド</t>
    </rPh>
    <rPh sb="22" eb="24">
      <t>ハアク</t>
    </rPh>
    <rPh sb="25" eb="28">
      <t>モンダイテン</t>
    </rPh>
    <rPh sb="29" eb="31">
      <t>ハッケン</t>
    </rPh>
    <rPh sb="32" eb="36">
      <t>カイゼンコウカ</t>
    </rPh>
    <rPh sb="37" eb="39">
      <t>ハアク</t>
    </rPh>
    <phoneticPr fontId="5"/>
  </si>
  <si>
    <t>https://www.env.go.jp/earth/ondanka/gel/ghg-guideline/business/measures/view/17.html</t>
    <phoneticPr fontId="5"/>
  </si>
  <si>
    <t>蒸気配管や蒸気バルブの保温</t>
    <rPh sb="11" eb="13">
      <t>ホオン</t>
    </rPh>
    <phoneticPr fontId="5"/>
  </si>
  <si>
    <t>熱源設備、ファン、あるいはポンプがが複数台で構成されている場合、負荷の変動等に応じた稼働台数の調整</t>
    <rPh sb="20" eb="21">
      <t>ダイ</t>
    </rPh>
    <phoneticPr fontId="5"/>
  </si>
  <si>
    <t>照明対象範囲の細分化</t>
  </si>
  <si>
    <t>照明人感センサー</t>
    <rPh sb="0" eb="2">
      <t>ショウメイ</t>
    </rPh>
    <rPh sb="2" eb="4">
      <t>ジンカン</t>
    </rPh>
    <phoneticPr fontId="5"/>
  </si>
  <si>
    <t>実施状況</t>
    <rPh sb="0" eb="4">
      <t>ジッシジョウキョウ</t>
    </rPh>
    <phoneticPr fontId="5"/>
  </si>
  <si>
    <t>年間使用量</t>
    <rPh sb="0" eb="2">
      <t>ネンカン</t>
    </rPh>
    <rPh sb="2" eb="5">
      <t>シヨウリョウ</t>
    </rPh>
    <phoneticPr fontId="5"/>
  </si>
  <si>
    <t>LPGのL→kg換算</t>
    <rPh sb="8" eb="10">
      <t>カンサン</t>
    </rPh>
    <phoneticPr fontId="5"/>
  </si>
  <si>
    <t>メーカー・型番</t>
    <rPh sb="5" eb="7">
      <t>カタバン</t>
    </rPh>
    <phoneticPr fontId="5"/>
  </si>
  <si>
    <t>主要設備または主要工程のエネルギー使用量の把握</t>
    <rPh sb="0" eb="4">
      <t>シュヨウセツビ</t>
    </rPh>
    <rPh sb="7" eb="9">
      <t>シュヨウ</t>
    </rPh>
    <rPh sb="9" eb="11">
      <t>コウテイ</t>
    </rPh>
    <rPh sb="17" eb="20">
      <t>シヨウリョウ</t>
    </rPh>
    <rPh sb="21" eb="23">
      <t>ハアク</t>
    </rPh>
    <phoneticPr fontId="5"/>
  </si>
  <si>
    <t>選択</t>
    <rPh sb="0" eb="2">
      <t>センタク</t>
    </rPh>
    <phoneticPr fontId="5"/>
  </si>
  <si>
    <t>設備1</t>
    <rPh sb="0" eb="2">
      <t>セツビ</t>
    </rPh>
    <phoneticPr fontId="5"/>
  </si>
  <si>
    <t>設備2</t>
    <rPh sb="0" eb="2">
      <t>セツビ</t>
    </rPh>
    <phoneticPr fontId="5"/>
  </si>
  <si>
    <t>設備3</t>
    <rPh sb="0" eb="2">
      <t>セツビ</t>
    </rPh>
    <phoneticPr fontId="5"/>
  </si>
  <si>
    <t>設備4</t>
    <rPh sb="0" eb="2">
      <t>セツビ</t>
    </rPh>
    <phoneticPr fontId="5"/>
  </si>
  <si>
    <t>設備5</t>
    <rPh sb="0" eb="2">
      <t>セツビ</t>
    </rPh>
    <phoneticPr fontId="5"/>
  </si>
  <si>
    <t>設備6</t>
    <rPh sb="0" eb="2">
      <t>セツビ</t>
    </rPh>
    <phoneticPr fontId="5"/>
  </si>
  <si>
    <t>設備7</t>
    <rPh sb="0" eb="2">
      <t>セツビ</t>
    </rPh>
    <phoneticPr fontId="5"/>
  </si>
  <si>
    <t>設備8</t>
    <rPh sb="0" eb="2">
      <t>セツビ</t>
    </rPh>
    <phoneticPr fontId="5"/>
  </si>
  <si>
    <t>設備9</t>
    <rPh sb="0" eb="2">
      <t>セツビ</t>
    </rPh>
    <phoneticPr fontId="5"/>
  </si>
  <si>
    <t>設備10</t>
    <rPh sb="0" eb="2">
      <t>セツビ</t>
    </rPh>
    <phoneticPr fontId="5"/>
  </si>
  <si>
    <t>設備11</t>
    <rPh sb="0" eb="2">
      <t>セツビ</t>
    </rPh>
    <phoneticPr fontId="5"/>
  </si>
  <si>
    <t>設備12</t>
    <rPh sb="0" eb="2">
      <t>セツビ</t>
    </rPh>
    <phoneticPr fontId="5"/>
  </si>
  <si>
    <t>設備13</t>
    <rPh sb="0" eb="2">
      <t>セツビ</t>
    </rPh>
    <phoneticPr fontId="5"/>
  </si>
  <si>
    <t>設備14</t>
    <rPh sb="0" eb="2">
      <t>セツビ</t>
    </rPh>
    <phoneticPr fontId="5"/>
  </si>
  <si>
    <t>設備15</t>
    <rPh sb="0" eb="2">
      <t>セツビ</t>
    </rPh>
    <phoneticPr fontId="5"/>
  </si>
  <si>
    <t>削減量</t>
  </si>
  <si>
    <t>項目</t>
    <rPh sb="0" eb="2">
      <t>コウモク</t>
    </rPh>
    <phoneticPr fontId="5"/>
  </si>
  <si>
    <t>単位</t>
    <rPh sb="0" eb="2">
      <t>タンイ</t>
    </rPh>
    <phoneticPr fontId="5"/>
  </si>
  <si>
    <t>光熱費</t>
  </si>
  <si>
    <t>削減率</t>
    <rPh sb="0" eb="3">
      <t>サクゲンリツ</t>
    </rPh>
    <phoneticPr fontId="5"/>
  </si>
  <si>
    <t>再生可能エネルギーの活用</t>
    <rPh sb="0" eb="4">
      <t>サイセイカノウ</t>
    </rPh>
    <rPh sb="10" eb="12">
      <t>カツヨウ</t>
    </rPh>
    <phoneticPr fontId="5"/>
  </si>
  <si>
    <t>kW</t>
    <phoneticPr fontId="5"/>
  </si>
  <si>
    <t>円/年</t>
    <phoneticPr fontId="5"/>
  </si>
  <si>
    <t>ピーク電力等把握</t>
    <rPh sb="3" eb="5">
      <t>デンリョク</t>
    </rPh>
    <rPh sb="5" eb="6">
      <t>トウ</t>
    </rPh>
    <rPh sb="6" eb="8">
      <t>ハアク</t>
    </rPh>
    <phoneticPr fontId="5"/>
  </si>
  <si>
    <t>%</t>
    <phoneticPr fontId="5"/>
  </si>
  <si>
    <t>力率</t>
    <rPh sb="0" eb="2">
      <t>リキリツ</t>
    </rPh>
    <phoneticPr fontId="5"/>
  </si>
  <si>
    <t>（請求書参照）</t>
  </si>
  <si>
    <t>再エネ発電　出力計</t>
    <rPh sb="0" eb="1">
      <t>サイ</t>
    </rPh>
    <rPh sb="3" eb="5">
      <t>ハツデン</t>
    </rPh>
    <rPh sb="6" eb="8">
      <t>シュツリョク</t>
    </rPh>
    <rPh sb="8" eb="9">
      <t>ケイ</t>
    </rPh>
    <phoneticPr fontId="5"/>
  </si>
  <si>
    <t>kWh/年</t>
    <rPh sb="4" eb="5">
      <t>ネン</t>
    </rPh>
    <phoneticPr fontId="5"/>
  </si>
  <si>
    <t>買電の低炭素化</t>
    <rPh sb="0" eb="2">
      <t>バイデン</t>
    </rPh>
    <rPh sb="3" eb="7">
      <t>テイタンソカ</t>
    </rPh>
    <phoneticPr fontId="5"/>
  </si>
  <si>
    <t>調整後排出係数</t>
    <rPh sb="0" eb="3">
      <t>チョウセイゴ</t>
    </rPh>
    <rPh sb="3" eb="7">
      <t>ハイシュツケイスウ</t>
    </rPh>
    <phoneticPr fontId="5"/>
  </si>
  <si>
    <t>年間発電量</t>
    <rPh sb="0" eb="2">
      <t>ネンカン</t>
    </rPh>
    <rPh sb="2" eb="5">
      <t>ハツデンリョウ</t>
    </rPh>
    <phoneticPr fontId="5"/>
  </si>
  <si>
    <t>tCO2/kWh</t>
  </si>
  <si>
    <t>診断結果【設備の更新によるCO2削減効果】</t>
    <rPh sb="0" eb="4">
      <t>シンダンケッカ</t>
    </rPh>
    <rPh sb="5" eb="7">
      <t>セツビ</t>
    </rPh>
    <rPh sb="8" eb="10">
      <t>コウシン</t>
    </rPh>
    <rPh sb="16" eb="20">
      <t>サクゲンコウカ</t>
    </rPh>
    <phoneticPr fontId="5"/>
  </si>
  <si>
    <t>診断結果【省エネ・二酸化炭素削減取組状況とアドバイス】</t>
    <rPh sb="0" eb="4">
      <t>シンダンケッカ</t>
    </rPh>
    <rPh sb="5" eb="6">
      <t>ショウ</t>
    </rPh>
    <rPh sb="9" eb="14">
      <t>ニサンカタンソ</t>
    </rPh>
    <rPh sb="14" eb="16">
      <t>サクゲン</t>
    </rPh>
    <rPh sb="16" eb="18">
      <t>トリクミ</t>
    </rPh>
    <rPh sb="18" eb="20">
      <t>ジョウキョウ</t>
    </rPh>
    <phoneticPr fontId="5"/>
  </si>
  <si>
    <t>診断結果【エネルギー使用の状況】</t>
    <rPh sb="0" eb="4">
      <t>シンダンケッカ</t>
    </rPh>
    <rPh sb="10" eb="12">
      <t>シヨウ</t>
    </rPh>
    <rPh sb="13" eb="15">
      <t>ジョウキョウ</t>
    </rPh>
    <phoneticPr fontId="5"/>
  </si>
  <si>
    <t>構成比</t>
    <rPh sb="0" eb="3">
      <t>コウセイヒ</t>
    </rPh>
    <phoneticPr fontId="5"/>
  </si>
  <si>
    <t>エネルギー種類</t>
    <rPh sb="5" eb="7">
      <t>シュルイ</t>
    </rPh>
    <phoneticPr fontId="5"/>
  </si>
  <si>
    <t>エネルギー種類別CO２排出量</t>
    <rPh sb="5" eb="8">
      <t>シュルイベツ</t>
    </rPh>
    <rPh sb="11" eb="14">
      <t>ハイシュツリョウ</t>
    </rPh>
    <phoneticPr fontId="5"/>
  </si>
  <si>
    <t>月</t>
    <rPh sb="0" eb="1">
      <t>ツキ</t>
    </rPh>
    <phoneticPr fontId="5"/>
  </si>
  <si>
    <t>CO2排出量
tCO2</t>
    <rPh sb="3" eb="6">
      <t>ハイシュツリョウ</t>
    </rPh>
    <phoneticPr fontId="5"/>
  </si>
  <si>
    <t>年間構成比</t>
    <rPh sb="0" eb="2">
      <t>ネンカン</t>
    </rPh>
    <rPh sb="2" eb="5">
      <t>コウセイヒ</t>
    </rPh>
    <phoneticPr fontId="5"/>
  </si>
  <si>
    <t>未実施</t>
    <rPh sb="0" eb="3">
      <t>ミジッシ</t>
    </rPh>
    <phoneticPr fontId="5"/>
  </si>
  <si>
    <t>実施率</t>
    <rPh sb="0" eb="3">
      <t>ジッシリツ</t>
    </rPh>
    <phoneticPr fontId="5"/>
  </si>
  <si>
    <t>回答</t>
    <rPh sb="0" eb="2">
      <t>カイトウ</t>
    </rPh>
    <phoneticPr fontId="5"/>
  </si>
  <si>
    <t>アドバイス</t>
    <phoneticPr fontId="5"/>
  </si>
  <si>
    <t>事業所全体</t>
    <rPh sb="0" eb="3">
      <t>ジギョウショ</t>
    </rPh>
    <rPh sb="3" eb="5">
      <t>ゼンタイ</t>
    </rPh>
    <phoneticPr fontId="5"/>
  </si>
  <si>
    <t>合計</t>
    <rPh sb="0" eb="2">
      <t>ゴウケイ</t>
    </rPh>
    <phoneticPr fontId="5"/>
  </si>
  <si>
    <t>←選択してください</t>
    <rPh sb="1" eb="3">
      <t>センタク</t>
    </rPh>
    <phoneticPr fontId="5"/>
  </si>
  <si>
    <t>入力セル</t>
    <rPh sb="0" eb="2">
      <t>ニュウリョク</t>
    </rPh>
    <phoneticPr fontId="5"/>
  </si>
  <si>
    <t>リストから選択するセル</t>
    <rPh sb="5" eb="7">
      <t>センタク</t>
    </rPh>
    <phoneticPr fontId="5"/>
  </si>
  <si>
    <t>　省エネのためには、エネルギー消費の要因を把握することが重要です。月別のエネルギー使用量を把握し、季節による影響（空調への負荷）、事業の季節変動の影響と合わせて比較します。複数のエネルギーを使用している場合は、CO2排出量または原油換算エネルギー使用量に単位をそろえることが有効です。</t>
    <phoneticPr fontId="5"/>
  </si>
  <si>
    <t>　改善すべき設備の把握と改善効果の把握のためには、主要設備または主要工程の別にエネルギー使用量を把握することが有効です。複数のエネルギーを使用している場合は、CO2排出量または原油換算エネルギー使用量に単位をそろえることが有効です。</t>
    <phoneticPr fontId="5"/>
  </si>
  <si>
    <t>力率</t>
    <rPh sb="0" eb="2">
      <t>リキリツ</t>
    </rPh>
    <phoneticPr fontId="5"/>
  </si>
  <si>
    <t>　力率が低いと発電された電力のうち有効に使える量が少なくなります。そのため、力率が85%を上回る場合は、上回る1%につき基本料金を1%割引されます。 一方、85%を下回る場合は、下回る1%につき基本料金を1%割増されます。進相コンデンサーの設置により力率を改善できます。</t>
    <rPh sb="1" eb="3">
      <t>リキリツ</t>
    </rPh>
    <rPh sb="4" eb="5">
      <t>ヒク</t>
    </rPh>
    <rPh sb="7" eb="9">
      <t>ハツデン</t>
    </rPh>
    <rPh sb="12" eb="14">
      <t>デンリョク</t>
    </rPh>
    <rPh sb="17" eb="19">
      <t>ユウコウ</t>
    </rPh>
    <rPh sb="20" eb="21">
      <t>ツカ</t>
    </rPh>
    <rPh sb="23" eb="24">
      <t>リョウ</t>
    </rPh>
    <rPh sb="25" eb="26">
      <t>スク</t>
    </rPh>
    <rPh sb="111" eb="112">
      <t>ススム</t>
    </rPh>
    <rPh sb="112" eb="113">
      <t>ソウ</t>
    </rPh>
    <rPh sb="120" eb="122">
      <t>セッチ</t>
    </rPh>
    <rPh sb="125" eb="127">
      <t>リキリツ</t>
    </rPh>
    <rPh sb="128" eb="130">
      <t>カイゼン</t>
    </rPh>
    <phoneticPr fontId="5"/>
  </si>
  <si>
    <t>力率を100%に改善した場合</t>
    <rPh sb="0" eb="2">
      <t>リキリツ</t>
    </rPh>
    <rPh sb="8" eb="10">
      <t>カイゼン</t>
    </rPh>
    <rPh sb="12" eb="14">
      <t>バアイ</t>
    </rPh>
    <phoneticPr fontId="5"/>
  </si>
  <si>
    <t>円/年</t>
    <rPh sb="2" eb="3">
      <t>ネン</t>
    </rPh>
    <phoneticPr fontId="5"/>
  </si>
  <si>
    <t>年間基本料金</t>
    <rPh sb="0" eb="2">
      <t>ネンカン</t>
    </rPh>
    <rPh sb="2" eb="6">
      <t>キホンリョウキン</t>
    </rPh>
    <phoneticPr fontId="5"/>
  </si>
  <si>
    <t>ピーク電力を5%削減した場合</t>
    <rPh sb="8" eb="10">
      <t>サクゲン</t>
    </rPh>
    <phoneticPr fontId="5"/>
  </si>
  <si>
    <t>円/kW</t>
    <phoneticPr fontId="5"/>
  </si>
  <si>
    <t>月基本料金単価</t>
    <rPh sb="0" eb="1">
      <t>ゲツ</t>
    </rPh>
    <rPh sb="1" eb="5">
      <t>キホンリョウキン</t>
    </rPh>
    <rPh sb="5" eb="7">
      <t>タンカ</t>
    </rPh>
    <phoneticPr fontId="5"/>
  </si>
  <si>
    <t>契約電力</t>
    <rPh sb="0" eb="2">
      <t>ケイヤク</t>
    </rPh>
    <rPh sb="2" eb="4">
      <t>デンリョク</t>
    </rPh>
    <phoneticPr fontId="5"/>
  </si>
  <si>
    <t>力率を100%に改善、ピーク電力を5%削減した場合</t>
    <rPh sb="0" eb="2">
      <t>リキリツ</t>
    </rPh>
    <rPh sb="8" eb="10">
      <t>カイゼン</t>
    </rPh>
    <rPh sb="19" eb="21">
      <t>サクゲン</t>
    </rPh>
    <phoneticPr fontId="5"/>
  </si>
  <si>
    <t>月基本料金単価</t>
    <rPh sb="0" eb="1">
      <t>ツキ</t>
    </rPh>
    <rPh sb="1" eb="5">
      <t>キホンリョウキン</t>
    </rPh>
    <rPh sb="5" eb="7">
      <t>タンカ</t>
    </rPh>
    <phoneticPr fontId="5"/>
  </si>
  <si>
    <t>検討した設備による削減効果の合計</t>
    <rPh sb="0" eb="2">
      <t>ケントウ</t>
    </rPh>
    <rPh sb="4" eb="6">
      <t>セツビ</t>
    </rPh>
    <rPh sb="9" eb="13">
      <t>サクゲンコウカ</t>
    </rPh>
    <rPh sb="14" eb="16">
      <t>ゴウケイ</t>
    </rPh>
    <phoneticPr fontId="5"/>
  </si>
  <si>
    <t>事業所全体のCO2排出量</t>
    <rPh sb="0" eb="3">
      <t>ジギョウショ</t>
    </rPh>
    <rPh sb="3" eb="5">
      <t>ゼンタイ</t>
    </rPh>
    <rPh sb="9" eb="12">
      <t>ハイシュツリョウ</t>
    </rPh>
    <phoneticPr fontId="5"/>
  </si>
  <si>
    <t>（請求書参照）</t>
    <phoneticPr fontId="5"/>
  </si>
  <si>
    <t>（請求書参照）</t>
    <rPh sb="1" eb="4">
      <t>セイキュウショ</t>
    </rPh>
    <rPh sb="4" eb="6">
      <t>サンショウ</t>
    </rPh>
    <phoneticPr fontId="5"/>
  </si>
  <si>
    <t>力率の改善</t>
    <rPh sb="0" eb="1">
      <t>リキリツ</t>
    </rPh>
    <rPh sb="2" eb="4">
      <t>カイゼン</t>
    </rPh>
    <phoneticPr fontId="5"/>
  </si>
  <si>
    <t>　省エネのためには、エネルギー消費の要因を把握することが重要です。季節による影響把握、主要設備または主要工程の別の把握も有効です。</t>
    <rPh sb="40" eb="42">
      <t>ハアク</t>
    </rPh>
    <rPh sb="60" eb="62">
      <t>ユウコウ</t>
    </rPh>
    <phoneticPr fontId="5"/>
  </si>
  <si>
    <t>空調温度設定管理</t>
    <rPh sb="2" eb="6">
      <t>オンドセッテイ</t>
    </rPh>
    <rPh sb="6" eb="8">
      <t>カンリ</t>
    </rPh>
    <phoneticPr fontId="5"/>
  </si>
  <si>
    <t>設定温度を1℃緩和すると、約10％の節電効果があります。
部屋の用途により、必要な温度条件を定めて、利用者が正しく設定できるように明示することも有効です。</t>
    <rPh sb="7" eb="9">
      <t>カンワ</t>
    </rPh>
    <rPh sb="29" eb="31">
      <t>ヘヤ</t>
    </rPh>
    <rPh sb="32" eb="34">
      <t>ヨウト</t>
    </rPh>
    <rPh sb="38" eb="40">
      <t>ヒツヨウ</t>
    </rPh>
    <rPh sb="41" eb="43">
      <t>オンド</t>
    </rPh>
    <rPh sb="43" eb="45">
      <t>ジョウケン</t>
    </rPh>
    <rPh sb="46" eb="47">
      <t>サダ</t>
    </rPh>
    <rPh sb="50" eb="53">
      <t>リヨウシャ</t>
    </rPh>
    <rPh sb="54" eb="55">
      <t>タダ</t>
    </rPh>
    <rPh sb="57" eb="59">
      <t>セッテイ</t>
    </rPh>
    <rPh sb="65" eb="67">
      <t>メイジ</t>
    </rPh>
    <rPh sb="72" eb="74">
      <t>ユウコウ</t>
    </rPh>
    <phoneticPr fontId="5"/>
  </si>
  <si>
    <t>　常に100％の出力の状態に比べ、必要な負荷に合わせて運転台数を制御します。電気使用量は、年間の稼働率を仮に50%にすれば、電気の使用量が半減します。</t>
    <rPh sb="1" eb="2">
      <t>ツネ</t>
    </rPh>
    <rPh sb="8" eb="10">
      <t>シュツリョク</t>
    </rPh>
    <rPh sb="11" eb="13">
      <t>ジョウタイ</t>
    </rPh>
    <rPh sb="14" eb="15">
      <t>クラ</t>
    </rPh>
    <rPh sb="17" eb="19">
      <t>ヒツヨウ</t>
    </rPh>
    <rPh sb="20" eb="22">
      <t>フカ</t>
    </rPh>
    <rPh sb="23" eb="24">
      <t>ア</t>
    </rPh>
    <rPh sb="27" eb="29">
      <t>ウンテン</t>
    </rPh>
    <rPh sb="29" eb="31">
      <t>ダイスウ</t>
    </rPh>
    <rPh sb="32" eb="34">
      <t>セイギョ</t>
    </rPh>
    <rPh sb="38" eb="40">
      <t>デンキ</t>
    </rPh>
    <rPh sb="45" eb="47">
      <t>ネンカン</t>
    </rPh>
    <rPh sb="48" eb="51">
      <t>カドウリツ</t>
    </rPh>
    <rPh sb="52" eb="53">
      <t>カリ</t>
    </rPh>
    <rPh sb="62" eb="64">
      <t>デンキ</t>
    </rPh>
    <rPh sb="65" eb="68">
      <t>シヨウリョウ</t>
    </rPh>
    <rPh sb="69" eb="71">
      <t>ハンゲン</t>
    </rPh>
    <phoneticPr fontId="5"/>
  </si>
  <si>
    <t>　インバーター制御では、電気使用量は、回転数の3乗に比例します。回転数を半分にすれば、電気使用量は（１／２）の3乗で、1／８になります。</t>
    <rPh sb="7" eb="9">
      <t>セイギョ</t>
    </rPh>
    <rPh sb="12" eb="14">
      <t>デンキ</t>
    </rPh>
    <rPh sb="14" eb="17">
      <t>シヨウリョウ</t>
    </rPh>
    <rPh sb="19" eb="22">
      <t>カイテンスウ</t>
    </rPh>
    <rPh sb="24" eb="25">
      <t>ジョウ</t>
    </rPh>
    <rPh sb="26" eb="28">
      <t>ヒレイ</t>
    </rPh>
    <rPh sb="32" eb="35">
      <t>カイテンスウ</t>
    </rPh>
    <rPh sb="36" eb="38">
      <t>ハンブン</t>
    </rPh>
    <rPh sb="43" eb="45">
      <t>デンキ</t>
    </rPh>
    <rPh sb="45" eb="48">
      <t>シヨウリョウ</t>
    </rPh>
    <rPh sb="56" eb="57">
      <t>ジョウ</t>
    </rPh>
    <phoneticPr fontId="5"/>
  </si>
  <si>
    <t>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t>
    <phoneticPr fontId="5"/>
  </si>
  <si>
    <t>　契約電力（年間のピーク電力）は、３０分毎の電気使用量の年間最大値により決まり、契約電力に比例して基本料金が決まります。年間のピーク電力がいつ発生しているかを把握し、対策することで、年間の電気料金を減らすことができます。また、需要逼迫時の負荷を減らすことに貢献できます。</t>
    <rPh sb="1" eb="3">
      <t>ケイヤク</t>
    </rPh>
    <rPh sb="3" eb="5">
      <t>デンリョク</t>
    </rPh>
    <rPh sb="36" eb="37">
      <t>キ</t>
    </rPh>
    <rPh sb="40" eb="42">
      <t>ケイヤク</t>
    </rPh>
    <rPh sb="42" eb="44">
      <t>デンリョク</t>
    </rPh>
    <rPh sb="45" eb="47">
      <t>ヒレイ</t>
    </rPh>
    <rPh sb="71" eb="73">
      <t>ハッセイ</t>
    </rPh>
    <rPh sb="83" eb="85">
      <t>タイサク</t>
    </rPh>
    <phoneticPr fontId="5"/>
  </si>
  <si>
    <t>　二酸化炭素排出量の実質ゼロを目指すには、省エネだけでゼロにすることは不可能ですので、再生可能エネルギーの利用割合が高い電気（低炭素電気）を買電することも重要です。</t>
    <rPh sb="63" eb="66">
      <t>テイタンソ</t>
    </rPh>
    <rPh sb="66" eb="68">
      <t>デンキ</t>
    </rPh>
    <phoneticPr fontId="5"/>
  </si>
  <si>
    <t>　大空間事務室の照明では、不必要範囲の照明も点灯されるため、使用頻度の少ない部分がある場合には、必要な場所のみを点灯します。</t>
    <phoneticPr fontId="5"/>
  </si>
  <si>
    <t>　常時点灯する必要がない場所では、人感センサー方式を導入し、照明器具の｢ON・OFF｣又は、｢100％点灯から25％(30％)｣への点灯を自動制御します。</t>
    <rPh sb="1" eb="3">
      <t>ジョウジ</t>
    </rPh>
    <rPh sb="3" eb="5">
      <t>テントウ</t>
    </rPh>
    <rPh sb="7" eb="9">
      <t>ヒツヨウ</t>
    </rPh>
    <rPh sb="12" eb="14">
      <t>バショ</t>
    </rPh>
    <phoneticPr fontId="5"/>
  </si>
  <si>
    <t>　保温材が敷設されていない蒸気配管や蒸気バルブは、バルブの表面温度が高いため、放熱量も大きいです。断熱を強化することにより、放熱損失を防ぐことができます。</t>
    <phoneticPr fontId="5"/>
  </si>
  <si>
    <t>ボイラや冷温水発生機等の燃焼設備は、空気比（実空気量／理論空気量）が大きい場合、燃焼温度や機器効率の低下につながるため、空気比を調整（最適化）することが有効です。</t>
    <rPh sb="76" eb="78">
      <t>ユウコウ</t>
    </rPh>
    <phoneticPr fontId="5"/>
  </si>
  <si>
    <t>　省エネについて検討する際には、空調系統図、空調制御図、熱搬送系統図、圧縮空気配管図、単線結線図等の整備が有効でです。主要設備に係る機器管理台帳の整備も有効です。</t>
    <rPh sb="1" eb="2">
      <t>ショウ</t>
    </rPh>
    <rPh sb="8" eb="10">
      <t>ケントウ</t>
    </rPh>
    <rPh sb="12" eb="13">
      <t>サイ</t>
    </rPh>
    <rPh sb="53" eb="55">
      <t>ユウコウ</t>
    </rPh>
    <rPh sb="76" eb="78">
      <t>ユウコウ</t>
    </rPh>
    <phoneticPr fontId="5"/>
  </si>
  <si>
    <t>　温室効果ガスの排出の抑制等に関する推進体制を整備することが重要です。従業員に対し、温室効果ガスの排出の抑制等の重要性や取組に必要な情報ついての周知、研修も重要です。</t>
    <rPh sb="30" eb="32">
      <t>ジュウヨウ</t>
    </rPh>
    <rPh sb="78" eb="80">
      <t>ジュウヨウ</t>
    </rPh>
    <phoneticPr fontId="5"/>
  </si>
  <si>
    <t>合計</t>
    <rPh sb="0" eb="2">
      <t>ゴウケイ</t>
    </rPh>
    <phoneticPr fontId="12"/>
  </si>
  <si>
    <t>　</t>
  </si>
  <si>
    <t>敷地や建物（屋上・壁面等）の植栽や緑化をしている。</t>
  </si>
  <si>
    <t>８　緑化の
　推進</t>
    <phoneticPr fontId="12"/>
  </si>
  <si>
    <t>森林の整備や保全活動に参加・協力している。</t>
  </si>
  <si>
    <t>７　森林の　
　保全</t>
    <phoneticPr fontId="12"/>
  </si>
  <si>
    <t>両面コピー、使用済みの裏紙使用、資料の電子化等により紙の使用量の削減を実施している。</t>
  </si>
  <si>
    <t>３Ｒ（リデュース・リユース・リサイクル）に取り組んでいる。</t>
  </si>
  <si>
    <t>６　廃棄物の削減</t>
    <rPh sb="6" eb="8">
      <t>サクゲン</t>
    </rPh>
    <phoneticPr fontId="12"/>
  </si>
  <si>
    <t>従業員のエコ通勤を推奨している。（公共交通機関・自転車の利用等）</t>
  </si>
  <si>
    <t>共同集荷・集配などによる積載率の向上を図るため、事業者間の連携に取り組んでいる。</t>
  </si>
  <si>
    <t>配送・配車計画の策定等により、効率的な輸送経路による運行を行っている。</t>
  </si>
  <si>
    <t>運転を担当する従業員又は従業員グループ別の燃費を把握している。</t>
  </si>
  <si>
    <t>運転を担当する従業員にエコドライブの実施を促している。</t>
  </si>
  <si>
    <t>投資</t>
  </si>
  <si>
    <t>プラグインハイブリッド自動車・電気自動車等の次世代自動車を導入している。</t>
  </si>
  <si>
    <t>５　自動車の燃料消費量の削減</t>
    <rPh sb="2" eb="5">
      <t>ジドウシャ</t>
    </rPh>
    <rPh sb="6" eb="8">
      <t>ネンリョウ</t>
    </rPh>
    <rPh sb="8" eb="11">
      <t>ショウヒリョウ</t>
    </rPh>
    <phoneticPr fontId="12"/>
  </si>
  <si>
    <t>二重窓・複層ガラス・遮熱フィルム等による窓の断熱化や遮熱化を図っている。</t>
  </si>
  <si>
    <t>屋根面・壁面等の断熱化や遮熱化を図っている。</t>
  </si>
  <si>
    <t>高効率空調設備を導入している。</t>
  </si>
  <si>
    <t>空調の吹出口・吸込口やエアコン室外機の通風を確保している。</t>
  </si>
  <si>
    <t>空調負荷の低減のためブラインド等を適切に活用している。</t>
  </si>
  <si>
    <t>クールビズやウォームビズを実施している。</t>
  </si>
  <si>
    <t>室温の適正管理（夏２８℃、冬２０℃を目安）に取り組んでいる。</t>
  </si>
  <si>
    <t>必須</t>
  </si>
  <si>
    <t>４　エネルギー消費量の削減
（空調）</t>
    <rPh sb="7" eb="9">
      <t>ショウヒ</t>
    </rPh>
    <phoneticPr fontId="12"/>
  </si>
  <si>
    <t>事務用機器等の省エネモード等を利用している。</t>
  </si>
  <si>
    <t>事業所内のトイレ、給湯室、階段等、常時使用しない箇所の照明に人感センサーを導入している。</t>
  </si>
  <si>
    <t>事業所内の半数以上の照明にLED照明等の高効率照明を使用している。</t>
  </si>
  <si>
    <t>業務に支障のない範囲で照明の消灯時間帯を設定している。</t>
  </si>
  <si>
    <t>業務に支障のない範囲で照明の間引きや部分的な消灯を実施している。</t>
  </si>
  <si>
    <t>３　エネルギー消費量の
削減（照明・電力）</t>
    <rPh sb="7" eb="10">
      <t>ショウヒリョウ</t>
    </rPh>
    <phoneticPr fontId="12"/>
  </si>
  <si>
    <t>テナントオーナーとの省エネ推進体制に参加している。（定例会議への参加、テナントの省エネ担当者を登録　など）</t>
  </si>
  <si>
    <t>テナントにエネルギー消費量・デマンド値を通知している。</t>
  </si>
  <si>
    <t>テナント向けの省エネマニュアルを作成している。</t>
  </si>
  <si>
    <t>テナントとの省エネ推進体制を構築している。（定例会議の開催・報告会の実施、テナントの省エネ担当者を登録　など）</t>
  </si>
  <si>
    <t>ノー残業デーの設定・残業時間の制限など、ワークスタイルの見直しに取り組んでいる。　　　　　　　　　　　　　</t>
  </si>
  <si>
    <t>省エネの責任者及び担当者を決め、組織として省エネの実施体制を整備している。</t>
  </si>
  <si>
    <t>「国際エネルギースターマーク」や「省エネラベル」等を参考に省エネルギー性能の優れたOA機器等を購入している。</t>
  </si>
  <si>
    <t>「エコマーク」や「再生紙使用マーク」等の環境ラベルの表示がある事務用品等を優先的に購入している。</t>
  </si>
  <si>
    <t>節水機器の設置により上下水道使用量を削減している。</t>
  </si>
  <si>
    <t>ボイラーの燃焼空気量を適正に管理している。</t>
  </si>
  <si>
    <t>２　省エネルギー全般</t>
    <phoneticPr fontId="12"/>
  </si>
  <si>
    <t>給湯設備や空調設備の配管を断熱化している。</t>
  </si>
  <si>
    <t>照明器具や空調機器の定期的な清掃を実施している。</t>
  </si>
  <si>
    <t>コージェネレーション設備を設置している。</t>
  </si>
  <si>
    <t>太陽光発電設備・太陽熱利用設備・地中熱利用設備などの再生可能エネルギー利用設備を設置している。</t>
  </si>
  <si>
    <t>事業所の建物が、BELS、省エネ基準適合認定マーク（eマーク）、CASBEE等、環境性能に関する第三者認証制度での認定・認証等を受けている。</t>
  </si>
  <si>
    <t>エネルギー・マネジメント・システム（ＥＭＳ）を設置している。</t>
  </si>
  <si>
    <t>エネルギー使用量を管理し、見える化・分析を行っている。</t>
  </si>
  <si>
    <t>専門機関による省エネルギー診断等を受診している。</t>
  </si>
  <si>
    <t>国や千葉県が公表している環境に関する情報を積極的に入手し、事業所での地球温暖化対策に活用している。</t>
    <rPh sb="0" eb="1">
      <t>クニ</t>
    </rPh>
    <rPh sb="2" eb="5">
      <t>チバケン</t>
    </rPh>
    <rPh sb="6" eb="8">
      <t>コウヒョウ</t>
    </rPh>
    <rPh sb="12" eb="14">
      <t>カンキョウ</t>
    </rPh>
    <rPh sb="15" eb="16">
      <t>カン</t>
    </rPh>
    <rPh sb="18" eb="20">
      <t>ジョウホウ</t>
    </rPh>
    <rPh sb="21" eb="24">
      <t>セッキョクテキ</t>
    </rPh>
    <rPh sb="25" eb="27">
      <t>ニュウシュ</t>
    </rPh>
    <rPh sb="29" eb="32">
      <t>ジギョウショ</t>
    </rPh>
    <rPh sb="34" eb="36">
      <t>チキュウ</t>
    </rPh>
    <rPh sb="36" eb="39">
      <t>オンダンカ</t>
    </rPh>
    <rPh sb="39" eb="41">
      <t>タイサク</t>
    </rPh>
    <rPh sb="42" eb="44">
      <t>カツヨウ</t>
    </rPh>
    <phoneticPr fontId="12"/>
  </si>
  <si>
    <t>再生可能エネルギー由来の電気を購入している。</t>
    <rPh sb="0" eb="2">
      <t>サイセイ</t>
    </rPh>
    <rPh sb="2" eb="4">
      <t>カノウ</t>
    </rPh>
    <rPh sb="9" eb="11">
      <t>ユライ</t>
    </rPh>
    <rPh sb="12" eb="14">
      <t>デンキ</t>
    </rPh>
    <rPh sb="15" eb="17">
      <t>コウニュウ</t>
    </rPh>
    <phoneticPr fontId="12"/>
  </si>
  <si>
    <t>製品・サービスのライフサイクルにおける温室効果ガス排出量の見える化を行っている。</t>
    <rPh sb="0" eb="2">
      <t>セイヒン</t>
    </rPh>
    <rPh sb="19" eb="21">
      <t>オンシツ</t>
    </rPh>
    <rPh sb="21" eb="23">
      <t>コウカ</t>
    </rPh>
    <rPh sb="25" eb="27">
      <t>ハイシュツ</t>
    </rPh>
    <rPh sb="27" eb="28">
      <t>リョウ</t>
    </rPh>
    <rPh sb="29" eb="30">
      <t>ミ</t>
    </rPh>
    <rPh sb="32" eb="33">
      <t>カ</t>
    </rPh>
    <rPh sb="34" eb="35">
      <t>オコナ</t>
    </rPh>
    <phoneticPr fontId="12"/>
  </si>
  <si>
    <t>自主的に事業所全体で取り組む地球温暖化対策の方針・計画を
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9" eb="31">
      <t>サクテイ</t>
    </rPh>
    <rPh sb="33" eb="35">
      <t>キョウユウ</t>
    </rPh>
    <phoneticPr fontId="12"/>
  </si>
  <si>
    <t>RE100（使用電力を１００％再生可能エネルギーで賄うこと）を目指すことを公表している。</t>
    <rPh sb="31" eb="33">
      <t>メザ</t>
    </rPh>
    <rPh sb="37" eb="39">
      <t>コウヒョウ</t>
    </rPh>
    <phoneticPr fontId="12"/>
  </si>
  <si>
    <t>2030年度の温室効果ガス削減目標値を設定・公表している。</t>
    <rPh sb="4" eb="6">
      <t>ネンド</t>
    </rPh>
    <rPh sb="7" eb="9">
      <t>オンシツ</t>
    </rPh>
    <rPh sb="9" eb="11">
      <t>コウカ</t>
    </rPh>
    <rPh sb="13" eb="15">
      <t>サクゲン</t>
    </rPh>
    <rPh sb="15" eb="17">
      <t>モクヒョウ</t>
    </rPh>
    <rPh sb="17" eb="18">
      <t>チ</t>
    </rPh>
    <rPh sb="19" eb="21">
      <t>セッテイ</t>
    </rPh>
    <rPh sb="22" eb="24">
      <t>コウヒョウ</t>
    </rPh>
    <phoneticPr fontId="12"/>
  </si>
  <si>
    <t>2050年カーボンニュートラルを宣言している。</t>
    <rPh sb="4" eb="5">
      <t>ネン</t>
    </rPh>
    <rPh sb="16" eb="18">
      <t>センゲン</t>
    </rPh>
    <phoneticPr fontId="12"/>
  </si>
  <si>
    <t>１　地球温暖化対策の先進的な取組</t>
    <rPh sb="2" eb="4">
      <t>チキュウ</t>
    </rPh>
    <rPh sb="4" eb="7">
      <t>オンダンカ</t>
    </rPh>
    <rPh sb="7" eb="9">
      <t>タイサク</t>
    </rPh>
    <rPh sb="14" eb="16">
      <t>トリクミ</t>
    </rPh>
    <phoneticPr fontId="12"/>
  </si>
  <si>
    <t>選択欄</t>
  </si>
  <si>
    <t>取組項目</t>
  </si>
  <si>
    <t>番号</t>
  </si>
  <si>
    <t>必須項目</t>
  </si>
  <si>
    <t>分類</t>
  </si>
  <si>
    <t>（取り組んでいる項目について選択欄に○を記載してください）</t>
    <rPh sb="1" eb="2">
      <t>ト</t>
    </rPh>
    <rPh sb="3" eb="4">
      <t>ク</t>
    </rPh>
    <rPh sb="8" eb="10">
      <t>コウモク</t>
    </rPh>
    <rPh sb="14" eb="16">
      <t>センタク</t>
    </rPh>
    <rPh sb="16" eb="17">
      <t>ラン</t>
    </rPh>
    <rPh sb="20" eb="22">
      <t>キサイ</t>
    </rPh>
    <phoneticPr fontId="12"/>
  </si>
  <si>
    <t>○</t>
  </si>
  <si>
    <t>自主的に事業所全体で取り組む地球温暖化対策の方針・計画を策定し、共有している。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8" eb="30">
      <t>サクテイ</t>
    </rPh>
    <rPh sb="32" eb="34">
      <t>キョウユウ</t>
    </rPh>
    <phoneticPr fontId="12"/>
  </si>
  <si>
    <t>2020年10月、政府は2050年までに温室効果ガスの排出を全体としてゼロにする、カーボンニュートラルを目指すことを宣言しました。カーボンニュートラルに向けた取組は、中小規模事業者にも及び、バリューチェーン内の中小規模事業者に対するCO2排出量の開示や削減を促す動きがあります。メリットとして、①「脱炭素経営が進んでいる企業」という良いイメージを獲得、②光熱費・燃料費の低減、③知名度・認知度向上、④社員のモチベーション・人材獲得力向、⑤好条件での資金調達があります。
（参考：https://www.env.go.jp/content/000114653.pdf）</t>
    <phoneticPr fontId="5"/>
  </si>
  <si>
    <t>中間目標として、政府は「2030年に2013年度比で46％の削減」としています。「基準年に対して4.2%/年の削減」等の指標、属する業界団体が設定する目標等を参考にすることも一案です。
（参考：https://www.env.go.jp/content/000114653.pdf）</t>
    <rPh sb="0" eb="2">
      <t>チュウカン</t>
    </rPh>
    <rPh sb="2" eb="4">
      <t>モクヒョウ</t>
    </rPh>
    <phoneticPr fontId="5"/>
  </si>
  <si>
    <t>　自社の脱炭素経営の方針を検討しましょう。検討した方針を踏まえ、自社が出来ることは何かを考えます。
　計画の策定においては、自社のCO2排出源を分析し、削減対策を洗い出してみましょう。洗い出した削減対策から実施可能な削減対策をリストアップし、実施計画を策定します。実施計画は、実施が容易な対策から徐々に拡大していくように策定することが重要です。
（参考：https://www.env.go.jp/content/000114653.pdf）</t>
    <rPh sb="51" eb="53">
      <t>ケイカク</t>
    </rPh>
    <rPh sb="54" eb="56">
      <t>サクテイ</t>
    </rPh>
    <phoneticPr fontId="5"/>
  </si>
  <si>
    <t>脱炭素経営の方針に則り、具体的な施策へと落としていくためには、まずは自社のCO2排出量の把握が必要です。主要な排出源を特定するところから始め、取組を進めながら、設備単位でも算定する等、徐々に精緻化していくとよいでしょう。
（参考：https://www.env.go.jp/content/000114653.pdf）</t>
    <phoneticPr fontId="5"/>
  </si>
  <si>
    <t>サプライチェーンとは、原料調達・製造・物流・販売・廃棄等、一連の流れ全体をいい、そこから発生する排出量を本書ではサプライチェーン排出量と呼んでいます。
(参考：https://www.env.go.jp/earth/ondanka/supply_chain/gvc/files/tools/supply_chain_201711_all.pdf)</t>
    <rPh sb="77" eb="79">
      <t>サンコウ</t>
    </rPh>
    <phoneticPr fontId="5"/>
  </si>
  <si>
    <t>生産だけで評価すると製品Ｂの方がＡよりCO2排出が少ないのですが、ライフサイクルでは逆になっています。(参考：https://www-cycle.nies.go.jp/magazine/mame/20070702.htm)</t>
    <rPh sb="52" eb="54">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</si>
  <si>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（参考：https://www.env.go.jp/content/900405036.pdf）</t>
    <rPh sb="115" eb="117">
      <t>サンコウ</t>
    </rPh>
    <phoneticPr fontId="5"/>
  </si>
  <si>
    <t>　二酸化炭素排出量の実質ゼロを目指すには、省エネだけでゼロにすることは不可能ですので、再生可能エネルギーによる電気を使うことが重要になります。
　自家発電、再エネ電力メニューの購入、再エネ電⼒証書の購⼊といった方法があります。
（参考：https://www.env.go.jp/earth/ondanka/supply_chain/gvc/files/RE100_syousai_20230110.pdf）</t>
    <rPh sb="115" eb="117">
      <t>サンコウ</t>
    </rPh>
    <phoneticPr fontId="5"/>
  </si>
  <si>
    <t>事業所におけるエネルギー消費量のうち、50％以上の省エネルギー化を目指している。</t>
    <rPh sb="0" eb="3">
      <t>ジギョウショ</t>
    </rPh>
    <rPh sb="12" eb="15">
      <t>ショウヒリョウ</t>
    </rPh>
    <rPh sb="22" eb="24">
      <t>イジョウ</t>
    </rPh>
    <rPh sb="25" eb="26">
      <t>ショウ</t>
    </rPh>
    <rPh sb="31" eb="32">
      <t>カ</t>
    </rPh>
    <rPh sb="33" eb="35">
      <t>メザ</t>
    </rPh>
    <phoneticPr fontId="12"/>
  </si>
  <si>
    <t>2050年カーボンニュートラルに向けては、省エネ（化石エネルギーの使用の合理化）の徹底と、技
術開発等による非化石エネルギーの導入拡大の両輪で取組を進める必要があります。
（参考：https://www.kanto.meti.go.jp/seisaku/sho_energy/data/r3_shoene_seminar02.pdf）</t>
    <rPh sb="87" eb="89">
      <t>サンコウ</t>
    </rPh>
    <phoneticPr fontId="5"/>
  </si>
  <si>
    <t>自社の産業を取り巻くカーボンニュートラルに向けた動きを捉えましょう。自社に影響する動きを知ることで、理解が深まり、自分事で捉えることができます。
（参考：https://www.env.go.jp/content/000114653.pdf）</t>
    <phoneticPr fontId="5"/>
  </si>
  <si>
    <t>省エネルギー診断とは、専門家（エネルギー管理士など）が直接事業所にお伺いして、電気やガス等の使用状況を診断し、省エネに関する提案や技術的な助言を行うものです。</t>
    <rPh sb="11" eb="14">
      <t>センモンカ</t>
    </rPh>
    <rPh sb="20" eb="23">
      <t>カンリシ</t>
    </rPh>
    <rPh sb="72" eb="73">
      <t>オコナ</t>
    </rPh>
    <phoneticPr fontId="5"/>
  </si>
  <si>
    <t>事業所の温室効果ガス排出量を算定し、その結果をホームページなどで公表している。</t>
    <rPh sb="0" eb="3">
      <t>ジギョウショ</t>
    </rPh>
    <rPh sb="4" eb="6">
      <t>オンシツ</t>
    </rPh>
    <rPh sb="6" eb="8">
      <t>コウカ</t>
    </rPh>
    <rPh sb="10" eb="12">
      <t>ハイシュツ</t>
    </rPh>
    <rPh sb="12" eb="13">
      <t>リョウ</t>
    </rPh>
    <rPh sb="14" eb="16">
      <t>サンテイ</t>
    </rPh>
    <rPh sb="20" eb="22">
      <t>ケッカ</t>
    </rPh>
    <rPh sb="32" eb="34">
      <t>コウヒョウ</t>
    </rPh>
    <phoneticPr fontId="12"/>
  </si>
  <si>
    <t>事業によるサプライチェーン全体の排出量を算定し、その結果をホームページなどで公表している。</t>
    <rPh sb="0" eb="2">
      <t>ジギョウ</t>
    </rPh>
    <rPh sb="13" eb="15">
      <t>ゼンタイ</t>
    </rPh>
    <rPh sb="16" eb="18">
      <t>ハイシュツ</t>
    </rPh>
    <rPh sb="18" eb="19">
      <t>リョウ</t>
    </rPh>
    <rPh sb="20" eb="22">
      <t>サンテイ</t>
    </rPh>
    <rPh sb="26" eb="28">
      <t>ケッカ</t>
    </rPh>
    <rPh sb="38" eb="40">
      <t>コウヒョウ</t>
    </rPh>
    <phoneticPr fontId="12"/>
  </si>
  <si>
    <t>　</t>
    <phoneticPr fontId="5"/>
  </si>
  <si>
    <t>CO2CO2スマート宣言事業所登録申請と同じ項目です。</t>
    <rPh sb="20" eb="21">
      <t>オナ</t>
    </rPh>
    <rPh sb="22" eb="24">
      <t>コウモク</t>
    </rPh>
    <phoneticPr fontId="12"/>
  </si>
  <si>
    <t>（作成済みシートと選択欄をコピーペーストできます）</t>
    <rPh sb="1" eb="3">
      <t>サクセイ</t>
    </rPh>
    <rPh sb="3" eb="4">
      <t>ズ</t>
    </rPh>
    <rPh sb="9" eb="12">
      <t>センタクラン</t>
    </rPh>
    <phoneticPr fontId="12"/>
  </si>
  <si>
    <t>プレミアム必須</t>
    <rPh sb="5" eb="7">
      <t>ヒッス</t>
    </rPh>
    <phoneticPr fontId="12"/>
  </si>
  <si>
    <t>投資
項目</t>
  </si>
  <si>
    <t>分類</t>
    <phoneticPr fontId="5"/>
  </si>
  <si>
    <t>必須項目</t>
    <phoneticPr fontId="5"/>
  </si>
  <si>
    <t>番号</t>
    <phoneticPr fontId="5"/>
  </si>
  <si>
    <t>取組項目</t>
    <phoneticPr fontId="5"/>
  </si>
  <si>
    <t>登録基準対応</t>
    <rPh sb="0" eb="4">
      <t>トウロクキジュン</t>
    </rPh>
    <rPh sb="4" eb="6">
      <t>タイオウ</t>
    </rPh>
    <phoneticPr fontId="5"/>
  </si>
  <si>
    <t>※スタンダード登録基準：全５０項目中、必須項目３項目(No.17,29,34)含む１３項目以上を選択すること。
※プレミアム登録基準：全５０項目中、必須項目３項目(No.17,29,34)+プレミアムコース必須項目２項目(No.23,31)を含む１８項目以上を選択すること。</t>
    <phoneticPr fontId="5"/>
  </si>
  <si>
    <t>実施済み（○選択）</t>
    <rPh sb="0" eb="3">
      <t>ジッシズ</t>
    </rPh>
    <rPh sb="6" eb="8">
      <t>センタク</t>
    </rPh>
    <phoneticPr fontId="5"/>
  </si>
  <si>
    <t>※スタンダード登録基準：必須項目３項目含む１３項目以上を選択すること。</t>
    <phoneticPr fontId="12"/>
  </si>
  <si>
    <t>※プレミアム登録基準：必須項目３項目+プレミアムコース必須項目２項目を含む１８項目以上を選択すること。</t>
    <phoneticPr fontId="5"/>
  </si>
  <si>
    <t>取組項目</t>
    <phoneticPr fontId="12"/>
  </si>
  <si>
    <t>節水コマ、自動水栓、自動洗浄装置、トイレ擬音装置など</t>
    <rPh sb="20" eb="22">
      <t>ギオン</t>
    </rPh>
    <rPh sb="22" eb="24">
      <t>ソウチ</t>
    </rPh>
    <phoneticPr fontId="5"/>
  </si>
  <si>
    <t xml:space="preserve">不使用室、昼休み、就業後などの在席率の低い時間帯のこまめな消灯や不使用室の消灯
スケジュールタイマー機能、機械警連動の消灯機能がある場合にはその活用
</t>
    <rPh sb="50" eb="52">
      <t>キノウ</t>
    </rPh>
    <rPh sb="61" eb="63">
      <t>キノウ</t>
    </rPh>
    <rPh sb="66" eb="68">
      <t>バアイ</t>
    </rPh>
    <rPh sb="72" eb="74">
      <t>カツヨウ</t>
    </rPh>
    <phoneticPr fontId="5"/>
  </si>
  <si>
    <t>発電する電気と発電に伴い発生する熱の両方に需要が見合う場合にコジェネレーション設備が有効です。</t>
    <rPh sb="0" eb="2">
      <t>ハツデン</t>
    </rPh>
    <rPh sb="7" eb="9">
      <t>ハツデン</t>
    </rPh>
    <rPh sb="10" eb="11">
      <t>トモナ</t>
    </rPh>
    <rPh sb="12" eb="14">
      <t>ハッセイ</t>
    </rPh>
    <rPh sb="16" eb="17">
      <t>ネツ</t>
    </rPh>
    <rPh sb="18" eb="20">
      <t>リョウホウ</t>
    </rPh>
    <rPh sb="21" eb="23">
      <t>ジュヨウ</t>
    </rPh>
    <rPh sb="24" eb="26">
      <t>ミア</t>
    </rPh>
    <rPh sb="27" eb="29">
      <t>バアイ</t>
    </rPh>
    <rPh sb="39" eb="41">
      <t>セツビ</t>
    </rPh>
    <rPh sb="42" eb="44">
      <t>ユウコウ</t>
    </rPh>
    <phoneticPr fontId="5"/>
  </si>
  <si>
    <t>ボイラや冷温水発生機等の燃焼設備は、空気比（実空気量／理論空気量）が大きい場合、燃焼温度や機器効率の低下につながるため、空気比を調整（最適化）することが有効です。
　また、管理標準を定めて管理することも有効です。</t>
    <rPh sb="76" eb="78">
      <t>ユウコウ</t>
    </rPh>
    <rPh sb="86" eb="90">
      <t>カンリヒョウジュン</t>
    </rPh>
    <rPh sb="91" eb="92">
      <t>サダ</t>
    </rPh>
    <rPh sb="94" eb="96">
      <t>カンリ</t>
    </rPh>
    <rPh sb="101" eb="103">
      <t>ユウコウ</t>
    </rPh>
    <phoneticPr fontId="5"/>
  </si>
  <si>
    <t>　温室効果ガスの排出の抑制等に関する推進体制を整備することが重要です。取締役会等の業務執行を決定する機関との連携、必要な資金・人材確保、従業員に取組方針の周知・教育、実施状況の確認を行うことが有効です。</t>
    <rPh sb="30" eb="32">
      <t>ジュウヨウ</t>
    </rPh>
    <rPh sb="54" eb="56">
      <t>レンケイ</t>
    </rPh>
    <rPh sb="80" eb="82">
      <t>キョウイク</t>
    </rPh>
    <rPh sb="83" eb="87">
      <t>ジッシジョウキョウ</t>
    </rPh>
    <rPh sb="88" eb="90">
      <t>カクニン</t>
    </rPh>
    <rPh sb="91" eb="92">
      <t>オコナ</t>
    </rPh>
    <rPh sb="96" eb="98">
      <t>ユウコウ</t>
    </rPh>
    <phoneticPr fontId="5"/>
  </si>
  <si>
    <t>　建物を貸し出す場合に、第三者認証を受けた環境性能を示すことで、借主への訴求効果があります。また、借主についても、省エネを推進するためには、第三者認証を受けた環境性能の高い建物を選択することで、断熱性が高く空調の効果が高まる等のメリットがあります。</t>
    <rPh sb="1" eb="3">
      <t>タテモノ</t>
    </rPh>
    <rPh sb="4" eb="5">
      <t>カ</t>
    </rPh>
    <rPh sb="6" eb="7">
      <t>ダ</t>
    </rPh>
    <rPh sb="8" eb="10">
      <t>バアイ</t>
    </rPh>
    <rPh sb="21" eb="25">
      <t>カンキョウセイノウ</t>
    </rPh>
    <rPh sb="26" eb="27">
      <t>シメ</t>
    </rPh>
    <rPh sb="32" eb="34">
      <t>カリヌシ</t>
    </rPh>
    <rPh sb="36" eb="38">
      <t>ソキュウ</t>
    </rPh>
    <rPh sb="38" eb="40">
      <t>コウカ</t>
    </rPh>
    <rPh sb="49" eb="51">
      <t>カリヌシ</t>
    </rPh>
    <rPh sb="57" eb="58">
      <t>ショウ</t>
    </rPh>
    <rPh sb="61" eb="63">
      <t>スイシン</t>
    </rPh>
    <rPh sb="70" eb="73">
      <t>ダイサンシャ</t>
    </rPh>
    <rPh sb="73" eb="75">
      <t>ニンショウ</t>
    </rPh>
    <rPh sb="76" eb="77">
      <t>ウ</t>
    </rPh>
    <rPh sb="79" eb="83">
      <t>カンキョウセイノウ</t>
    </rPh>
    <rPh sb="84" eb="85">
      <t>タカ</t>
    </rPh>
    <rPh sb="86" eb="88">
      <t>タテモノ</t>
    </rPh>
    <rPh sb="89" eb="91">
      <t>センタク</t>
    </rPh>
    <rPh sb="97" eb="100">
      <t>ダンネツセイ</t>
    </rPh>
    <rPh sb="101" eb="102">
      <t>タカ</t>
    </rPh>
    <rPh sb="103" eb="105">
      <t>クウチョウ</t>
    </rPh>
    <rPh sb="106" eb="108">
      <t>コウカ</t>
    </rPh>
    <rPh sb="109" eb="110">
      <t>タカ</t>
    </rPh>
    <rPh sb="112" eb="113">
      <t>トウ</t>
    </rPh>
    <phoneticPr fontId="5"/>
  </si>
  <si>
    <t>　電気、ガス、熱などのエネルギーの見える化や設備の運用を最適化するためのシステムです。
　運転時間の自動設定を行うことができます。また、電力の使用状況を常時監視するデマンド監視装置を導入し、年間のピーク電力がいつ発生しているかを把握し、対策することで、年間の電気基本料金を減らすことができます。</t>
    <rPh sb="28" eb="31">
      <t>サイテキカ</t>
    </rPh>
    <rPh sb="45" eb="47">
      <t>ウンテン</t>
    </rPh>
    <rPh sb="47" eb="49">
      <t>ジカン</t>
    </rPh>
    <rPh sb="50" eb="54">
      <t>ジドウセッテイ</t>
    </rPh>
    <rPh sb="55" eb="56">
      <t>オコナ</t>
    </rPh>
    <rPh sb="131" eb="135">
      <t>キホンリョウキン</t>
    </rPh>
    <phoneticPr fontId="5"/>
  </si>
  <si>
    <t>太陽光発電設備・太陽熱利用設備・地中熱利用設備などの再生可能エネルギー利用設備を設置している。</t>
    <phoneticPr fontId="5"/>
  </si>
  <si>
    <t>　再生可能エネルギー利用設備を設置し、外部からの電気や燃料の調達量を減らすことができ、二酸化炭素の排出削減、光熱費の削減を図ります。</t>
    <rPh sb="19" eb="21">
      <t>ガイブ</t>
    </rPh>
    <rPh sb="24" eb="26">
      <t>デンキ</t>
    </rPh>
    <rPh sb="27" eb="29">
      <t>ネンリョウ</t>
    </rPh>
    <rPh sb="30" eb="33">
      <t>チョウタツリョウ</t>
    </rPh>
    <rPh sb="34" eb="35">
      <t>ヘ</t>
    </rPh>
    <rPh sb="43" eb="48">
      <t>ニサンカタンソ</t>
    </rPh>
    <rPh sb="49" eb="51">
      <t>ハイシュツ</t>
    </rPh>
    <rPh sb="51" eb="53">
      <t>サクゲン</t>
    </rPh>
    <rPh sb="54" eb="57">
      <t>コウネツヒ</t>
    </rPh>
    <rPh sb="58" eb="60">
      <t>サクゲン</t>
    </rPh>
    <rPh sb="61" eb="62">
      <t>ハカ</t>
    </rPh>
    <phoneticPr fontId="5"/>
  </si>
  <si>
    <t>フィルタ清掃で5～10％の削減が期待できます。</t>
    <phoneticPr fontId="5"/>
  </si>
  <si>
    <t>冷房</t>
    <rPh sb="0" eb="2">
      <t>レイボウ</t>
    </rPh>
    <phoneticPr fontId="5"/>
  </si>
  <si>
    <t>台数(n)</t>
    <rPh sb="0" eb="2">
      <t>ダイスウ</t>
    </rPh>
    <phoneticPr fontId="5"/>
  </si>
  <si>
    <t>暖房</t>
    <rPh sb="0" eb="2">
      <t>ダンボウ</t>
    </rPh>
    <phoneticPr fontId="5"/>
  </si>
  <si>
    <t>年間</t>
    <rPh sb="0" eb="2">
      <t>ネンカン</t>
    </rPh>
    <phoneticPr fontId="5"/>
  </si>
  <si>
    <t>更新後</t>
    <rPh sb="0" eb="3">
      <t>コウシンゴ</t>
    </rPh>
    <phoneticPr fontId="5"/>
  </si>
  <si>
    <t>台数(n')</t>
    <rPh sb="0" eb="2">
      <t>ダイスウ</t>
    </rPh>
    <phoneticPr fontId="5"/>
  </si>
  <si>
    <r>
      <t>年間冷房時間(d'</t>
    </r>
    <r>
      <rPr>
        <vertAlign val="subscript"/>
        <sz val="11"/>
        <color theme="1"/>
        <rFont val="游ゴシック"/>
        <family val="3"/>
        <charset val="128"/>
        <scheme val="minor"/>
      </rPr>
      <t>1</t>
    </r>
    <r>
      <rPr>
        <sz val="11"/>
        <color theme="1"/>
        <rFont val="游ゴシック"/>
        <family val="2"/>
        <scheme val="minor"/>
      </rPr>
      <t>)</t>
    </r>
    <rPh sb="0" eb="2">
      <t>ネンカン</t>
    </rPh>
    <rPh sb="2" eb="4">
      <t>レイボウ</t>
    </rPh>
    <rPh sb="4" eb="6">
      <t>ジカン</t>
    </rPh>
    <phoneticPr fontId="5"/>
  </si>
  <si>
    <r>
      <t>年間暖房時間(d'</t>
    </r>
    <r>
      <rPr>
        <vertAlign val="subscript"/>
        <sz val="11"/>
        <color theme="1"/>
        <rFont val="游ゴシック"/>
        <family val="3"/>
        <charset val="128"/>
        <scheme val="minor"/>
      </rPr>
      <t>2</t>
    </r>
    <r>
      <rPr>
        <sz val="11"/>
        <color theme="1"/>
        <rFont val="游ゴシック"/>
        <family val="2"/>
        <scheme val="minor"/>
      </rPr>
      <t>)</t>
    </r>
    <rPh sb="0" eb="2">
      <t>ネンカン</t>
    </rPh>
    <rPh sb="4" eb="6">
      <t>ジカン</t>
    </rPh>
    <phoneticPr fontId="5"/>
  </si>
  <si>
    <t>電力削減量（ΔE=E-E’）</t>
    <rPh sb="0" eb="2">
      <t>デンリョク</t>
    </rPh>
    <rPh sb="2" eb="5">
      <t>サクゲンリョウ</t>
    </rPh>
    <phoneticPr fontId="5"/>
  </si>
  <si>
    <t>CO2削減量（ΔC=C-C’）</t>
    <rPh sb="3" eb="6">
      <t>サクゲンリョウ</t>
    </rPh>
    <phoneticPr fontId="5"/>
  </si>
  <si>
    <t>冷房時平均負荷率</t>
    <rPh sb="0" eb="3">
      <t>レイボウジ</t>
    </rPh>
    <rPh sb="3" eb="5">
      <t>ヘイキン</t>
    </rPh>
    <rPh sb="5" eb="8">
      <t>フカリツ</t>
    </rPh>
    <phoneticPr fontId="5"/>
  </si>
  <si>
    <t>暖房時平均負荷率</t>
    <rPh sb="0" eb="2">
      <t>ダンボウ</t>
    </rPh>
    <rPh sb="2" eb="3">
      <t>ジ</t>
    </rPh>
    <rPh sb="3" eb="5">
      <t>ヘイキン</t>
    </rPh>
    <rPh sb="5" eb="8">
      <t>フカリツ</t>
    </rPh>
    <phoneticPr fontId="5"/>
  </si>
  <si>
    <t>電力消費量</t>
    <rPh sb="0" eb="2">
      <t>デンリョク</t>
    </rPh>
    <rPh sb="2" eb="5">
      <t>ショウヒリョウ</t>
    </rPh>
    <phoneticPr fontId="5"/>
  </si>
  <si>
    <t>CO2排出量</t>
    <rPh sb="3" eb="5">
      <t>ハイシュツ</t>
    </rPh>
    <rPh sb="5" eb="6">
      <t>リョウ</t>
    </rPh>
    <phoneticPr fontId="5"/>
  </si>
  <si>
    <t>tCO2/kg</t>
  </si>
  <si>
    <t>tCO2/㎥</t>
  </si>
  <si>
    <t>IE1</t>
  </si>
  <si>
    <t>IE1</t>
    <phoneticPr fontId="5"/>
  </si>
  <si>
    <t>4極</t>
  </si>
  <si>
    <t>2極</t>
    <phoneticPr fontId="5"/>
  </si>
  <si>
    <t>6極</t>
    <phoneticPr fontId="5"/>
  </si>
  <si>
    <t>IE2</t>
    <phoneticPr fontId="5"/>
  </si>
  <si>
    <t>IE3</t>
    <phoneticPr fontId="5"/>
  </si>
  <si>
    <t>IE4</t>
    <phoneticPr fontId="5"/>
  </si>
  <si>
    <t>8極</t>
    <rPh sb="1" eb="2">
      <t>キョク</t>
    </rPh>
    <phoneticPr fontId="5"/>
  </si>
  <si>
    <t>極数</t>
    <rPh sb="0" eb="1">
      <t>キョク</t>
    </rPh>
    <rPh sb="1" eb="2">
      <t>スウ</t>
    </rPh>
    <phoneticPr fontId="5"/>
  </si>
  <si>
    <t>規格</t>
    <rPh sb="0" eb="2">
      <t>キカク</t>
    </rPh>
    <phoneticPr fontId="5"/>
  </si>
  <si>
    <t>h/年</t>
    <rPh sb="2" eb="3">
      <t>ネン</t>
    </rPh>
    <phoneticPr fontId="5"/>
  </si>
  <si>
    <t>定格出力(a)</t>
    <rPh sb="0" eb="2">
      <t>テイカク</t>
    </rPh>
    <rPh sb="2" eb="4">
      <t>シュツリョク</t>
    </rPh>
    <phoneticPr fontId="5"/>
  </si>
  <si>
    <t>効率(p)</t>
    <rPh sb="0" eb="2">
      <t>コウリツ</t>
    </rPh>
    <phoneticPr fontId="5"/>
  </si>
  <si>
    <t>モータ数(n)</t>
    <rPh sb="3" eb="4">
      <t>スウ</t>
    </rPh>
    <phoneticPr fontId="5"/>
  </si>
  <si>
    <t>効率タイプ</t>
    <rPh sb="0" eb="2">
      <t>コウリツ</t>
    </rPh>
    <phoneticPr fontId="5"/>
  </si>
  <si>
    <t>消費電力(b=a/p)</t>
    <rPh sb="0" eb="4">
      <t>ショウヒデンリョク</t>
    </rPh>
    <phoneticPr fontId="5"/>
  </si>
  <si>
    <t>消費電力（a）</t>
    <rPh sb="0" eb="2">
      <t>ショウヒ</t>
    </rPh>
    <rPh sb="2" eb="4">
      <t>デンリョク</t>
    </rPh>
    <phoneticPr fontId="5"/>
  </si>
  <si>
    <t>消費電力（a'）</t>
    <rPh sb="0" eb="2">
      <t>ショウヒ</t>
    </rPh>
    <rPh sb="2" eb="4">
      <t>デンリョク</t>
    </rPh>
    <phoneticPr fontId="5"/>
  </si>
  <si>
    <t>燃料消費量(A')</t>
    <phoneticPr fontId="5"/>
  </si>
  <si>
    <t>モータ数(n')</t>
    <rPh sb="3" eb="4">
      <t>スウ</t>
    </rPh>
    <phoneticPr fontId="5"/>
  </si>
  <si>
    <t>負荷率(r')</t>
    <rPh sb="0" eb="3">
      <t>フカリツ</t>
    </rPh>
    <phoneticPr fontId="5"/>
  </si>
  <si>
    <t>消費電力(b'=a'/p')</t>
    <rPh sb="0" eb="4">
      <t>ショウヒデンリョク</t>
    </rPh>
    <phoneticPr fontId="5"/>
  </si>
  <si>
    <t>効率(p')</t>
    <rPh sb="0" eb="2">
      <t>コウリツ</t>
    </rPh>
    <phoneticPr fontId="5"/>
  </si>
  <si>
    <t>定格出力(a')</t>
    <rPh sb="0" eb="2">
      <t>テイカク</t>
    </rPh>
    <rPh sb="2" eb="4">
      <t>シュツリョク</t>
    </rPh>
    <phoneticPr fontId="5"/>
  </si>
  <si>
    <t>負荷率(r)</t>
    <rPh sb="0" eb="3">
      <t>フカリツ</t>
    </rPh>
    <phoneticPr fontId="5"/>
  </si>
  <si>
    <r>
      <t>年間電力消費量(E</t>
    </r>
    <r>
      <rPr>
        <sz val="11"/>
        <color theme="1"/>
        <rFont val="游ゴシック"/>
        <family val="2"/>
        <scheme val="minor"/>
      </rPr>
      <t>)</t>
    </r>
    <phoneticPr fontId="5"/>
  </si>
  <si>
    <r>
      <t>年間電力消費量(E'</t>
    </r>
    <r>
      <rPr>
        <sz val="11"/>
        <color theme="1"/>
        <rFont val="游ゴシック"/>
        <family val="2"/>
        <scheme val="minor"/>
      </rPr>
      <t>)</t>
    </r>
    <phoneticPr fontId="5"/>
  </si>
  <si>
    <r>
      <t>CO2排出量(C</t>
    </r>
    <r>
      <rPr>
        <vertAlign val="subscript"/>
        <sz val="11"/>
        <color theme="1"/>
        <rFont val="游ゴシック"/>
        <family val="3"/>
        <charset val="128"/>
        <scheme val="minor"/>
      </rPr>
      <t>1</t>
    </r>
    <r>
      <rPr>
        <sz val="11"/>
        <color theme="1"/>
        <rFont val="游ゴシック"/>
        <family val="2"/>
        <scheme val="minor"/>
      </rPr>
      <t>)</t>
    </r>
    <rPh sb="3" eb="6">
      <t>ハイシュツリョウ</t>
    </rPh>
    <phoneticPr fontId="5"/>
  </si>
  <si>
    <r>
      <t>CO2排出量(C'</t>
    </r>
    <r>
      <rPr>
        <vertAlign val="subscript"/>
        <sz val="11"/>
        <color theme="1"/>
        <rFont val="游ゴシック"/>
        <family val="3"/>
        <charset val="128"/>
        <scheme val="minor"/>
      </rPr>
      <t>2</t>
    </r>
    <r>
      <rPr>
        <sz val="11"/>
        <color theme="1"/>
        <rFont val="游ゴシック"/>
        <family val="2"/>
        <scheme val="minor"/>
      </rPr>
      <t>)</t>
    </r>
    <rPh sb="3" eb="6">
      <t>ハイシュツリョウ</t>
    </rPh>
    <phoneticPr fontId="5"/>
  </si>
  <si>
    <t>機種21</t>
    <rPh sb="0" eb="2">
      <t>キシュ</t>
    </rPh>
    <phoneticPr fontId="5"/>
  </si>
  <si>
    <t>機種22</t>
    <rPh sb="0" eb="2">
      <t>キシュ</t>
    </rPh>
    <phoneticPr fontId="5"/>
  </si>
  <si>
    <t>機種23</t>
    <rPh sb="0" eb="2">
      <t>キシュ</t>
    </rPh>
    <phoneticPr fontId="5"/>
  </si>
  <si>
    <t>機種24</t>
    <rPh sb="0" eb="2">
      <t>キシュ</t>
    </rPh>
    <phoneticPr fontId="5"/>
  </si>
  <si>
    <t>機種25</t>
    <rPh sb="0" eb="2">
      <t>キシュ</t>
    </rPh>
    <phoneticPr fontId="5"/>
  </si>
  <si>
    <t>機種26</t>
    <rPh sb="0" eb="2">
      <t>キシュ</t>
    </rPh>
    <phoneticPr fontId="5"/>
  </si>
  <si>
    <t>機種27</t>
    <rPh sb="0" eb="2">
      <t>キシュ</t>
    </rPh>
    <phoneticPr fontId="5"/>
  </si>
  <si>
    <t>機種28</t>
    <rPh sb="0" eb="2">
      <t>キシュ</t>
    </rPh>
    <phoneticPr fontId="5"/>
  </si>
  <si>
    <t>機種29</t>
    <rPh sb="0" eb="2">
      <t>キシュ</t>
    </rPh>
    <phoneticPr fontId="5"/>
  </si>
  <si>
    <t>機種30</t>
    <rPh sb="0" eb="2">
      <t>キシュ</t>
    </rPh>
    <phoneticPr fontId="5"/>
  </si>
  <si>
    <t>機種31</t>
    <rPh sb="0" eb="2">
      <t>キシュ</t>
    </rPh>
    <phoneticPr fontId="5"/>
  </si>
  <si>
    <t>機種32</t>
    <rPh sb="0" eb="2">
      <t>キシュ</t>
    </rPh>
    <phoneticPr fontId="5"/>
  </si>
  <si>
    <t>機種33</t>
    <rPh sb="0" eb="2">
      <t>キシュ</t>
    </rPh>
    <phoneticPr fontId="5"/>
  </si>
  <si>
    <t>機種34</t>
    <rPh sb="0" eb="2">
      <t>キシュ</t>
    </rPh>
    <phoneticPr fontId="5"/>
  </si>
  <si>
    <t>機種35</t>
    <rPh sb="0" eb="2">
      <t>キシュ</t>
    </rPh>
    <phoneticPr fontId="5"/>
  </si>
  <si>
    <t>機種36</t>
    <rPh sb="0" eb="2">
      <t>キシュ</t>
    </rPh>
    <phoneticPr fontId="5"/>
  </si>
  <si>
    <t>機種37</t>
    <rPh sb="0" eb="2">
      <t>キシュ</t>
    </rPh>
    <phoneticPr fontId="5"/>
  </si>
  <si>
    <t>機種38</t>
    <rPh sb="0" eb="2">
      <t>キシュ</t>
    </rPh>
    <phoneticPr fontId="5"/>
  </si>
  <si>
    <t>機種39</t>
    <rPh sb="0" eb="2">
      <t>キシュ</t>
    </rPh>
    <phoneticPr fontId="5"/>
  </si>
  <si>
    <t>機種40</t>
    <rPh sb="0" eb="2">
      <t>キシュ</t>
    </rPh>
    <phoneticPr fontId="5"/>
  </si>
  <si>
    <t>機種41</t>
    <rPh sb="0" eb="2">
      <t>キシュ</t>
    </rPh>
    <phoneticPr fontId="5"/>
  </si>
  <si>
    <t>機種42</t>
    <rPh sb="0" eb="2">
      <t>キシュ</t>
    </rPh>
    <phoneticPr fontId="5"/>
  </si>
  <si>
    <t>機種43</t>
    <rPh sb="0" eb="2">
      <t>キシュ</t>
    </rPh>
    <phoneticPr fontId="5"/>
  </si>
  <si>
    <t>機種44</t>
    <rPh sb="0" eb="2">
      <t>キシュ</t>
    </rPh>
    <phoneticPr fontId="5"/>
  </si>
  <si>
    <t>機種45</t>
    <rPh sb="0" eb="2">
      <t>キシュ</t>
    </rPh>
    <phoneticPr fontId="5"/>
  </si>
  <si>
    <t>機種46</t>
    <rPh sb="0" eb="2">
      <t>キシュ</t>
    </rPh>
    <phoneticPr fontId="5"/>
  </si>
  <si>
    <t>機種47</t>
    <rPh sb="0" eb="2">
      <t>キシュ</t>
    </rPh>
    <phoneticPr fontId="5"/>
  </si>
  <si>
    <t>機種48</t>
    <rPh sb="0" eb="2">
      <t>キシュ</t>
    </rPh>
    <phoneticPr fontId="5"/>
  </si>
  <si>
    <t>機種49</t>
    <rPh sb="0" eb="2">
      <t>キシュ</t>
    </rPh>
    <phoneticPr fontId="5"/>
  </si>
  <si>
    <t>機種50</t>
    <rPh sb="0" eb="2">
      <t>キシュ</t>
    </rPh>
    <phoneticPr fontId="5"/>
  </si>
  <si>
    <r>
      <t>冷房時定格消費電力（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0" eb="3">
      <t>レイボウジ</t>
    </rPh>
    <rPh sb="5" eb="7">
      <t>ショウヒ</t>
    </rPh>
    <rPh sb="7" eb="9">
      <t>デンリョク</t>
    </rPh>
    <phoneticPr fontId="5"/>
  </si>
  <si>
    <r>
      <t>暖房時定格消費電力（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0" eb="2">
      <t>ダンボウ</t>
    </rPh>
    <rPh sb="2" eb="3">
      <t>ジ</t>
    </rPh>
    <rPh sb="5" eb="7">
      <t>ショウヒ</t>
    </rPh>
    <rPh sb="7" eb="9">
      <t>デンリョク</t>
    </rPh>
    <phoneticPr fontId="5"/>
  </si>
  <si>
    <t>年間定格消費ガス量（F）</t>
    <rPh sb="0" eb="2">
      <t>ネンカン</t>
    </rPh>
    <rPh sb="2" eb="4">
      <t>テイカク</t>
    </rPh>
    <rPh sb="4" eb="6">
      <t>ショウヒ</t>
    </rPh>
    <rPh sb="8" eb="9">
      <t>リョウ</t>
    </rPh>
    <phoneticPr fontId="5"/>
  </si>
  <si>
    <t>ガス消費量</t>
    <rPh sb="2" eb="5">
      <t>ショウヒリョウ</t>
    </rPh>
    <phoneticPr fontId="5"/>
  </si>
  <si>
    <t>年間定格消費ガス量（F’）</t>
    <rPh sb="0" eb="2">
      <t>ネンカン</t>
    </rPh>
    <rPh sb="2" eb="4">
      <t>テイカク</t>
    </rPh>
    <rPh sb="4" eb="6">
      <t>ショウヒ</t>
    </rPh>
    <rPh sb="8" eb="9">
      <t>リョウ</t>
    </rPh>
    <phoneticPr fontId="5"/>
  </si>
  <si>
    <r>
      <t>CO2排出量(C'</t>
    </r>
    <r>
      <rPr>
        <sz val="11"/>
        <color theme="1"/>
        <rFont val="游ゴシック"/>
        <family val="2"/>
        <scheme val="minor"/>
      </rPr>
      <t>)</t>
    </r>
    <rPh sb="3" eb="6">
      <t>ハイシュツリョウ</t>
    </rPh>
    <phoneticPr fontId="5"/>
  </si>
  <si>
    <t>体積換算K(㎥/(kW・h))</t>
    <rPh sb="0" eb="4">
      <t>タイセキカンサン</t>
    </rPh>
    <phoneticPr fontId="5"/>
  </si>
  <si>
    <t>燃料消費量</t>
    <rPh sb="0" eb="2">
      <t>ネンリョウ</t>
    </rPh>
    <rPh sb="2" eb="5">
      <t>ショウヒリョウ</t>
    </rPh>
    <phoneticPr fontId="5"/>
  </si>
  <si>
    <t>年間消費電力量(E)</t>
    <rPh sb="0" eb="2">
      <t>ネンカン</t>
    </rPh>
    <rPh sb="2" eb="7">
      <t>ショウヒデンリョクリョウ</t>
    </rPh>
    <phoneticPr fontId="5"/>
  </si>
  <si>
    <t>CO2排出量
(C)</t>
    <rPh sb="3" eb="6">
      <t>ハイシュツリョウ</t>
    </rPh>
    <phoneticPr fontId="5"/>
  </si>
  <si>
    <t>CO2排出量(C')</t>
    <rPh sb="3" eb="6">
      <t>ハイシュツリョウ</t>
    </rPh>
    <phoneticPr fontId="5"/>
  </si>
  <si>
    <t>年間消費電力量(E')</t>
    <rPh sb="0" eb="2">
      <t>ネンカン</t>
    </rPh>
    <rPh sb="2" eb="7">
      <t>ショウヒデンリョクリョウ</t>
    </rPh>
    <phoneticPr fontId="5"/>
  </si>
  <si>
    <t>年間燃料消費量(F)</t>
    <rPh sb="0" eb="2">
      <t>ネンカン</t>
    </rPh>
    <rPh sb="6" eb="7">
      <t>リョウ</t>
    </rPh>
    <phoneticPr fontId="5"/>
  </si>
  <si>
    <t>※登録期間内に取組を予定している場合には1項目として取組項目数に加えることが可能（〇取組済み、●取組予定）</t>
    <rPh sb="42" eb="44">
      <t>トリクミ</t>
    </rPh>
    <rPh sb="44" eb="45">
      <t>ズ</t>
    </rPh>
    <rPh sb="48" eb="50">
      <t>トリクミ</t>
    </rPh>
    <rPh sb="50" eb="52">
      <t>ヨテイ</t>
    </rPh>
    <phoneticPr fontId="5"/>
  </si>
  <si>
    <t>●</t>
  </si>
  <si>
    <t>判定</t>
    <rPh sb="0" eb="2">
      <t>ハンテイ</t>
    </rPh>
    <phoneticPr fontId="5"/>
  </si>
  <si>
    <r>
      <t>CO2排出量(C</t>
    </r>
    <r>
      <rPr>
        <sz val="11"/>
        <color theme="1"/>
        <rFont val="游ゴシック"/>
        <family val="2"/>
        <scheme val="minor"/>
      </rPr>
      <t>)</t>
    </r>
    <phoneticPr fontId="5"/>
  </si>
  <si>
    <t>CO2排出量(C')</t>
    <phoneticPr fontId="5"/>
  </si>
  <si>
    <t>電力削減量（E-E’）</t>
    <rPh sb="0" eb="2">
      <t>デンリョク</t>
    </rPh>
    <rPh sb="2" eb="5">
      <t>サクゲンリョウ</t>
    </rPh>
    <phoneticPr fontId="5"/>
  </si>
  <si>
    <t>CO2削減量（C-C’）</t>
    <rPh sb="3" eb="6">
      <t>サクゲンリョウ</t>
    </rPh>
    <phoneticPr fontId="5"/>
  </si>
  <si>
    <t>燃料削減量(F-F')</t>
    <rPh sb="0" eb="2">
      <t>ネンリョウ</t>
    </rPh>
    <rPh sb="2" eb="4">
      <t>サクゲン</t>
    </rPh>
    <phoneticPr fontId="5"/>
  </si>
  <si>
    <t>㎥/年</t>
    <phoneticPr fontId="5"/>
  </si>
  <si>
    <t>年間燃料消費量(F')</t>
    <rPh sb="0" eb="2">
      <t>ネンカン</t>
    </rPh>
    <rPh sb="6" eb="7">
      <t>リョウ</t>
    </rPh>
    <phoneticPr fontId="5"/>
  </si>
  <si>
    <t>CO2排出量(C)</t>
    <rPh sb="3" eb="6">
      <t>ハイシュツリョウ</t>
    </rPh>
    <phoneticPr fontId="5"/>
  </si>
  <si>
    <t>CO2削減量(C-C')</t>
    <rPh sb="3" eb="6">
      <t>サクゲンリョウ</t>
    </rPh>
    <phoneticPr fontId="5"/>
  </si>
  <si>
    <t>原油換算エネルギー使用量</t>
    <rPh sb="0" eb="4">
      <t>ゲンユカンザン</t>
    </rPh>
    <rPh sb="9" eb="12">
      <t>シヨウリョウ</t>
    </rPh>
    <phoneticPr fontId="5"/>
  </si>
  <si>
    <t>kl/年</t>
    <rPh sb="3" eb="4">
      <t>ネン</t>
    </rPh>
    <phoneticPr fontId="5"/>
  </si>
  <si>
    <t>原油換算発熱量</t>
    <rPh sb="0" eb="4">
      <t>ゲンユカンザン</t>
    </rPh>
    <rPh sb="4" eb="7">
      <t>ハツネツリョウ</t>
    </rPh>
    <phoneticPr fontId="5"/>
  </si>
  <si>
    <t>IE3</t>
  </si>
  <si>
    <t>効率</t>
    <rPh sb="0" eb="2">
      <t>コウリツ</t>
    </rPh>
    <phoneticPr fontId="5"/>
  </si>
  <si>
    <t>％</t>
    <phoneticPr fontId="5"/>
  </si>
  <si>
    <t>円</t>
    <rPh sb="0" eb="1">
      <t>エン</t>
    </rPh>
    <phoneticPr fontId="5"/>
  </si>
  <si>
    <t>必要熱量換算</t>
    <rPh sb="0" eb="4">
      <t>ヒツヨウネツリョウ</t>
    </rPh>
    <rPh sb="4" eb="6">
      <t>カンサン</t>
    </rPh>
    <phoneticPr fontId="5"/>
  </si>
  <si>
    <t>燃料単位</t>
    <rPh sb="0" eb="2">
      <t>ネンリョウ</t>
    </rPh>
    <rPh sb="2" eb="4">
      <t>タンイ</t>
    </rPh>
    <phoneticPr fontId="5"/>
  </si>
  <si>
    <t>必要熱量</t>
    <rPh sb="0" eb="2">
      <t>ヒツヨウ</t>
    </rPh>
    <rPh sb="2" eb="4">
      <t>ネツリョウ</t>
    </rPh>
    <phoneticPr fontId="5"/>
  </si>
  <si>
    <t>MJ</t>
    <phoneticPr fontId="5"/>
  </si>
  <si>
    <t>変圧器の更新</t>
    <rPh sb="0" eb="3">
      <t>ヘンアツキ</t>
    </rPh>
    <rPh sb="4" eb="6">
      <t>コウシン</t>
    </rPh>
    <phoneticPr fontId="5"/>
  </si>
  <si>
    <t>変圧器更新によるCO2削減量、光熱費削減量</t>
    <rPh sb="0" eb="3">
      <t>ヘンアツキ</t>
    </rPh>
    <rPh sb="3" eb="5">
      <t>コウシン</t>
    </rPh>
    <rPh sb="11" eb="14">
      <t>サクゲンリョウ</t>
    </rPh>
    <rPh sb="15" eb="18">
      <t>コウネツヒ</t>
    </rPh>
    <rPh sb="18" eb="21">
      <t>サクゲンリョウ</t>
    </rPh>
    <phoneticPr fontId="5"/>
  </si>
  <si>
    <t>無負荷損（a）</t>
    <rPh sb="0" eb="4">
      <t>ムフカゾン</t>
    </rPh>
    <phoneticPr fontId="5"/>
  </si>
  <si>
    <t>負荷損(b)</t>
    <rPh sb="0" eb="3">
      <t>フカゾン</t>
    </rPh>
    <phoneticPr fontId="5"/>
  </si>
  <si>
    <t>W</t>
    <phoneticPr fontId="5"/>
  </si>
  <si>
    <t>負荷率
(r)</t>
    <rPh sb="0" eb="3">
      <t>フカリツ</t>
    </rPh>
    <phoneticPr fontId="5"/>
  </si>
  <si>
    <t>容量</t>
    <rPh sb="0" eb="2">
      <t>ヨウリョウ</t>
    </rPh>
    <phoneticPr fontId="5"/>
  </si>
  <si>
    <t>kVA</t>
    <phoneticPr fontId="5"/>
  </si>
  <si>
    <t>相数、変圧比</t>
    <rPh sb="0" eb="1">
      <t>ソウ</t>
    </rPh>
    <rPh sb="1" eb="2">
      <t>スウ</t>
    </rPh>
    <rPh sb="3" eb="5">
      <t>ヘンアツ</t>
    </rPh>
    <rPh sb="5" eb="6">
      <t>ヒ</t>
    </rPh>
    <phoneticPr fontId="5"/>
  </si>
  <si>
    <t>空調（電気）</t>
    <phoneticPr fontId="5"/>
  </si>
  <si>
    <t>空調（GHP)</t>
  </si>
  <si>
    <t>照明</t>
  </si>
  <si>
    <t>モーター</t>
  </si>
  <si>
    <t>ボイラー・給湯器</t>
  </si>
  <si>
    <t>削減量</t>
    <rPh sb="0" eb="3">
      <t>サクゲンリョウ</t>
    </rPh>
    <phoneticPr fontId="5"/>
  </si>
  <si>
    <t>光熱費(円/年)　</t>
    <rPh sb="0" eb="3">
      <t>コウネツヒ</t>
    </rPh>
    <phoneticPr fontId="5"/>
  </si>
  <si>
    <t>CO2削減量</t>
    <rPh sb="3" eb="6">
      <t>サクゲンリョウ</t>
    </rPh>
    <phoneticPr fontId="5"/>
  </si>
  <si>
    <t>(t-CO2/年)</t>
    <rPh sb="7" eb="8">
      <t>ネン</t>
    </rPh>
    <phoneticPr fontId="5"/>
  </si>
  <si>
    <t>変圧器</t>
    <rPh sb="0" eb="3">
      <t>ヘンアツキ</t>
    </rPh>
    <phoneticPr fontId="5"/>
  </si>
  <si>
    <t>原油換算使用量</t>
    <rPh sb="0" eb="4">
      <t>ゲンユカンザン</t>
    </rPh>
    <rPh sb="4" eb="7">
      <t>シヨウリョウ</t>
    </rPh>
    <phoneticPr fontId="5"/>
  </si>
  <si>
    <t>ボイラー・給湯器の更新、燃料転換によるCO2削減量、光熱費削減量</t>
    <rPh sb="5" eb="8">
      <t>キュウトウキ</t>
    </rPh>
    <rPh sb="9" eb="11">
      <t>コウシン</t>
    </rPh>
    <rPh sb="12" eb="14">
      <t>ネンリョウ</t>
    </rPh>
    <rPh sb="14" eb="16">
      <t>テンカン</t>
    </rPh>
    <rPh sb="22" eb="25">
      <t>サクゲンリョウ</t>
    </rPh>
    <rPh sb="26" eb="29">
      <t>コウネツヒ</t>
    </rPh>
    <rPh sb="29" eb="32">
      <t>サクゲンリョウ</t>
    </rPh>
    <phoneticPr fontId="5"/>
  </si>
  <si>
    <t>原油換算使用量</t>
    <phoneticPr fontId="5"/>
  </si>
  <si>
    <t>（自家消費分）</t>
  </si>
  <si>
    <t>（自家消費分）</t>
    <rPh sb="5" eb="6">
      <t>ブン</t>
    </rPh>
    <phoneticPr fontId="5"/>
  </si>
  <si>
    <t>　二酸化炭素排出量の削減のためには、省エネが有効ですが、2050年に実質ゼロを目指していくには、省エネだけでゼロにすることは不可能ですので、再生可能エネルギーの利用割合が高い電気を買電することも重要です。実施可能な範囲で、導入を進めてください。</t>
    <rPh sb="1" eb="4">
      <t>ニサンカ</t>
    </rPh>
    <rPh sb="4" eb="6">
      <t>タンソ</t>
    </rPh>
    <rPh sb="6" eb="8">
      <t>ハイシュツ</t>
    </rPh>
    <rPh sb="8" eb="9">
      <t>リョウ</t>
    </rPh>
    <rPh sb="10" eb="12">
      <t>サクゲン</t>
    </rPh>
    <rPh sb="18" eb="19">
      <t>ショウ</t>
    </rPh>
    <rPh sb="22" eb="24">
      <t>ユウコウ</t>
    </rPh>
    <rPh sb="32" eb="33">
      <t>ネン</t>
    </rPh>
    <rPh sb="34" eb="36">
      <t>ジッシツ</t>
    </rPh>
    <rPh sb="39" eb="41">
      <t>メザ</t>
    </rPh>
    <rPh sb="48" eb="49">
      <t>ショウ</t>
    </rPh>
    <rPh sb="62" eb="65">
      <t>フカノウ</t>
    </rPh>
    <rPh sb="70" eb="74">
      <t>サイセイカノウ</t>
    </rPh>
    <rPh sb="80" eb="82">
      <t>リヨウ</t>
    </rPh>
    <rPh sb="82" eb="84">
      <t>ワリアイ</t>
    </rPh>
    <rPh sb="85" eb="86">
      <t>タカ</t>
    </rPh>
    <rPh sb="87" eb="89">
      <t>デンキ</t>
    </rPh>
    <rPh sb="90" eb="92">
      <t>バイデン</t>
    </rPh>
    <rPh sb="97" eb="99">
      <t>ジュウヨウ</t>
    </rPh>
    <rPh sb="102" eb="104">
      <t>ジッシ</t>
    </rPh>
    <rPh sb="104" eb="106">
      <t>カノウ</t>
    </rPh>
    <rPh sb="107" eb="109">
      <t>ハンイ</t>
    </rPh>
    <rPh sb="111" eb="113">
      <t>ドウニュウ</t>
    </rPh>
    <rPh sb="114" eb="115">
      <t>スス</t>
    </rPh>
    <phoneticPr fontId="5"/>
  </si>
  <si>
    <t>　二酸化炭素排出量の削減のためには、再生可能エネルギーの利用量を増やしていく必要があります。実施可能な範囲で、導入を進めてください。</t>
    <rPh sb="1" eb="4">
      <t>ニサンカ</t>
    </rPh>
    <rPh sb="4" eb="6">
      <t>タンソ</t>
    </rPh>
    <rPh sb="6" eb="8">
      <t>ハイシュツ</t>
    </rPh>
    <rPh sb="8" eb="9">
      <t>リョウ</t>
    </rPh>
    <rPh sb="10" eb="12">
      <t>サクゲン</t>
    </rPh>
    <rPh sb="18" eb="22">
      <t>サイセイカノウ</t>
    </rPh>
    <rPh sb="28" eb="30">
      <t>リヨウ</t>
    </rPh>
    <rPh sb="30" eb="31">
      <t>リョウ</t>
    </rPh>
    <rPh sb="32" eb="33">
      <t>フ</t>
    </rPh>
    <rPh sb="38" eb="40">
      <t>ヒツヨウ</t>
    </rPh>
    <rPh sb="46" eb="48">
      <t>ジッシ</t>
    </rPh>
    <rPh sb="48" eb="50">
      <t>カノウ</t>
    </rPh>
    <rPh sb="51" eb="53">
      <t>ハンイ</t>
    </rPh>
    <rPh sb="55" eb="57">
      <t>ドウニュウ</t>
    </rPh>
    <rPh sb="58" eb="59">
      <t>スス</t>
    </rPh>
    <phoneticPr fontId="5"/>
  </si>
  <si>
    <t>光熱費</t>
    <phoneticPr fontId="5"/>
  </si>
  <si>
    <t>原油換算使用量</t>
    <rPh sb="0" eb="7">
      <t>ゲンユカンザンシヨウリョウ</t>
    </rPh>
    <phoneticPr fontId="5"/>
  </si>
  <si>
    <t>快適さを損なわずに空調の設定温度を緩和するのに役立ちます。</t>
    <rPh sb="0" eb="2">
      <t>カイテキ</t>
    </rPh>
    <rPh sb="4" eb="5">
      <t>ソコ</t>
    </rPh>
    <rPh sb="9" eb="11">
      <t>クウチョウ</t>
    </rPh>
    <rPh sb="12" eb="14">
      <t>セッテイ</t>
    </rPh>
    <rPh sb="14" eb="16">
      <t>オンド</t>
    </rPh>
    <rPh sb="17" eb="19">
      <t>カンワ</t>
    </rPh>
    <rPh sb="23" eb="25">
      <t>ヤクダ</t>
    </rPh>
    <phoneticPr fontId="5"/>
  </si>
  <si>
    <t>能力</t>
    <rPh sb="0" eb="2">
      <t>ノウリョク</t>
    </rPh>
    <phoneticPr fontId="5"/>
  </si>
  <si>
    <t>照明の更新</t>
    <rPh sb="0" eb="2">
      <t>ショウメイ</t>
    </rPh>
    <phoneticPr fontId="5"/>
  </si>
  <si>
    <t>特記事項</t>
    <rPh sb="0" eb="2">
      <t>トッキ</t>
    </rPh>
    <rPh sb="2" eb="4">
      <t>ジコウ</t>
    </rPh>
    <phoneticPr fontId="5"/>
  </si>
  <si>
    <t>数量の増減</t>
    <rPh sb="0" eb="2">
      <t>スウリョウ</t>
    </rPh>
    <rPh sb="3" eb="5">
      <t>ゾウゲン</t>
    </rPh>
    <phoneticPr fontId="5"/>
  </si>
  <si>
    <t>年間使用
日数(d)</t>
    <rPh sb="0" eb="2">
      <t>ネンカン</t>
    </rPh>
    <rPh sb="2" eb="4">
      <t>シヨウ</t>
    </rPh>
    <rPh sb="5" eb="7">
      <t>ニッスウ</t>
    </rPh>
    <phoneticPr fontId="5"/>
  </si>
  <si>
    <t>人感センサ等</t>
    <rPh sb="0" eb="2">
      <t>ジンカン</t>
    </rPh>
    <rPh sb="5" eb="6">
      <t>ナド</t>
    </rPh>
    <phoneticPr fontId="5"/>
  </si>
  <si>
    <t>年間消費
電力量(E)</t>
    <rPh sb="0" eb="2">
      <t>ネンカン</t>
    </rPh>
    <rPh sb="2" eb="4">
      <t>ショウヒ</t>
    </rPh>
    <rPh sb="5" eb="7">
      <t>デンリョク</t>
    </rPh>
    <rPh sb="7" eb="8">
      <t>リョウ</t>
    </rPh>
    <phoneticPr fontId="5"/>
  </si>
  <si>
    <t>年間消費
電力量(E')</t>
    <rPh sb="0" eb="2">
      <t>ネンカン</t>
    </rPh>
    <rPh sb="2" eb="4">
      <t>ショウヒ</t>
    </rPh>
    <rPh sb="5" eb="7">
      <t>デンリョク</t>
    </rPh>
    <rPh sb="7" eb="8">
      <t>リョウ</t>
    </rPh>
    <phoneticPr fontId="5"/>
  </si>
  <si>
    <t>入力例</t>
    <rPh sb="0" eb="2">
      <t>ニュウリョク</t>
    </rPh>
    <rPh sb="2" eb="3">
      <t>レイ</t>
    </rPh>
    <phoneticPr fontId="5"/>
  </si>
  <si>
    <t>KKT08328</t>
    <phoneticPr fontId="5"/>
  </si>
  <si>
    <t>LED23630</t>
    <phoneticPr fontId="5"/>
  </si>
  <si>
    <t>MJ</t>
  </si>
  <si>
    <t>空調（電気）の更新</t>
    <phoneticPr fontId="5"/>
  </si>
  <si>
    <t>定格能力の増減</t>
    <rPh sb="0" eb="2">
      <t>テイカク</t>
    </rPh>
    <rPh sb="2" eb="4">
      <t>ノウリョク</t>
    </rPh>
    <rPh sb="5" eb="7">
      <t>ゾウゲン</t>
    </rPh>
    <phoneticPr fontId="5"/>
  </si>
  <si>
    <t>定格能力合計（kW）</t>
    <phoneticPr fontId="5"/>
  </si>
  <si>
    <r>
      <t>冷房時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1)</t>
    </r>
    <rPh sb="0" eb="2">
      <t>レイボウ</t>
    </rPh>
    <rPh sb="2" eb="3">
      <t>ジ</t>
    </rPh>
    <phoneticPr fontId="5"/>
  </si>
  <si>
    <r>
      <t>暖房時</t>
    </r>
    <r>
      <rPr>
        <sz val="11"/>
        <color theme="1"/>
        <rFont val="游ゴシック"/>
        <family val="3"/>
        <charset val="128"/>
        <scheme val="minor"/>
      </rPr>
      <t>(</t>
    </r>
    <r>
      <rPr>
        <sz val="11"/>
        <color theme="1"/>
        <rFont val="游ゴシック"/>
        <family val="2"/>
        <scheme val="minor"/>
      </rPr>
      <t>R</t>
    </r>
    <r>
      <rPr>
        <vertAlign val="subscript"/>
        <sz val="11"/>
        <color theme="1"/>
        <rFont val="游ゴシック"/>
        <family val="3"/>
        <charset val="128"/>
        <scheme val="minor"/>
      </rPr>
      <t>2)</t>
    </r>
    <rPh sb="0" eb="2">
      <t>ダンボウ</t>
    </rPh>
    <rPh sb="2" eb="3">
      <t>トキ</t>
    </rPh>
    <phoneticPr fontId="5"/>
  </si>
  <si>
    <t>老朽化消費電力倍率(p) (5%/年）</t>
    <rPh sb="0" eb="3">
      <t>ロウキュウカ</t>
    </rPh>
    <rPh sb="3" eb="5">
      <t>ショウヒ</t>
    </rPh>
    <rPh sb="5" eb="7">
      <t>デンリョク</t>
    </rPh>
    <rPh sb="7" eb="8">
      <t>バイ</t>
    </rPh>
    <rPh sb="8" eb="9">
      <t>リツ</t>
    </rPh>
    <rPh sb="17" eb="18">
      <t>ネン</t>
    </rPh>
    <phoneticPr fontId="5"/>
  </si>
  <si>
    <t>冷房定格能力</t>
    <rPh sb="0" eb="2">
      <t>レイボウ</t>
    </rPh>
    <rPh sb="2" eb="4">
      <t>テイカク</t>
    </rPh>
    <rPh sb="4" eb="6">
      <t>ノウリョク</t>
    </rPh>
    <phoneticPr fontId="5"/>
  </si>
  <si>
    <t>暖房定格能力</t>
    <rPh sb="0" eb="2">
      <t>ダンボウ</t>
    </rPh>
    <rPh sb="2" eb="4">
      <t>テイカク</t>
    </rPh>
    <rPh sb="4" eb="6">
      <t>ノウリョク</t>
    </rPh>
    <phoneticPr fontId="5"/>
  </si>
  <si>
    <t>AAA280BB</t>
    <phoneticPr fontId="5"/>
  </si>
  <si>
    <t>CCC280DD</t>
    <phoneticPr fontId="5"/>
  </si>
  <si>
    <t>空調（GHP）の更新</t>
    <phoneticPr fontId="5"/>
  </si>
  <si>
    <t>係数</t>
    <rPh sb="0" eb="2">
      <t>ケイスウ</t>
    </rPh>
    <phoneticPr fontId="5"/>
  </si>
  <si>
    <t>液化石油ガス（LPG）</t>
    <rPh sb="0" eb="2">
      <t>エキカ</t>
    </rPh>
    <rPh sb="2" eb="4">
      <t>セキユ</t>
    </rPh>
    <phoneticPr fontId="5"/>
  </si>
  <si>
    <t>選択ガス</t>
    <rPh sb="0" eb="2">
      <t>センタク</t>
    </rPh>
    <phoneticPr fontId="5"/>
  </si>
  <si>
    <t>定格能力合計（kW）</t>
    <rPh sb="0" eb="2">
      <t>テイカク</t>
    </rPh>
    <rPh sb="2" eb="4">
      <t>ノウリョク</t>
    </rPh>
    <rPh sb="4" eb="6">
      <t>ゴウケイ</t>
    </rPh>
    <phoneticPr fontId="5"/>
  </si>
  <si>
    <t>老朽化消費倍率(p) (5%/年）</t>
    <rPh sb="0" eb="3">
      <t>ロウキュウカ</t>
    </rPh>
    <rPh sb="3" eb="5">
      <t>ショウヒ</t>
    </rPh>
    <rPh sb="5" eb="6">
      <t>バイ</t>
    </rPh>
    <rPh sb="6" eb="7">
      <t>リツ</t>
    </rPh>
    <rPh sb="15" eb="16">
      <t>ネン</t>
    </rPh>
    <phoneticPr fontId="5"/>
  </si>
  <si>
    <t>EEEE224F</t>
    <phoneticPr fontId="5"/>
  </si>
  <si>
    <t>GGGG224H</t>
    <phoneticPr fontId="5"/>
  </si>
  <si>
    <t>ボイラー・給湯器の更新</t>
    <rPh sb="5" eb="8">
      <t>キュウトウキ</t>
    </rPh>
    <phoneticPr fontId="5"/>
  </si>
  <si>
    <t>能力の増減</t>
    <rPh sb="0" eb="2">
      <t>ノウリョク</t>
    </rPh>
    <rPh sb="3" eb="5">
      <t>ゾウゲン</t>
    </rPh>
    <phoneticPr fontId="5"/>
  </si>
  <si>
    <t>更新前</t>
    <rPh sb="0" eb="2">
      <t>コウシン</t>
    </rPh>
    <rPh sb="2" eb="3">
      <t>マエ</t>
    </rPh>
    <phoneticPr fontId="5"/>
  </si>
  <si>
    <t>t/h</t>
    <phoneticPr fontId="5"/>
  </si>
  <si>
    <t>メーカー
・型番</t>
    <rPh sb="6" eb="8">
      <t>カタバン</t>
    </rPh>
    <phoneticPr fontId="5"/>
  </si>
  <si>
    <t>設備種類</t>
    <rPh sb="0" eb="2">
      <t>セツビ</t>
    </rPh>
    <rPh sb="2" eb="4">
      <t>シュルイ</t>
    </rPh>
    <phoneticPr fontId="5"/>
  </si>
  <si>
    <t>導入年度</t>
    <rPh sb="0" eb="2">
      <t>ドウニュウ</t>
    </rPh>
    <rPh sb="2" eb="4">
      <t>ネンド</t>
    </rPh>
    <phoneticPr fontId="5"/>
  </si>
  <si>
    <t>HP老朽化消費倍率(p) (5%/年）</t>
    <rPh sb="2" eb="4">
      <t>ロウキュウ</t>
    </rPh>
    <rPh sb="7" eb="9">
      <t>バイリツ</t>
    </rPh>
    <phoneticPr fontId="5"/>
  </si>
  <si>
    <t>加熱式設備経年劣化率(q)</t>
    <rPh sb="0" eb="2">
      <t>カネツ</t>
    </rPh>
    <rPh sb="2" eb="3">
      <t>シキ</t>
    </rPh>
    <rPh sb="3" eb="5">
      <t>セツビ</t>
    </rPh>
    <rPh sb="5" eb="7">
      <t>ケイネン</t>
    </rPh>
    <rPh sb="7" eb="9">
      <t>レッカ</t>
    </rPh>
    <rPh sb="9" eb="10">
      <t>リツ</t>
    </rPh>
    <phoneticPr fontId="5"/>
  </si>
  <si>
    <t>定格加熱能力/相当蒸発量</t>
    <rPh sb="0" eb="2">
      <t>テイカク</t>
    </rPh>
    <rPh sb="2" eb="4">
      <t>カネツ</t>
    </rPh>
    <rPh sb="4" eb="6">
      <t>ノウリョク</t>
    </rPh>
    <rPh sb="7" eb="9">
      <t>ソウトウ</t>
    </rPh>
    <rPh sb="9" eb="11">
      <t>ジョウハツ</t>
    </rPh>
    <rPh sb="11" eb="12">
      <t>リョウ</t>
    </rPh>
    <phoneticPr fontId="5"/>
  </si>
  <si>
    <t>能力単位</t>
    <rPh sb="0" eb="2">
      <t>ノウリョク</t>
    </rPh>
    <rPh sb="2" eb="4">
      <t>タンイ</t>
    </rPh>
    <phoneticPr fontId="5"/>
  </si>
  <si>
    <t>定格燃料消費量(A)</t>
    <rPh sb="0" eb="2">
      <t>テイカク</t>
    </rPh>
    <phoneticPr fontId="5"/>
  </si>
  <si>
    <t>FR-085LMK</t>
    <phoneticPr fontId="5"/>
  </si>
  <si>
    <t>給湯器（HP）</t>
  </si>
  <si>
    <t>kW</t>
  </si>
  <si>
    <t>EQ-235YWK</t>
    <phoneticPr fontId="5"/>
  </si>
  <si>
    <t>FR-085LMK</t>
  </si>
  <si>
    <t>コンプレッサーの更新</t>
    <phoneticPr fontId="5"/>
  </si>
  <si>
    <t>定格出力の増減</t>
    <rPh sb="0" eb="2">
      <t>テイカク</t>
    </rPh>
    <rPh sb="2" eb="4">
      <t>シュツリョク</t>
    </rPh>
    <rPh sb="5" eb="7">
      <t>ゾウゲン</t>
    </rPh>
    <phoneticPr fontId="5"/>
  </si>
  <si>
    <t>インバーター</t>
    <phoneticPr fontId="5"/>
  </si>
  <si>
    <t>OLF-754FE</t>
  </si>
  <si>
    <t>IE2</t>
  </si>
  <si>
    <t>PLM-75DBC</t>
  </si>
  <si>
    <t>出力（kW）</t>
    <rPh sb="0" eb="2">
      <t>シュツリョク</t>
    </rPh>
    <phoneticPr fontId="5"/>
  </si>
  <si>
    <t>4極</t>
    <phoneticPr fontId="5"/>
  </si>
  <si>
    <t>※登録期間内に取組を予定している場合には1項目として取組項目数に加えることが可能（〇取組済み、●取組予定）</t>
    <phoneticPr fontId="5"/>
  </si>
  <si>
    <t>容量の増減</t>
    <rPh sb="0" eb="2">
      <t>ヨウリョウ</t>
    </rPh>
    <rPh sb="3" eb="5">
      <t>ゾウゲン</t>
    </rPh>
    <phoneticPr fontId="5"/>
  </si>
  <si>
    <t>KK-1L</t>
  </si>
  <si>
    <t>3相：66kV→210V</t>
    <phoneticPr fontId="5"/>
  </si>
  <si>
    <t>ME-1R</t>
  </si>
  <si>
    <t>照明の更新</t>
    <rPh sb="0" eb="2">
      <t>ショウメイ</t>
    </rPh>
    <rPh sb="3" eb="5">
      <t>コウシン</t>
    </rPh>
    <phoneticPr fontId="5"/>
  </si>
  <si>
    <t>●仕様書（例）</t>
    <rPh sb="1" eb="4">
      <t>シヨウショ</t>
    </rPh>
    <rPh sb="5" eb="6">
      <t>レイ</t>
    </rPh>
    <phoneticPr fontId="5"/>
  </si>
  <si>
    <t>品名</t>
    <rPh sb="0" eb="2">
      <t>ヒンメイ</t>
    </rPh>
    <phoneticPr fontId="5"/>
  </si>
  <si>
    <t>LED23630　（LED40形ベースライト）</t>
    <phoneticPr fontId="5"/>
  </si>
  <si>
    <t>特性表</t>
    <rPh sb="0" eb="2">
      <t>トクセイ</t>
    </rPh>
    <rPh sb="2" eb="3">
      <t>ヒョウ</t>
    </rPh>
    <phoneticPr fontId="5"/>
  </si>
  <si>
    <t>定格電圧</t>
    <rPh sb="0" eb="2">
      <t>テイカク</t>
    </rPh>
    <phoneticPr fontId="5"/>
  </si>
  <si>
    <t>100V</t>
    <phoneticPr fontId="5"/>
  </si>
  <si>
    <t>200V</t>
    <phoneticPr fontId="5"/>
  </si>
  <si>
    <t>242V</t>
    <phoneticPr fontId="5"/>
  </si>
  <si>
    <t>入力電流</t>
    <phoneticPr fontId="5"/>
  </si>
  <si>
    <t>0.266A</t>
    <phoneticPr fontId="5"/>
  </si>
  <si>
    <t>0.134A</t>
    <phoneticPr fontId="5"/>
  </si>
  <si>
    <t>0.112A</t>
    <phoneticPr fontId="5"/>
  </si>
  <si>
    <t>定格消費電力</t>
    <phoneticPr fontId="5"/>
  </si>
  <si>
    <t>26.3W</t>
    <phoneticPr fontId="5"/>
  </si>
  <si>
    <t>26.3W</t>
  </si>
  <si>
    <t>空調（電気）の更新</t>
    <rPh sb="7" eb="9">
      <t>コウシン</t>
    </rPh>
    <phoneticPr fontId="5"/>
  </si>
  <si>
    <t>機種名</t>
    <rPh sb="0" eb="3">
      <t>キシュメイ</t>
    </rPh>
    <phoneticPr fontId="5"/>
  </si>
  <si>
    <t>電源</t>
    <rPh sb="0" eb="2">
      <t>デンゲン</t>
    </rPh>
    <phoneticPr fontId="5"/>
  </si>
  <si>
    <t>三相　200V　50/60Hz</t>
    <rPh sb="0" eb="2">
      <t>サンソウ</t>
    </rPh>
    <phoneticPr fontId="5"/>
  </si>
  <si>
    <t>定格冷房能力</t>
    <rPh sb="0" eb="2">
      <t>テイカク</t>
    </rPh>
    <rPh sb="2" eb="4">
      <t>レイボウ</t>
    </rPh>
    <rPh sb="4" eb="6">
      <t>ノウリョク</t>
    </rPh>
    <phoneticPr fontId="5"/>
  </si>
  <si>
    <t>定格冷房消費電力</t>
    <rPh sb="0" eb="2">
      <t>テイカク</t>
    </rPh>
    <rPh sb="2" eb="4">
      <t>レイボウ</t>
    </rPh>
    <rPh sb="4" eb="6">
      <t>ショウヒ</t>
    </rPh>
    <rPh sb="6" eb="8">
      <t>デンリョク</t>
    </rPh>
    <phoneticPr fontId="5"/>
  </si>
  <si>
    <t>定格暖房能力</t>
    <rPh sb="0" eb="2">
      <t>テイカク</t>
    </rPh>
    <rPh sb="2" eb="4">
      <t>ダンボウ</t>
    </rPh>
    <rPh sb="4" eb="6">
      <t>ノウリョク</t>
    </rPh>
    <phoneticPr fontId="5"/>
  </si>
  <si>
    <t>定格暖房消費電力</t>
    <rPh sb="0" eb="2">
      <t>テイカク</t>
    </rPh>
    <rPh sb="2" eb="4">
      <t>ダンボウ</t>
    </rPh>
    <rPh sb="4" eb="6">
      <t>ショウヒ</t>
    </rPh>
    <rPh sb="6" eb="8">
      <t>デンリョク</t>
    </rPh>
    <phoneticPr fontId="5"/>
  </si>
  <si>
    <t>最大暖房低温能力</t>
    <rPh sb="0" eb="2">
      <t>サイダイ</t>
    </rPh>
    <rPh sb="2" eb="4">
      <t>ダンボウ</t>
    </rPh>
    <rPh sb="4" eb="6">
      <t>テイオン</t>
    </rPh>
    <rPh sb="6" eb="8">
      <t>ノウリョク</t>
    </rPh>
    <phoneticPr fontId="5"/>
  </si>
  <si>
    <t>最大暖房低温消費電力</t>
    <rPh sb="0" eb="2">
      <t>サイダイ</t>
    </rPh>
    <rPh sb="2" eb="4">
      <t>ダンボウ</t>
    </rPh>
    <rPh sb="4" eb="6">
      <t>テイオン</t>
    </rPh>
    <rPh sb="6" eb="8">
      <t>ショウヒ</t>
    </rPh>
    <rPh sb="8" eb="10">
      <t>デンリョク</t>
    </rPh>
    <phoneticPr fontId="5"/>
  </si>
  <si>
    <t>空調（GHP）の更新</t>
    <rPh sb="8" eb="10">
      <t>コウシン</t>
    </rPh>
    <phoneticPr fontId="5"/>
  </si>
  <si>
    <t>液化石油ガス（LPG）</t>
  </si>
  <si>
    <t>LP</t>
  </si>
  <si>
    <t>GGG224H</t>
    <phoneticPr fontId="5"/>
  </si>
  <si>
    <t>三相（単層）　200V　50/60Hz</t>
    <rPh sb="0" eb="2">
      <t>サンソウ</t>
    </rPh>
    <rPh sb="3" eb="5">
      <t>タンソウ</t>
    </rPh>
    <phoneticPr fontId="5"/>
  </si>
  <si>
    <t>定格冷房</t>
    <rPh sb="0" eb="2">
      <t>テイカク</t>
    </rPh>
    <rPh sb="2" eb="4">
      <t>レイボウ</t>
    </rPh>
    <phoneticPr fontId="5"/>
  </si>
  <si>
    <t>消費電力</t>
    <rPh sb="0" eb="2">
      <t>ショウヒ</t>
    </rPh>
    <rPh sb="2" eb="4">
      <t>デンリョク</t>
    </rPh>
    <phoneticPr fontId="5"/>
  </si>
  <si>
    <t>中間冷房</t>
    <rPh sb="0" eb="2">
      <t>チュウカン</t>
    </rPh>
    <rPh sb="2" eb="4">
      <t>レイボウ</t>
    </rPh>
    <phoneticPr fontId="5"/>
  </si>
  <si>
    <t>定格暖房</t>
    <rPh sb="0" eb="2">
      <t>テイカク</t>
    </rPh>
    <rPh sb="2" eb="4">
      <t>ダンボウ</t>
    </rPh>
    <phoneticPr fontId="5"/>
  </si>
  <si>
    <t>中間暖房</t>
    <rPh sb="0" eb="2">
      <t>チュウカン</t>
    </rPh>
    <rPh sb="2" eb="4">
      <t>ダンボウ</t>
    </rPh>
    <phoneticPr fontId="5"/>
  </si>
  <si>
    <t>最大暖房低温</t>
    <rPh sb="0" eb="2">
      <t>サイダイ</t>
    </rPh>
    <rPh sb="2" eb="4">
      <t>ダンボウ</t>
    </rPh>
    <rPh sb="4" eb="6">
      <t>テイオン</t>
    </rPh>
    <phoneticPr fontId="5"/>
  </si>
  <si>
    <t>ボイラー・給湯器の更新</t>
    <rPh sb="9" eb="11">
      <t>コウシン</t>
    </rPh>
    <phoneticPr fontId="5"/>
  </si>
  <si>
    <t>EQ-235YWK（エコキュート）</t>
    <phoneticPr fontId="5"/>
  </si>
  <si>
    <t>ヒートポンプユニット</t>
    <phoneticPr fontId="5"/>
  </si>
  <si>
    <t>中間期標準加熱能力/消費電力</t>
    <rPh sb="0" eb="3">
      <t>チュウカンキ</t>
    </rPh>
    <rPh sb="3" eb="5">
      <t>ヒョウジュン</t>
    </rPh>
    <rPh sb="5" eb="7">
      <t>カネツ</t>
    </rPh>
    <rPh sb="7" eb="9">
      <t>ノウリョク</t>
    </rPh>
    <rPh sb="10" eb="12">
      <t>ショウヒ</t>
    </rPh>
    <rPh sb="12" eb="14">
      <t>デンリョク</t>
    </rPh>
    <phoneticPr fontId="5"/>
  </si>
  <si>
    <t>7.2kW/1.64kW</t>
    <phoneticPr fontId="5"/>
  </si>
  <si>
    <t>7.2÷1.64＝4.39…</t>
    <phoneticPr fontId="5"/>
  </si>
  <si>
    <t>中間期標準運転電流</t>
    <rPh sb="0" eb="3">
      <t>チュウカンキ</t>
    </rPh>
    <rPh sb="3" eb="5">
      <t>ヒョウジュン</t>
    </rPh>
    <rPh sb="5" eb="7">
      <t>ウンテン</t>
    </rPh>
    <rPh sb="7" eb="9">
      <t>デンリュウ</t>
    </rPh>
    <phoneticPr fontId="5"/>
  </si>
  <si>
    <t>9.2A</t>
    <phoneticPr fontId="5"/>
  </si>
  <si>
    <t>→439％</t>
    <phoneticPr fontId="5"/>
  </si>
  <si>
    <t>中間期標準最大加熱能力</t>
    <rPh sb="0" eb="3">
      <t>チュウカンキ</t>
    </rPh>
    <rPh sb="3" eb="5">
      <t>ヒョウジュン</t>
    </rPh>
    <rPh sb="5" eb="7">
      <t>サイダイ</t>
    </rPh>
    <rPh sb="7" eb="9">
      <t>カネツ</t>
    </rPh>
    <rPh sb="9" eb="11">
      <t>ノウリョク</t>
    </rPh>
    <phoneticPr fontId="5"/>
  </si>
  <si>
    <t>ー</t>
    <phoneticPr fontId="5"/>
  </si>
  <si>
    <t>冬季高温最大加熱能力</t>
    <rPh sb="0" eb="2">
      <t>トウキ</t>
    </rPh>
    <rPh sb="2" eb="4">
      <t>コウオン</t>
    </rPh>
    <rPh sb="4" eb="6">
      <t>サイダイ</t>
    </rPh>
    <rPh sb="6" eb="8">
      <t>カネツ</t>
    </rPh>
    <rPh sb="8" eb="10">
      <t>ノウリョク</t>
    </rPh>
    <phoneticPr fontId="5"/>
  </si>
  <si>
    <t>7.2kW/2.50kW</t>
    <phoneticPr fontId="5"/>
  </si>
  <si>
    <t>kWh</t>
  </si>
  <si>
    <t>ー</t>
  </si>
  <si>
    <t>年間使用量</t>
    <rPh sb="0" eb="2">
      <t>ネンカン</t>
    </rPh>
    <rPh sb="2" eb="5">
      <t>シヨウリョウ</t>
    </rPh>
    <phoneticPr fontId="5"/>
  </si>
  <si>
    <t>機種51</t>
    <rPh sb="0" eb="2">
      <t>キシュ</t>
    </rPh>
    <phoneticPr fontId="5"/>
  </si>
  <si>
    <t>機種52</t>
    <rPh sb="0" eb="2">
      <t>キシュ</t>
    </rPh>
    <phoneticPr fontId="5"/>
  </si>
  <si>
    <t>機種53</t>
    <rPh sb="0" eb="2">
      <t>キシュ</t>
    </rPh>
    <phoneticPr fontId="5"/>
  </si>
  <si>
    <t>機種54</t>
    <rPh sb="0" eb="2">
      <t>キシュ</t>
    </rPh>
    <phoneticPr fontId="5"/>
  </si>
  <si>
    <t>機種55</t>
    <rPh sb="0" eb="2">
      <t>キシュ</t>
    </rPh>
    <phoneticPr fontId="5"/>
  </si>
  <si>
    <t>機種56</t>
    <rPh sb="0" eb="2">
      <t>キシュ</t>
    </rPh>
    <phoneticPr fontId="5"/>
  </si>
  <si>
    <t>機種57</t>
    <rPh sb="0" eb="2">
      <t>キシュ</t>
    </rPh>
    <phoneticPr fontId="5"/>
  </si>
  <si>
    <t>機種58</t>
    <rPh sb="0" eb="2">
      <t>キシュ</t>
    </rPh>
    <phoneticPr fontId="5"/>
  </si>
  <si>
    <t>機種59</t>
    <rPh sb="0" eb="2">
      <t>キシュ</t>
    </rPh>
    <phoneticPr fontId="5"/>
  </si>
  <si>
    <t>機種60</t>
    <rPh sb="0" eb="2">
      <t>キシュ</t>
    </rPh>
    <phoneticPr fontId="5"/>
  </si>
  <si>
    <t>機種61</t>
    <rPh sb="0" eb="2">
      <t>キシュ</t>
    </rPh>
    <phoneticPr fontId="5"/>
  </si>
  <si>
    <t>機種62</t>
    <rPh sb="0" eb="2">
      <t>キシュ</t>
    </rPh>
    <phoneticPr fontId="5"/>
  </si>
  <si>
    <t>機種63</t>
    <rPh sb="0" eb="2">
      <t>キシュ</t>
    </rPh>
    <phoneticPr fontId="5"/>
  </si>
  <si>
    <t>機種64</t>
    <rPh sb="0" eb="2">
      <t>キシュ</t>
    </rPh>
    <phoneticPr fontId="5"/>
  </si>
  <si>
    <t>機種65</t>
    <rPh sb="0" eb="2">
      <t>キシュ</t>
    </rPh>
    <phoneticPr fontId="5"/>
  </si>
  <si>
    <t>機種66</t>
    <rPh sb="0" eb="2">
      <t>キシュ</t>
    </rPh>
    <phoneticPr fontId="5"/>
  </si>
  <si>
    <t>機種67</t>
    <rPh sb="0" eb="2">
      <t>キシュ</t>
    </rPh>
    <phoneticPr fontId="5"/>
  </si>
  <si>
    <t>機種68</t>
    <rPh sb="0" eb="2">
      <t>キシュ</t>
    </rPh>
    <phoneticPr fontId="5"/>
  </si>
  <si>
    <t>機種69</t>
    <rPh sb="0" eb="2">
      <t>キシュ</t>
    </rPh>
    <phoneticPr fontId="5"/>
  </si>
  <si>
    <t>機種70</t>
    <rPh sb="0" eb="2">
      <t>キシュ</t>
    </rPh>
    <phoneticPr fontId="5"/>
  </si>
  <si>
    <t>機種71</t>
    <rPh sb="0" eb="2">
      <t>キシュ</t>
    </rPh>
    <phoneticPr fontId="5"/>
  </si>
  <si>
    <t>機種72</t>
    <rPh sb="0" eb="2">
      <t>キシュ</t>
    </rPh>
    <phoneticPr fontId="5"/>
  </si>
  <si>
    <t>機種73</t>
    <rPh sb="0" eb="2">
      <t>キシュ</t>
    </rPh>
    <phoneticPr fontId="5"/>
  </si>
  <si>
    <t>機種74</t>
    <rPh sb="0" eb="2">
      <t>キシュ</t>
    </rPh>
    <phoneticPr fontId="5"/>
  </si>
  <si>
    <t>機種75</t>
    <rPh sb="0" eb="2">
      <t>キシュ</t>
    </rPh>
    <phoneticPr fontId="5"/>
  </si>
  <si>
    <t>機種76</t>
    <rPh sb="0" eb="2">
      <t>キシュ</t>
    </rPh>
    <phoneticPr fontId="5"/>
  </si>
  <si>
    <t>機種77</t>
    <rPh sb="0" eb="2">
      <t>キシュ</t>
    </rPh>
    <phoneticPr fontId="5"/>
  </si>
  <si>
    <t>機種78</t>
    <rPh sb="0" eb="2">
      <t>キシュ</t>
    </rPh>
    <phoneticPr fontId="5"/>
  </si>
  <si>
    <t>機種79</t>
    <rPh sb="0" eb="2">
      <t>キシュ</t>
    </rPh>
    <phoneticPr fontId="5"/>
  </si>
  <si>
    <t>機種80</t>
    <rPh sb="0" eb="2">
      <t>キシュ</t>
    </rPh>
    <phoneticPr fontId="5"/>
  </si>
  <si>
    <t>機種81</t>
    <rPh sb="0" eb="2">
      <t>キシュ</t>
    </rPh>
    <phoneticPr fontId="5"/>
  </si>
  <si>
    <t>機種82</t>
    <rPh sb="0" eb="2">
      <t>キシュ</t>
    </rPh>
    <phoneticPr fontId="5"/>
  </si>
  <si>
    <t>機種83</t>
    <rPh sb="0" eb="2">
      <t>キシュ</t>
    </rPh>
    <phoneticPr fontId="5"/>
  </si>
  <si>
    <t>機種84</t>
    <rPh sb="0" eb="2">
      <t>キシュ</t>
    </rPh>
    <phoneticPr fontId="5"/>
  </si>
  <si>
    <t>機種85</t>
    <rPh sb="0" eb="2">
      <t>キシュ</t>
    </rPh>
    <phoneticPr fontId="5"/>
  </si>
  <si>
    <t>機種86</t>
    <rPh sb="0" eb="2">
      <t>キシュ</t>
    </rPh>
    <phoneticPr fontId="5"/>
  </si>
  <si>
    <t>機種87</t>
    <rPh sb="0" eb="2">
      <t>キシュ</t>
    </rPh>
    <phoneticPr fontId="5"/>
  </si>
  <si>
    <t>機種88</t>
    <rPh sb="0" eb="2">
      <t>キシュ</t>
    </rPh>
    <phoneticPr fontId="5"/>
  </si>
  <si>
    <t>機種89</t>
    <rPh sb="0" eb="2">
      <t>キシュ</t>
    </rPh>
    <phoneticPr fontId="5"/>
  </si>
  <si>
    <t>機種90</t>
    <rPh sb="0" eb="2">
      <t>キシュ</t>
    </rPh>
    <phoneticPr fontId="5"/>
  </si>
  <si>
    <t>機種91</t>
    <rPh sb="0" eb="2">
      <t>キシュ</t>
    </rPh>
    <phoneticPr fontId="5"/>
  </si>
  <si>
    <t>機種92</t>
    <rPh sb="0" eb="2">
      <t>キシュ</t>
    </rPh>
    <phoneticPr fontId="5"/>
  </si>
  <si>
    <t>機種93</t>
    <rPh sb="0" eb="2">
      <t>キシュ</t>
    </rPh>
    <phoneticPr fontId="5"/>
  </si>
  <si>
    <t>機種94</t>
    <rPh sb="0" eb="2">
      <t>キシュ</t>
    </rPh>
    <phoneticPr fontId="5"/>
  </si>
  <si>
    <t>機種95</t>
    <rPh sb="0" eb="2">
      <t>キシュ</t>
    </rPh>
    <phoneticPr fontId="5"/>
  </si>
  <si>
    <t>機種96</t>
    <rPh sb="0" eb="2">
      <t>キシュ</t>
    </rPh>
    <phoneticPr fontId="5"/>
  </si>
  <si>
    <t>機種97</t>
    <rPh sb="0" eb="2">
      <t>キシュ</t>
    </rPh>
    <phoneticPr fontId="5"/>
  </si>
  <si>
    <t>機種98</t>
    <rPh sb="0" eb="2">
      <t>キシュ</t>
    </rPh>
    <phoneticPr fontId="5"/>
  </si>
  <si>
    <t>機種99</t>
    <rPh sb="0" eb="2">
      <t>キシュ</t>
    </rPh>
    <phoneticPr fontId="5"/>
  </si>
  <si>
    <t>機種100</t>
    <rPh sb="0" eb="2">
      <t>キシュ</t>
    </rPh>
    <phoneticPr fontId="5"/>
  </si>
  <si>
    <t>機種101</t>
    <rPh sb="0" eb="2">
      <t>キシュ</t>
    </rPh>
    <phoneticPr fontId="5"/>
  </si>
  <si>
    <t>機種102</t>
    <rPh sb="0" eb="2">
      <t>キシュ</t>
    </rPh>
    <phoneticPr fontId="5"/>
  </si>
  <si>
    <t>機種103</t>
    <rPh sb="0" eb="2">
      <t>キシュ</t>
    </rPh>
    <phoneticPr fontId="5"/>
  </si>
  <si>
    <t>機種104</t>
    <rPh sb="0" eb="2">
      <t>キシュ</t>
    </rPh>
    <phoneticPr fontId="5"/>
  </si>
  <si>
    <t>機種105</t>
    <rPh sb="0" eb="2">
      <t>キシュ</t>
    </rPh>
    <phoneticPr fontId="5"/>
  </si>
  <si>
    <t>機種106</t>
    <rPh sb="0" eb="2">
      <t>キシュ</t>
    </rPh>
    <phoneticPr fontId="5"/>
  </si>
  <si>
    <t>機種107</t>
    <rPh sb="0" eb="2">
      <t>キシュ</t>
    </rPh>
    <phoneticPr fontId="5"/>
  </si>
  <si>
    <t>機種108</t>
    <rPh sb="0" eb="2">
      <t>キシュ</t>
    </rPh>
    <phoneticPr fontId="5"/>
  </si>
  <si>
    <t>機種109</t>
    <rPh sb="0" eb="2">
      <t>キシュ</t>
    </rPh>
    <phoneticPr fontId="5"/>
  </si>
  <si>
    <t>機種110</t>
    <rPh sb="0" eb="2">
      <t>キシュ</t>
    </rPh>
    <phoneticPr fontId="5"/>
  </si>
  <si>
    <t>機種111</t>
    <rPh sb="0" eb="2">
      <t>キシュ</t>
    </rPh>
    <phoneticPr fontId="5"/>
  </si>
  <si>
    <t>機種112</t>
    <rPh sb="0" eb="2">
      <t>キシュ</t>
    </rPh>
    <phoneticPr fontId="5"/>
  </si>
  <si>
    <t>機種113</t>
    <rPh sb="0" eb="2">
      <t>キシュ</t>
    </rPh>
    <phoneticPr fontId="5"/>
  </si>
  <si>
    <t>機種114</t>
    <rPh sb="0" eb="2">
      <t>キシュ</t>
    </rPh>
    <phoneticPr fontId="5"/>
  </si>
  <si>
    <t>機種115</t>
    <rPh sb="0" eb="2">
      <t>キシュ</t>
    </rPh>
    <phoneticPr fontId="5"/>
  </si>
  <si>
    <t>機種116</t>
    <rPh sb="0" eb="2">
      <t>キシュ</t>
    </rPh>
    <phoneticPr fontId="5"/>
  </si>
  <si>
    <t>機種117</t>
    <rPh sb="0" eb="2">
      <t>キシュ</t>
    </rPh>
    <phoneticPr fontId="5"/>
  </si>
  <si>
    <t>機種118</t>
    <rPh sb="0" eb="2">
      <t>キシュ</t>
    </rPh>
    <phoneticPr fontId="5"/>
  </si>
  <si>
    <t>機種119</t>
    <rPh sb="0" eb="2">
      <t>キシュ</t>
    </rPh>
    <phoneticPr fontId="5"/>
  </si>
  <si>
    <t>機種120</t>
    <rPh sb="0" eb="2">
      <t>キシュ</t>
    </rPh>
    <phoneticPr fontId="5"/>
  </si>
  <si>
    <t>機種121</t>
    <rPh sb="0" eb="2">
      <t>キシュ</t>
    </rPh>
    <phoneticPr fontId="5"/>
  </si>
  <si>
    <t>機種122</t>
    <rPh sb="0" eb="2">
      <t>キシュ</t>
    </rPh>
    <phoneticPr fontId="5"/>
  </si>
  <si>
    <t>機種123</t>
    <rPh sb="0" eb="2">
      <t>キシュ</t>
    </rPh>
    <phoneticPr fontId="5"/>
  </si>
  <si>
    <t>機種124</t>
    <rPh sb="0" eb="2">
      <t>キシュ</t>
    </rPh>
    <phoneticPr fontId="5"/>
  </si>
  <si>
    <t>機種125</t>
    <rPh sb="0" eb="2">
      <t>キシュ</t>
    </rPh>
    <phoneticPr fontId="5"/>
  </si>
  <si>
    <t>機種126</t>
    <rPh sb="0" eb="2">
      <t>キシュ</t>
    </rPh>
    <phoneticPr fontId="5"/>
  </si>
  <si>
    <t>機種127</t>
    <rPh sb="0" eb="2">
      <t>キシュ</t>
    </rPh>
    <phoneticPr fontId="5"/>
  </si>
  <si>
    <t>機種128</t>
    <rPh sb="0" eb="2">
      <t>キシュ</t>
    </rPh>
    <phoneticPr fontId="5"/>
  </si>
  <si>
    <t>機種129</t>
    <rPh sb="0" eb="2">
      <t>キシュ</t>
    </rPh>
    <phoneticPr fontId="5"/>
  </si>
  <si>
    <t>機種130</t>
    <rPh sb="0" eb="2">
      <t>キシュ</t>
    </rPh>
    <phoneticPr fontId="5"/>
  </si>
  <si>
    <t>機種131</t>
    <rPh sb="0" eb="2">
      <t>キシュ</t>
    </rPh>
    <phoneticPr fontId="5"/>
  </si>
  <si>
    <t>機種132</t>
    <rPh sb="0" eb="2">
      <t>キシュ</t>
    </rPh>
    <phoneticPr fontId="5"/>
  </si>
  <si>
    <t>機種133</t>
    <rPh sb="0" eb="2">
      <t>キシュ</t>
    </rPh>
    <phoneticPr fontId="5"/>
  </si>
  <si>
    <t>機種134</t>
    <rPh sb="0" eb="2">
      <t>キシュ</t>
    </rPh>
    <phoneticPr fontId="5"/>
  </si>
  <si>
    <t>機種135</t>
    <rPh sb="0" eb="2">
      <t>キシュ</t>
    </rPh>
    <phoneticPr fontId="5"/>
  </si>
  <si>
    <t>機種136</t>
    <rPh sb="0" eb="2">
      <t>キシュ</t>
    </rPh>
    <phoneticPr fontId="5"/>
  </si>
  <si>
    <t>機種137</t>
    <rPh sb="0" eb="2">
      <t>キシュ</t>
    </rPh>
    <phoneticPr fontId="5"/>
  </si>
  <si>
    <t>機種138</t>
    <rPh sb="0" eb="2">
      <t>キシュ</t>
    </rPh>
    <phoneticPr fontId="5"/>
  </si>
  <si>
    <t>機種139</t>
    <rPh sb="0" eb="2">
      <t>キシュ</t>
    </rPh>
    <phoneticPr fontId="5"/>
  </si>
  <si>
    <t>機種140</t>
    <rPh sb="0" eb="2">
      <t>キシュ</t>
    </rPh>
    <phoneticPr fontId="5"/>
  </si>
  <si>
    <t>機種141</t>
    <rPh sb="0" eb="2">
      <t>キシュ</t>
    </rPh>
    <phoneticPr fontId="5"/>
  </si>
  <si>
    <t>機種142</t>
    <rPh sb="0" eb="2">
      <t>キシュ</t>
    </rPh>
    <phoneticPr fontId="5"/>
  </si>
  <si>
    <t>機種143</t>
    <rPh sb="0" eb="2">
      <t>キシュ</t>
    </rPh>
    <phoneticPr fontId="5"/>
  </si>
  <si>
    <t>機種144</t>
    <rPh sb="0" eb="2">
      <t>キシュ</t>
    </rPh>
    <phoneticPr fontId="5"/>
  </si>
  <si>
    <t>機種145</t>
    <rPh sb="0" eb="2">
      <t>キシュ</t>
    </rPh>
    <phoneticPr fontId="5"/>
  </si>
  <si>
    <t>機種146</t>
    <rPh sb="0" eb="2">
      <t>キシュ</t>
    </rPh>
    <phoneticPr fontId="5"/>
  </si>
  <si>
    <t>機種147</t>
    <rPh sb="0" eb="2">
      <t>キシュ</t>
    </rPh>
    <phoneticPr fontId="5"/>
  </si>
  <si>
    <t>機種148</t>
    <rPh sb="0" eb="2">
      <t>キシュ</t>
    </rPh>
    <phoneticPr fontId="5"/>
  </si>
  <si>
    <t>機種149</t>
    <rPh sb="0" eb="2">
      <t>キシュ</t>
    </rPh>
    <phoneticPr fontId="5"/>
  </si>
  <si>
    <t>機種150</t>
    <rPh sb="0" eb="2">
      <t>キシュ</t>
    </rPh>
    <phoneticPr fontId="5"/>
  </si>
  <si>
    <t>機種151</t>
    <rPh sb="0" eb="2">
      <t>キシュ</t>
    </rPh>
    <phoneticPr fontId="5"/>
  </si>
  <si>
    <t>機種152</t>
    <rPh sb="0" eb="2">
      <t>キシュ</t>
    </rPh>
    <phoneticPr fontId="5"/>
  </si>
  <si>
    <t>機種153</t>
    <rPh sb="0" eb="2">
      <t>キシュ</t>
    </rPh>
    <phoneticPr fontId="5"/>
  </si>
  <si>
    <t>機種154</t>
    <rPh sb="0" eb="2">
      <t>キシュ</t>
    </rPh>
    <phoneticPr fontId="5"/>
  </si>
  <si>
    <t>機種155</t>
    <rPh sb="0" eb="2">
      <t>キシュ</t>
    </rPh>
    <phoneticPr fontId="5"/>
  </si>
  <si>
    <t>機種156</t>
    <rPh sb="0" eb="2">
      <t>キシュ</t>
    </rPh>
    <phoneticPr fontId="5"/>
  </si>
  <si>
    <t>機種157</t>
    <rPh sb="0" eb="2">
      <t>キシュ</t>
    </rPh>
    <phoneticPr fontId="5"/>
  </si>
  <si>
    <t>機種158</t>
    <rPh sb="0" eb="2">
      <t>キシュ</t>
    </rPh>
    <phoneticPr fontId="5"/>
  </si>
  <si>
    <t>機種159</t>
    <rPh sb="0" eb="2">
      <t>キシュ</t>
    </rPh>
    <phoneticPr fontId="5"/>
  </si>
  <si>
    <t>機種160</t>
    <rPh sb="0" eb="2">
      <t>キシュ</t>
    </rPh>
    <phoneticPr fontId="5"/>
  </si>
  <si>
    <t>機種161</t>
    <rPh sb="0" eb="2">
      <t>キシュ</t>
    </rPh>
    <phoneticPr fontId="5"/>
  </si>
  <si>
    <t>機種162</t>
    <rPh sb="0" eb="2">
      <t>キシュ</t>
    </rPh>
    <phoneticPr fontId="5"/>
  </si>
  <si>
    <t>機種163</t>
    <rPh sb="0" eb="2">
      <t>キシュ</t>
    </rPh>
    <phoneticPr fontId="5"/>
  </si>
  <si>
    <t>機種164</t>
    <rPh sb="0" eb="2">
      <t>キシュ</t>
    </rPh>
    <phoneticPr fontId="5"/>
  </si>
  <si>
    <t>機種165</t>
    <rPh sb="0" eb="2">
      <t>キシュ</t>
    </rPh>
    <phoneticPr fontId="5"/>
  </si>
  <si>
    <t>機種166</t>
    <rPh sb="0" eb="2">
      <t>キシュ</t>
    </rPh>
    <phoneticPr fontId="5"/>
  </si>
  <si>
    <t>機種167</t>
    <rPh sb="0" eb="2">
      <t>キシュ</t>
    </rPh>
    <phoneticPr fontId="5"/>
  </si>
  <si>
    <t>機種168</t>
    <rPh sb="0" eb="2">
      <t>キシュ</t>
    </rPh>
    <phoneticPr fontId="5"/>
  </si>
  <si>
    <t>機種169</t>
    <rPh sb="0" eb="2">
      <t>キシュ</t>
    </rPh>
    <phoneticPr fontId="5"/>
  </si>
  <si>
    <t>機種170</t>
    <rPh sb="0" eb="2">
      <t>キシュ</t>
    </rPh>
    <phoneticPr fontId="5"/>
  </si>
  <si>
    <t>機種171</t>
    <rPh sb="0" eb="2">
      <t>キシュ</t>
    </rPh>
    <phoneticPr fontId="5"/>
  </si>
  <si>
    <t>機種172</t>
    <rPh sb="0" eb="2">
      <t>キシュ</t>
    </rPh>
    <phoneticPr fontId="5"/>
  </si>
  <si>
    <t>機種173</t>
    <rPh sb="0" eb="2">
      <t>キシュ</t>
    </rPh>
    <phoneticPr fontId="5"/>
  </si>
  <si>
    <t>機種174</t>
    <rPh sb="0" eb="2">
      <t>キシュ</t>
    </rPh>
    <phoneticPr fontId="5"/>
  </si>
  <si>
    <t>機種175</t>
    <rPh sb="0" eb="2">
      <t>キシュ</t>
    </rPh>
    <phoneticPr fontId="5"/>
  </si>
  <si>
    <t>機種176</t>
    <rPh sb="0" eb="2">
      <t>キシュ</t>
    </rPh>
    <phoneticPr fontId="5"/>
  </si>
  <si>
    <t>機種177</t>
    <rPh sb="0" eb="2">
      <t>キシュ</t>
    </rPh>
    <phoneticPr fontId="5"/>
  </si>
  <si>
    <t>機種178</t>
    <rPh sb="0" eb="2">
      <t>キシュ</t>
    </rPh>
    <phoneticPr fontId="5"/>
  </si>
  <si>
    <t>機種179</t>
    <rPh sb="0" eb="2">
      <t>キシュ</t>
    </rPh>
    <phoneticPr fontId="5"/>
  </si>
  <si>
    <t>機種180</t>
    <rPh sb="0" eb="2">
      <t>キシュ</t>
    </rPh>
    <phoneticPr fontId="5"/>
  </si>
  <si>
    <t>機種181</t>
    <rPh sb="0" eb="2">
      <t>キシュ</t>
    </rPh>
    <phoneticPr fontId="5"/>
  </si>
  <si>
    <t>機種182</t>
    <rPh sb="0" eb="2">
      <t>キシュ</t>
    </rPh>
    <phoneticPr fontId="5"/>
  </si>
  <si>
    <t>機種183</t>
    <rPh sb="0" eb="2">
      <t>キシュ</t>
    </rPh>
    <phoneticPr fontId="5"/>
  </si>
  <si>
    <t>機種184</t>
    <rPh sb="0" eb="2">
      <t>キシュ</t>
    </rPh>
    <phoneticPr fontId="5"/>
  </si>
  <si>
    <t>機種185</t>
    <rPh sb="0" eb="2">
      <t>キシュ</t>
    </rPh>
    <phoneticPr fontId="5"/>
  </si>
  <si>
    <t>機種186</t>
    <rPh sb="0" eb="2">
      <t>キシュ</t>
    </rPh>
    <phoneticPr fontId="5"/>
  </si>
  <si>
    <t>機種187</t>
    <rPh sb="0" eb="2">
      <t>キシュ</t>
    </rPh>
    <phoneticPr fontId="5"/>
  </si>
  <si>
    <t>機種188</t>
    <rPh sb="0" eb="2">
      <t>キシュ</t>
    </rPh>
    <phoneticPr fontId="5"/>
  </si>
  <si>
    <t>機種189</t>
    <rPh sb="0" eb="2">
      <t>キシュ</t>
    </rPh>
    <phoneticPr fontId="5"/>
  </si>
  <si>
    <t>機種190</t>
    <rPh sb="0" eb="2">
      <t>キシュ</t>
    </rPh>
    <phoneticPr fontId="5"/>
  </si>
  <si>
    <t>機種191</t>
    <rPh sb="0" eb="2">
      <t>キシュ</t>
    </rPh>
    <phoneticPr fontId="5"/>
  </si>
  <si>
    <t>機種192</t>
    <rPh sb="0" eb="2">
      <t>キシュ</t>
    </rPh>
    <phoneticPr fontId="5"/>
  </si>
  <si>
    <t>機種193</t>
    <rPh sb="0" eb="2">
      <t>キシュ</t>
    </rPh>
    <phoneticPr fontId="5"/>
  </si>
  <si>
    <t>機種194</t>
    <rPh sb="0" eb="2">
      <t>キシュ</t>
    </rPh>
    <phoneticPr fontId="5"/>
  </si>
  <si>
    <t>機種195</t>
    <rPh sb="0" eb="2">
      <t>キシュ</t>
    </rPh>
    <phoneticPr fontId="5"/>
  </si>
  <si>
    <t>機種196</t>
    <rPh sb="0" eb="2">
      <t>キシュ</t>
    </rPh>
    <phoneticPr fontId="5"/>
  </si>
  <si>
    <t>機種197</t>
    <rPh sb="0" eb="2">
      <t>キシュ</t>
    </rPh>
    <phoneticPr fontId="5"/>
  </si>
  <si>
    <t>機種198</t>
    <rPh sb="0" eb="2">
      <t>キシュ</t>
    </rPh>
    <phoneticPr fontId="5"/>
  </si>
  <si>
    <t>機種199</t>
    <rPh sb="0" eb="2">
      <t>キシュ</t>
    </rPh>
    <phoneticPr fontId="5"/>
  </si>
  <si>
    <t>機種200</t>
    <rPh sb="0" eb="2">
      <t>キシュ</t>
    </rPh>
    <phoneticPr fontId="5"/>
  </si>
  <si>
    <t>機種201</t>
    <rPh sb="0" eb="2">
      <t>キシュ</t>
    </rPh>
    <phoneticPr fontId="5"/>
  </si>
  <si>
    <t>機種202</t>
    <rPh sb="0" eb="2">
      <t>キシュ</t>
    </rPh>
    <phoneticPr fontId="5"/>
  </si>
  <si>
    <t>機種203</t>
    <rPh sb="0" eb="2">
      <t>キシュ</t>
    </rPh>
    <phoneticPr fontId="5"/>
  </si>
  <si>
    <t>機種204</t>
    <rPh sb="0" eb="2">
      <t>キシュ</t>
    </rPh>
    <phoneticPr fontId="5"/>
  </si>
  <si>
    <t>機種205</t>
    <rPh sb="0" eb="2">
      <t>キシュ</t>
    </rPh>
    <phoneticPr fontId="5"/>
  </si>
  <si>
    <t>機種206</t>
    <rPh sb="0" eb="2">
      <t>キシュ</t>
    </rPh>
    <phoneticPr fontId="5"/>
  </si>
  <si>
    <t>機種207</t>
    <rPh sb="0" eb="2">
      <t>キシュ</t>
    </rPh>
    <phoneticPr fontId="5"/>
  </si>
  <si>
    <t>機種208</t>
    <rPh sb="0" eb="2">
      <t>キシュ</t>
    </rPh>
    <phoneticPr fontId="5"/>
  </si>
  <si>
    <t>機種209</t>
    <rPh sb="0" eb="2">
      <t>キシュ</t>
    </rPh>
    <phoneticPr fontId="5"/>
  </si>
  <si>
    <t>機種210</t>
    <rPh sb="0" eb="2">
      <t>キシュ</t>
    </rPh>
    <phoneticPr fontId="5"/>
  </si>
  <si>
    <t>機種211</t>
    <rPh sb="0" eb="2">
      <t>キシュ</t>
    </rPh>
    <phoneticPr fontId="5"/>
  </si>
  <si>
    <t>機種212</t>
    <rPh sb="0" eb="2">
      <t>キシュ</t>
    </rPh>
    <phoneticPr fontId="5"/>
  </si>
  <si>
    <t>機種213</t>
    <rPh sb="0" eb="2">
      <t>キシュ</t>
    </rPh>
    <phoneticPr fontId="5"/>
  </si>
  <si>
    <t>機種214</t>
    <rPh sb="0" eb="2">
      <t>キシュ</t>
    </rPh>
    <phoneticPr fontId="5"/>
  </si>
  <si>
    <t>機種215</t>
    <rPh sb="0" eb="2">
      <t>キシュ</t>
    </rPh>
    <phoneticPr fontId="5"/>
  </si>
  <si>
    <t>機種216</t>
    <rPh sb="0" eb="2">
      <t>キシュ</t>
    </rPh>
    <phoneticPr fontId="5"/>
  </si>
  <si>
    <t>機種217</t>
    <rPh sb="0" eb="2">
      <t>キシュ</t>
    </rPh>
    <phoneticPr fontId="5"/>
  </si>
  <si>
    <t>機種218</t>
    <rPh sb="0" eb="2">
      <t>キシュ</t>
    </rPh>
    <phoneticPr fontId="5"/>
  </si>
  <si>
    <t>機種219</t>
    <rPh sb="0" eb="2">
      <t>キシュ</t>
    </rPh>
    <phoneticPr fontId="5"/>
  </si>
  <si>
    <t>機種220</t>
    <rPh sb="0" eb="2">
      <t>キシュ</t>
    </rPh>
    <phoneticPr fontId="5"/>
  </si>
  <si>
    <t>機種221</t>
    <rPh sb="0" eb="2">
      <t>キシュ</t>
    </rPh>
    <phoneticPr fontId="5"/>
  </si>
  <si>
    <t>機種222</t>
    <rPh sb="0" eb="2">
      <t>キシュ</t>
    </rPh>
    <phoneticPr fontId="5"/>
  </si>
  <si>
    <t>機種223</t>
    <rPh sb="0" eb="2">
      <t>キシュ</t>
    </rPh>
    <phoneticPr fontId="5"/>
  </si>
  <si>
    <t>機種224</t>
    <rPh sb="0" eb="2">
      <t>キシュ</t>
    </rPh>
    <phoneticPr fontId="5"/>
  </si>
  <si>
    <t>機種225</t>
    <rPh sb="0" eb="2">
      <t>キシュ</t>
    </rPh>
    <phoneticPr fontId="5"/>
  </si>
  <si>
    <t>機種226</t>
    <rPh sb="0" eb="2">
      <t>キシュ</t>
    </rPh>
    <phoneticPr fontId="5"/>
  </si>
  <si>
    <t>機種227</t>
    <rPh sb="0" eb="2">
      <t>キシュ</t>
    </rPh>
    <phoneticPr fontId="5"/>
  </si>
  <si>
    <t>機種228</t>
    <rPh sb="0" eb="2">
      <t>キシュ</t>
    </rPh>
    <phoneticPr fontId="5"/>
  </si>
  <si>
    <t>機種229</t>
    <rPh sb="0" eb="2">
      <t>キシュ</t>
    </rPh>
    <phoneticPr fontId="5"/>
  </si>
  <si>
    <t>機種230</t>
    <rPh sb="0" eb="2">
      <t>キシュ</t>
    </rPh>
    <phoneticPr fontId="5"/>
  </si>
  <si>
    <t>機種231</t>
    <rPh sb="0" eb="2">
      <t>キシュ</t>
    </rPh>
    <phoneticPr fontId="5"/>
  </si>
  <si>
    <t>機種232</t>
    <rPh sb="0" eb="2">
      <t>キシュ</t>
    </rPh>
    <phoneticPr fontId="5"/>
  </si>
  <si>
    <t>機種233</t>
    <rPh sb="0" eb="2">
      <t>キシュ</t>
    </rPh>
    <phoneticPr fontId="5"/>
  </si>
  <si>
    <t>機種234</t>
    <rPh sb="0" eb="2">
      <t>キシュ</t>
    </rPh>
    <phoneticPr fontId="5"/>
  </si>
  <si>
    <t>機種235</t>
    <rPh sb="0" eb="2">
      <t>キシュ</t>
    </rPh>
    <phoneticPr fontId="5"/>
  </si>
  <si>
    <t>機種236</t>
    <rPh sb="0" eb="2">
      <t>キシュ</t>
    </rPh>
    <phoneticPr fontId="5"/>
  </si>
  <si>
    <t>機種237</t>
    <rPh sb="0" eb="2">
      <t>キシュ</t>
    </rPh>
    <phoneticPr fontId="5"/>
  </si>
  <si>
    <t>機種238</t>
    <rPh sb="0" eb="2">
      <t>キシュ</t>
    </rPh>
    <phoneticPr fontId="5"/>
  </si>
  <si>
    <t>機種239</t>
    <rPh sb="0" eb="2">
      <t>キシュ</t>
    </rPh>
    <phoneticPr fontId="5"/>
  </si>
  <si>
    <t>機種240</t>
    <rPh sb="0" eb="2">
      <t>キシュ</t>
    </rPh>
    <phoneticPr fontId="5"/>
  </si>
  <si>
    <t>機種241</t>
    <rPh sb="0" eb="2">
      <t>キシュ</t>
    </rPh>
    <phoneticPr fontId="5"/>
  </si>
  <si>
    <t>機種242</t>
    <rPh sb="0" eb="2">
      <t>キシュ</t>
    </rPh>
    <phoneticPr fontId="5"/>
  </si>
  <si>
    <t>機種243</t>
    <rPh sb="0" eb="2">
      <t>キシュ</t>
    </rPh>
    <phoneticPr fontId="5"/>
  </si>
  <si>
    <t>機種244</t>
    <rPh sb="0" eb="2">
      <t>キシュ</t>
    </rPh>
    <phoneticPr fontId="5"/>
  </si>
  <si>
    <t>機種245</t>
    <rPh sb="0" eb="2">
      <t>キシュ</t>
    </rPh>
    <phoneticPr fontId="5"/>
  </si>
  <si>
    <t>機種246</t>
    <rPh sb="0" eb="2">
      <t>キシュ</t>
    </rPh>
    <phoneticPr fontId="5"/>
  </si>
  <si>
    <t>機種247</t>
    <rPh sb="0" eb="2">
      <t>キシュ</t>
    </rPh>
    <phoneticPr fontId="5"/>
  </si>
  <si>
    <t>機種248</t>
    <rPh sb="0" eb="2">
      <t>キシュ</t>
    </rPh>
    <phoneticPr fontId="5"/>
  </si>
  <si>
    <t>機種249</t>
    <rPh sb="0" eb="2">
      <t>キシュ</t>
    </rPh>
    <phoneticPr fontId="5"/>
  </si>
  <si>
    <t>機種250</t>
    <rPh sb="0" eb="2">
      <t>キシュ</t>
    </rPh>
    <phoneticPr fontId="5"/>
  </si>
  <si>
    <t>機種251</t>
    <rPh sb="0" eb="2">
      <t>キシュ</t>
    </rPh>
    <phoneticPr fontId="5"/>
  </si>
  <si>
    <t>機種252</t>
    <rPh sb="0" eb="2">
      <t>キシュ</t>
    </rPh>
    <phoneticPr fontId="5"/>
  </si>
  <si>
    <t>機種253</t>
    <rPh sb="0" eb="2">
      <t>キシュ</t>
    </rPh>
    <phoneticPr fontId="5"/>
  </si>
  <si>
    <t>機種254</t>
    <rPh sb="0" eb="2">
      <t>キシュ</t>
    </rPh>
    <phoneticPr fontId="5"/>
  </si>
  <si>
    <t>機種255</t>
    <rPh sb="0" eb="2">
      <t>キシュ</t>
    </rPh>
    <phoneticPr fontId="5"/>
  </si>
  <si>
    <t>機種256</t>
    <rPh sb="0" eb="2">
      <t>キシュ</t>
    </rPh>
    <phoneticPr fontId="5"/>
  </si>
  <si>
    <t>機種257</t>
    <rPh sb="0" eb="2">
      <t>キシュ</t>
    </rPh>
    <phoneticPr fontId="5"/>
  </si>
  <si>
    <t>機種258</t>
    <rPh sb="0" eb="2">
      <t>キシュ</t>
    </rPh>
    <phoneticPr fontId="5"/>
  </si>
  <si>
    <t>機種259</t>
    <rPh sb="0" eb="2">
      <t>キシュ</t>
    </rPh>
    <phoneticPr fontId="5"/>
  </si>
  <si>
    <t>機種260</t>
    <rPh sb="0" eb="2">
      <t>キシュ</t>
    </rPh>
    <phoneticPr fontId="5"/>
  </si>
  <si>
    <t>機種261</t>
    <rPh sb="0" eb="2">
      <t>キシュ</t>
    </rPh>
    <phoneticPr fontId="5"/>
  </si>
  <si>
    <t>機種262</t>
    <rPh sb="0" eb="2">
      <t>キシュ</t>
    </rPh>
    <phoneticPr fontId="5"/>
  </si>
  <si>
    <t>機種263</t>
    <rPh sb="0" eb="2">
      <t>キシュ</t>
    </rPh>
    <phoneticPr fontId="5"/>
  </si>
  <si>
    <t>機種264</t>
    <rPh sb="0" eb="2">
      <t>キシュ</t>
    </rPh>
    <phoneticPr fontId="5"/>
  </si>
  <si>
    <t>機種265</t>
    <rPh sb="0" eb="2">
      <t>キシュ</t>
    </rPh>
    <phoneticPr fontId="5"/>
  </si>
  <si>
    <t>機種266</t>
    <rPh sb="0" eb="2">
      <t>キシュ</t>
    </rPh>
    <phoneticPr fontId="5"/>
  </si>
  <si>
    <t>機種267</t>
    <rPh sb="0" eb="2">
      <t>キシュ</t>
    </rPh>
    <phoneticPr fontId="5"/>
  </si>
  <si>
    <t>機種268</t>
    <rPh sb="0" eb="2">
      <t>キシュ</t>
    </rPh>
    <phoneticPr fontId="5"/>
  </si>
  <si>
    <t>機種269</t>
    <rPh sb="0" eb="2">
      <t>キシュ</t>
    </rPh>
    <phoneticPr fontId="5"/>
  </si>
  <si>
    <t>機種270</t>
    <rPh sb="0" eb="2">
      <t>キシュ</t>
    </rPh>
    <phoneticPr fontId="5"/>
  </si>
  <si>
    <t>機種271</t>
    <rPh sb="0" eb="2">
      <t>キシュ</t>
    </rPh>
    <phoneticPr fontId="5"/>
  </si>
  <si>
    <t>機種272</t>
    <rPh sb="0" eb="2">
      <t>キシュ</t>
    </rPh>
    <phoneticPr fontId="5"/>
  </si>
  <si>
    <t>機種273</t>
    <rPh sb="0" eb="2">
      <t>キシュ</t>
    </rPh>
    <phoneticPr fontId="5"/>
  </si>
  <si>
    <t>機種274</t>
    <rPh sb="0" eb="2">
      <t>キシュ</t>
    </rPh>
    <phoneticPr fontId="5"/>
  </si>
  <si>
    <t>機種275</t>
    <rPh sb="0" eb="2">
      <t>キシュ</t>
    </rPh>
    <phoneticPr fontId="5"/>
  </si>
  <si>
    <t>機種276</t>
    <rPh sb="0" eb="2">
      <t>キシュ</t>
    </rPh>
    <phoneticPr fontId="5"/>
  </si>
  <si>
    <t>機種277</t>
    <rPh sb="0" eb="2">
      <t>キシュ</t>
    </rPh>
    <phoneticPr fontId="5"/>
  </si>
  <si>
    <t>機種278</t>
    <rPh sb="0" eb="2">
      <t>キシュ</t>
    </rPh>
    <phoneticPr fontId="5"/>
  </si>
  <si>
    <t>機種279</t>
    <rPh sb="0" eb="2">
      <t>キシュ</t>
    </rPh>
    <phoneticPr fontId="5"/>
  </si>
  <si>
    <t>機種280</t>
    <rPh sb="0" eb="2">
      <t>キシュ</t>
    </rPh>
    <phoneticPr fontId="5"/>
  </si>
  <si>
    <t>機種281</t>
    <rPh sb="0" eb="2">
      <t>キシュ</t>
    </rPh>
    <phoneticPr fontId="5"/>
  </si>
  <si>
    <t>機種282</t>
    <rPh sb="0" eb="2">
      <t>キシュ</t>
    </rPh>
    <phoneticPr fontId="5"/>
  </si>
  <si>
    <t>機種283</t>
    <rPh sb="0" eb="2">
      <t>キシュ</t>
    </rPh>
    <phoneticPr fontId="5"/>
  </si>
  <si>
    <t>機種284</t>
    <rPh sb="0" eb="2">
      <t>キシュ</t>
    </rPh>
    <phoneticPr fontId="5"/>
  </si>
  <si>
    <t>機種285</t>
    <rPh sb="0" eb="2">
      <t>キシュ</t>
    </rPh>
    <phoneticPr fontId="5"/>
  </si>
  <si>
    <t>機種286</t>
    <rPh sb="0" eb="2">
      <t>キシュ</t>
    </rPh>
    <phoneticPr fontId="5"/>
  </si>
  <si>
    <t>機種287</t>
    <rPh sb="0" eb="2">
      <t>キシュ</t>
    </rPh>
    <phoneticPr fontId="5"/>
  </si>
  <si>
    <t>機種288</t>
    <rPh sb="0" eb="2">
      <t>キシュ</t>
    </rPh>
    <phoneticPr fontId="5"/>
  </si>
  <si>
    <t>機種289</t>
    <rPh sb="0" eb="2">
      <t>キシュ</t>
    </rPh>
    <phoneticPr fontId="5"/>
  </si>
  <si>
    <t>機種290</t>
    <rPh sb="0" eb="2">
      <t>キシュ</t>
    </rPh>
    <phoneticPr fontId="5"/>
  </si>
  <si>
    <t>機種291</t>
    <rPh sb="0" eb="2">
      <t>キシュ</t>
    </rPh>
    <phoneticPr fontId="5"/>
  </si>
  <si>
    <t>機種292</t>
    <rPh sb="0" eb="2">
      <t>キシュ</t>
    </rPh>
    <phoneticPr fontId="5"/>
  </si>
  <si>
    <t>機種293</t>
    <rPh sb="0" eb="2">
      <t>キシュ</t>
    </rPh>
    <phoneticPr fontId="5"/>
  </si>
  <si>
    <t>機種294</t>
    <rPh sb="0" eb="2">
      <t>キシュ</t>
    </rPh>
    <phoneticPr fontId="5"/>
  </si>
  <si>
    <t>機種295</t>
    <rPh sb="0" eb="2">
      <t>キシュ</t>
    </rPh>
    <phoneticPr fontId="5"/>
  </si>
  <si>
    <t>機種296</t>
    <rPh sb="0" eb="2">
      <t>キシュ</t>
    </rPh>
    <phoneticPr fontId="5"/>
  </si>
  <si>
    <t>機種297</t>
    <rPh sb="0" eb="2">
      <t>キシュ</t>
    </rPh>
    <phoneticPr fontId="5"/>
  </si>
  <si>
    <t>機種298</t>
    <rPh sb="0" eb="2">
      <t>キシュ</t>
    </rPh>
    <phoneticPr fontId="5"/>
  </si>
  <si>
    <t>機種299</t>
    <rPh sb="0" eb="2">
      <t>キシュ</t>
    </rPh>
    <phoneticPr fontId="5"/>
  </si>
  <si>
    <t>機種300</t>
    <rPh sb="0" eb="2">
      <t>キシュ</t>
    </rPh>
    <phoneticPr fontId="5"/>
  </si>
  <si>
    <t>ー</t>
    <phoneticPr fontId="5"/>
  </si>
  <si>
    <t>項目</t>
    <rPh sb="0" eb="2">
      <t>コウモク</t>
    </rPh>
    <phoneticPr fontId="5"/>
  </si>
  <si>
    <t>単位</t>
    <rPh sb="0" eb="2">
      <t>タンイ</t>
    </rPh>
    <phoneticPr fontId="5"/>
  </si>
  <si>
    <t>G</t>
    <phoneticPr fontId="5"/>
  </si>
  <si>
    <t>H</t>
    <phoneticPr fontId="5"/>
  </si>
  <si>
    <t>J</t>
    <phoneticPr fontId="5"/>
  </si>
  <si>
    <t>K</t>
    <phoneticPr fontId="5"/>
  </si>
  <si>
    <t>I</t>
    <phoneticPr fontId="5"/>
  </si>
  <si>
    <t>事業者名称</t>
    <rPh sb="0" eb="3">
      <t>ジギョウシャ</t>
    </rPh>
    <rPh sb="3" eb="5">
      <t>メイショウ</t>
    </rPh>
    <phoneticPr fontId="5"/>
  </si>
  <si>
    <t>事業所名称</t>
    <rPh sb="0" eb="3">
      <t>ジギョウショ</t>
    </rPh>
    <rPh sb="3" eb="5">
      <t>メイショウ</t>
    </rPh>
    <phoneticPr fontId="5"/>
  </si>
  <si>
    <t>提出先</t>
    <rPh sb="0" eb="3">
      <t>テイシュツサキ</t>
    </rPh>
    <phoneticPr fontId="5"/>
  </si>
  <si>
    <t>交付申請等受付システム</t>
    <rPh sb="0" eb="2">
      <t>コウフ</t>
    </rPh>
    <rPh sb="2" eb="4">
      <t>シンセイ</t>
    </rPh>
    <rPh sb="4" eb="5">
      <t>トウ</t>
    </rPh>
    <rPh sb="5" eb="7">
      <t>ウケツケ</t>
    </rPh>
    <phoneticPr fontId="5"/>
  </si>
  <si>
    <t>メール</t>
    <phoneticPr fontId="5"/>
  </si>
  <si>
    <t>郵送</t>
    <rPh sb="0" eb="2">
      <t>ユウソウ</t>
    </rPh>
    <phoneticPr fontId="5"/>
  </si>
  <si>
    <t>備考</t>
    <rPh sb="0" eb="2">
      <t>ビコウ</t>
    </rPh>
    <phoneticPr fontId="5"/>
  </si>
  <si>
    <t>※書類審査・補正にて、エクセルファイルの提出を求める場合があります。</t>
    <rPh sb="1" eb="3">
      <t>ショルイ</t>
    </rPh>
    <rPh sb="3" eb="5">
      <t>シンサ</t>
    </rPh>
    <rPh sb="6" eb="8">
      <t>ホセイ</t>
    </rPh>
    <rPh sb="20" eb="22">
      <t>テイシュツ</t>
    </rPh>
    <rPh sb="23" eb="24">
      <t>モト</t>
    </rPh>
    <rPh sb="26" eb="28">
      <t>バアイ</t>
    </rPh>
    <phoneticPr fontId="5"/>
  </si>
  <si>
    <t>提出書類</t>
    <rPh sb="0" eb="2">
      <t>テイシュツ</t>
    </rPh>
    <rPh sb="2" eb="4">
      <t>ショルイ</t>
    </rPh>
    <phoneticPr fontId="5"/>
  </si>
  <si>
    <t>※本エクセルファイルは、申請書類の一つです。</t>
    <rPh sb="1" eb="2">
      <t>ホン</t>
    </rPh>
    <rPh sb="12" eb="16">
      <t>シンセイショルイ</t>
    </rPh>
    <rPh sb="17" eb="18">
      <t>ヒト</t>
    </rPh>
    <phoneticPr fontId="5"/>
  </si>
  <si>
    <t>※不明点等があれば、事務局へお問い合わせください。</t>
    <rPh sb="1" eb="5">
      <t>フメイテントウ</t>
    </rPh>
    <rPh sb="10" eb="13">
      <t>ジムキョク</t>
    </rPh>
    <rPh sb="15" eb="16">
      <t>ト</t>
    </rPh>
    <rPh sb="17" eb="18">
      <t>ア</t>
    </rPh>
    <phoneticPr fontId="5"/>
  </si>
  <si>
    <t>●以下シートを印刷したもの
・使用量と光熱費
・算定した設備
・診断結果【更新】</t>
    <rPh sb="1" eb="3">
      <t>イカ</t>
    </rPh>
    <rPh sb="7" eb="9">
      <t>インサツ</t>
    </rPh>
    <rPh sb="15" eb="18">
      <t>シヨウリョウ</t>
    </rPh>
    <rPh sb="19" eb="22">
      <t>コウネツヒ</t>
    </rPh>
    <rPh sb="24" eb="26">
      <t>サンテイ</t>
    </rPh>
    <rPh sb="28" eb="30">
      <t>セツビ</t>
    </rPh>
    <rPh sb="32" eb="36">
      <t>シンダンケッカ</t>
    </rPh>
    <rPh sb="37" eb="39">
      <t>コウシン</t>
    </rPh>
    <phoneticPr fontId="5"/>
  </si>
  <si>
    <t>※シートの削除、入力セル以外の記載の改変等をしないでください。</t>
    <phoneticPr fontId="5"/>
  </si>
  <si>
    <t>※交付申請では、下記のファイル又はシートを印刷したものを提出してください。</t>
    <rPh sb="1" eb="5">
      <t>コウフシンセイ</t>
    </rPh>
    <rPh sb="8" eb="10">
      <t>カキ</t>
    </rPh>
    <rPh sb="15" eb="16">
      <t>マタ</t>
    </rPh>
    <rPh sb="21" eb="23">
      <t>インサツ</t>
    </rPh>
    <rPh sb="28" eb="30">
      <t>テイシュツ</t>
    </rPh>
    <phoneticPr fontId="5"/>
  </si>
  <si>
    <t>簡易自己診断ツール
（エクセルファイル全体）</t>
    <rPh sb="0" eb="6">
      <t>カンイジコシンダン</t>
    </rPh>
    <rPh sb="19" eb="21">
      <t>ゼンタイ</t>
    </rPh>
    <phoneticPr fontId="5"/>
  </si>
  <si>
    <t>同上</t>
    <rPh sb="0" eb="2">
      <t>ドウジョウ</t>
    </rPh>
    <phoneticPr fontId="5"/>
  </si>
  <si>
    <t>日使用時間
(t)</t>
    <rPh sb="0" eb="1">
      <t>ニチ</t>
    </rPh>
    <rPh sb="1" eb="3">
      <t>シヨウ</t>
    </rPh>
    <rPh sb="3" eb="5">
      <t>ジカン</t>
    </rPh>
    <phoneticPr fontId="5"/>
  </si>
  <si>
    <t>使用率(r1)</t>
    <rPh sb="2" eb="3">
      <t>リツ</t>
    </rPh>
    <phoneticPr fontId="5"/>
  </si>
  <si>
    <t>年間使用
時間(b)</t>
    <rPh sb="0" eb="2">
      <t>ネンカン</t>
    </rPh>
    <rPh sb="5" eb="7">
      <t>ジカン</t>
    </rPh>
    <phoneticPr fontId="5"/>
  </si>
  <si>
    <t>使用率(r2)</t>
    <rPh sb="2" eb="3">
      <t>リツ</t>
    </rPh>
    <phoneticPr fontId="5"/>
  </si>
  <si>
    <t>年間使用
時間(b')</t>
    <rPh sb="0" eb="2">
      <t>ネンカン</t>
    </rPh>
    <rPh sb="5" eb="7">
      <t>ジカン</t>
    </rPh>
    <phoneticPr fontId="5"/>
  </si>
  <si>
    <t>メーカー・
型番</t>
    <rPh sb="6" eb="8">
      <t>カタバン</t>
    </rPh>
    <phoneticPr fontId="5"/>
  </si>
  <si>
    <t>導入年度
（西暦）</t>
    <rPh sb="0" eb="4">
      <t>ドウニュウネンド</t>
    </rPh>
    <rPh sb="6" eb="8">
      <t>セイレキ</t>
    </rPh>
    <phoneticPr fontId="5"/>
  </si>
  <si>
    <t>定格能力</t>
    <rPh sb="0" eb="2">
      <t>テイカク</t>
    </rPh>
    <rPh sb="2" eb="4">
      <t>ノウリョク</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</si>
  <si>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</si>
  <si>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t>日使用時間(t)</t>
    <rPh sb="0" eb="1">
      <t>ニチ</t>
    </rPh>
    <phoneticPr fontId="5"/>
  </si>
  <si>
    <t>年間使用日数(d)</t>
    <rPh sb="0" eb="2">
      <t>ネンカン</t>
    </rPh>
    <rPh sb="4" eb="6">
      <t>ニッスウ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</si>
  <si>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</si>
  <si>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</si>
  <si>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</si>
  <si>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</si>
  <si>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時定格消費電力（</t>
    </r>
    <r>
      <rPr>
        <sz val="11"/>
        <color theme="1"/>
        <rFont val="游ゴシック"/>
        <family val="3"/>
        <charset val="128"/>
        <scheme val="minor"/>
      </rPr>
      <t>a</t>
    </r>
    <r>
      <rPr>
        <vertAlign val="subscript"/>
        <sz val="11"/>
        <color theme="1"/>
        <rFont val="游ゴシック"/>
        <family val="3"/>
        <charset val="128"/>
        <scheme val="minor"/>
      </rPr>
      <t>2</t>
    </r>
    <r>
      <rPr>
        <sz val="11"/>
        <color theme="1"/>
        <rFont val="游ゴシック"/>
        <family val="2"/>
        <scheme val="minor"/>
      </rPr>
      <t>）</t>
    </r>
    <rPh sb="0" eb="1">
      <t>ジ</t>
    </rPh>
    <rPh sb="3" eb="5">
      <t>ショウヒ</t>
    </rPh>
    <rPh sb="5" eb="7">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</si>
  <si>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</si>
  <si>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1</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</si>
  <si>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3"/>
        <charset val="128"/>
        <scheme val="minor"/>
      </rPr>
      <t>1</t>
    </r>
    <r>
      <rPr>
        <sz val="11"/>
        <color theme="1"/>
        <rFont val="游ゴシック"/>
        <family val="2"/>
        <scheme val="minor"/>
      </rPr>
      <t>)</t>
    </r>
    <rPh sb="2" eb="4">
      <t>ショウヒ</t>
    </rPh>
    <rPh sb="6" eb="7">
      <t>リョウ</t>
    </rPh>
    <phoneticPr fontId="5"/>
  </si>
  <si>
    <r>
      <t>年間使用時間(d'</t>
    </r>
    <r>
      <rPr>
        <vertAlign val="subscript"/>
        <sz val="11"/>
        <color theme="1"/>
        <rFont val="游ゴシック"/>
        <family val="3"/>
        <charset val="128"/>
        <scheme val="minor"/>
      </rPr>
      <t>1</t>
    </r>
    <r>
      <rPr>
        <sz val="11"/>
        <color theme="1"/>
        <rFont val="游ゴシック"/>
        <family val="2"/>
        <scheme val="minor"/>
      </rPr>
      <t>)</t>
    </r>
    <rPh sb="0" eb="2">
      <t>ネンカン</t>
    </rPh>
    <rPh sb="2" eb="4">
      <t>シヨウ</t>
    </rPh>
    <rPh sb="4" eb="6">
      <t>ジカン</t>
    </rPh>
    <phoneticPr fontId="5"/>
  </si>
  <si>
    <r>
      <t>定格消費電力（</t>
    </r>
    <r>
      <rPr>
        <sz val="11"/>
        <color theme="1"/>
        <rFont val="游ゴシック"/>
        <family val="3"/>
        <charset val="128"/>
        <scheme val="minor"/>
      </rPr>
      <t>a</t>
    </r>
    <r>
      <rPr>
        <sz val="11"/>
        <color theme="1"/>
        <rFont val="游ゴシック"/>
        <family val="2"/>
        <scheme val="minor"/>
      </rPr>
      <t>'</t>
    </r>
    <r>
      <rPr>
        <vertAlign val="subscript"/>
        <sz val="11"/>
        <color theme="1"/>
        <rFont val="游ゴシック"/>
        <family val="3"/>
        <charset val="128"/>
        <scheme val="minor"/>
      </rPr>
      <t>2</t>
    </r>
    <r>
      <rPr>
        <sz val="11"/>
        <color theme="1"/>
        <rFont val="游ゴシック"/>
        <family val="2"/>
        <scheme val="minor"/>
      </rPr>
      <t>）</t>
    </r>
    <rPh sb="2" eb="4">
      <t>ショウヒ</t>
    </rPh>
    <rPh sb="4" eb="6">
      <t>デンリョク</t>
    </rPh>
    <phoneticPr fontId="5"/>
  </si>
  <si>
    <r>
      <t>定格消費ガス量('b</t>
    </r>
    <r>
      <rPr>
        <vertAlign val="subscript"/>
        <sz val="11"/>
        <color theme="1"/>
        <rFont val="游ゴシック"/>
        <family val="2"/>
        <scheme val="minor"/>
      </rPr>
      <t>2</t>
    </r>
    <r>
      <rPr>
        <sz val="11"/>
        <color theme="1"/>
        <rFont val="游ゴシック"/>
        <family val="2"/>
        <scheme val="minor"/>
      </rPr>
      <t>)</t>
    </r>
    <rPh sb="0" eb="2">
      <t>テイカク</t>
    </rPh>
    <rPh sb="2" eb="4">
      <t>ショウヒ</t>
    </rPh>
    <rPh sb="6" eb="7">
      <t>リョウ</t>
    </rPh>
    <phoneticPr fontId="5"/>
  </si>
  <si>
    <r>
      <t>年間使用時間(d'</t>
    </r>
    <r>
      <rPr>
        <vertAlign val="subscript"/>
        <sz val="11"/>
        <color theme="1"/>
        <rFont val="游ゴシック"/>
        <family val="3"/>
        <charset val="128"/>
        <scheme val="minor"/>
      </rPr>
      <t>2</t>
    </r>
    <r>
      <rPr>
        <sz val="11"/>
        <color theme="1"/>
        <rFont val="游ゴシック"/>
        <family val="2"/>
        <scheme val="minor"/>
      </rPr>
      <t>)</t>
    </r>
    <rPh sb="0" eb="2">
      <t>ネンカン</t>
    </rPh>
    <rPh sb="2" eb="4">
      <t>シヨウ</t>
    </rPh>
    <rPh sb="4" eb="6">
      <t>ジカン</t>
    </rPh>
    <phoneticPr fontId="5"/>
  </si>
  <si>
    <t>日使用時間(t)</t>
    <rPh sb="0" eb="1">
      <t>ニチ</t>
    </rPh>
    <rPh sb="3" eb="5">
      <t>ジカン</t>
    </rPh>
    <phoneticPr fontId="5"/>
  </si>
  <si>
    <t>年間使用時間(b)</t>
    <rPh sb="0" eb="2">
      <t>ネンカン</t>
    </rPh>
    <rPh sb="4" eb="6">
      <t>ジカン</t>
    </rPh>
    <phoneticPr fontId="5"/>
  </si>
  <si>
    <t>年間使用時間(b')</t>
    <rPh sb="0" eb="2">
      <t>ネンカン</t>
    </rPh>
    <rPh sb="4" eb="6">
      <t>ジカン</t>
    </rPh>
    <phoneticPr fontId="5"/>
  </si>
  <si>
    <t>EQ-235YWK</t>
  </si>
  <si>
    <t>年間使用時間(t)</t>
    <rPh sb="0" eb="2">
      <t>ネンカン</t>
    </rPh>
    <phoneticPr fontId="5"/>
  </si>
  <si>
    <t>年間使用時間(t')</t>
    <phoneticPr fontId="5"/>
  </si>
  <si>
    <t>年間使用時間(t)</t>
    <rPh sb="0" eb="2">
      <t>ネンカン</t>
    </rPh>
    <rPh sb="4" eb="6">
      <t>ジカン</t>
    </rPh>
    <phoneticPr fontId="5"/>
  </si>
  <si>
    <t>3相：66kV→210V</t>
  </si>
  <si>
    <t>冷凍庫・冷蔵庫の更新</t>
    <rPh sb="0" eb="3">
      <t>レイトウコ</t>
    </rPh>
    <rPh sb="4" eb="7">
      <t>レイゾウコ</t>
    </rPh>
    <phoneticPr fontId="5"/>
  </si>
  <si>
    <t>冷凍室容積</t>
    <rPh sb="0" eb="3">
      <t>レイトウシツ</t>
    </rPh>
    <rPh sb="3" eb="5">
      <t>ヨウセキ</t>
    </rPh>
    <phoneticPr fontId="5"/>
  </si>
  <si>
    <t>冷蔵室容積</t>
    <rPh sb="0" eb="3">
      <t>レイゾウシツ</t>
    </rPh>
    <rPh sb="3" eb="5">
      <t>ヨウセキ</t>
    </rPh>
    <phoneticPr fontId="5"/>
  </si>
  <si>
    <t>定格消費
電力（a）</t>
    <rPh sb="0" eb="2">
      <t>テイカク</t>
    </rPh>
    <rPh sb="2" eb="4">
      <t>ショウヒ</t>
    </rPh>
    <rPh sb="5" eb="7">
      <t>デンリョク</t>
    </rPh>
    <phoneticPr fontId="5"/>
  </si>
  <si>
    <t>定格消費
電力（a'）</t>
    <rPh sb="0" eb="2">
      <t>テイカク</t>
    </rPh>
    <rPh sb="2" eb="4">
      <t>ショウヒ</t>
    </rPh>
    <rPh sb="5" eb="7">
      <t>デンリョク</t>
    </rPh>
    <phoneticPr fontId="5"/>
  </si>
  <si>
    <t>L/台数</t>
    <rPh sb="2" eb="4">
      <t>ダイスウ</t>
    </rPh>
    <phoneticPr fontId="5"/>
  </si>
  <si>
    <t>SSB-120C2</t>
    <phoneticPr fontId="5"/>
  </si>
  <si>
    <t>RT-120MNCG</t>
    <phoneticPr fontId="5"/>
  </si>
  <si>
    <t>機種301</t>
    <rPh sb="0" eb="2">
      <t>キシュ</t>
    </rPh>
    <phoneticPr fontId="5"/>
  </si>
  <si>
    <t>機種302</t>
    <rPh sb="0" eb="2">
      <t>キシュ</t>
    </rPh>
    <phoneticPr fontId="5"/>
  </si>
  <si>
    <t>機種303</t>
    <rPh sb="0" eb="2">
      <t>キシュ</t>
    </rPh>
    <phoneticPr fontId="5"/>
  </si>
  <si>
    <t>機種304</t>
    <rPh sb="0" eb="2">
      <t>キシュ</t>
    </rPh>
    <phoneticPr fontId="5"/>
  </si>
  <si>
    <t>機種305</t>
    <rPh sb="0" eb="2">
      <t>キシュ</t>
    </rPh>
    <phoneticPr fontId="5"/>
  </si>
  <si>
    <t>機種306</t>
    <rPh sb="0" eb="2">
      <t>キシュ</t>
    </rPh>
    <phoneticPr fontId="5"/>
  </si>
  <si>
    <t>機種307</t>
    <rPh sb="0" eb="2">
      <t>キシュ</t>
    </rPh>
    <phoneticPr fontId="5"/>
  </si>
  <si>
    <t>機種308</t>
    <rPh sb="0" eb="2">
      <t>キシュ</t>
    </rPh>
    <phoneticPr fontId="5"/>
  </si>
  <si>
    <t>機種309</t>
    <rPh sb="0" eb="2">
      <t>キシュ</t>
    </rPh>
    <phoneticPr fontId="5"/>
  </si>
  <si>
    <t>機種310</t>
    <rPh sb="0" eb="2">
      <t>キシュ</t>
    </rPh>
    <phoneticPr fontId="5"/>
  </si>
  <si>
    <t>機種311</t>
    <rPh sb="0" eb="2">
      <t>キシュ</t>
    </rPh>
    <phoneticPr fontId="5"/>
  </si>
  <si>
    <t>機種312</t>
    <rPh sb="0" eb="2">
      <t>キシュ</t>
    </rPh>
    <phoneticPr fontId="5"/>
  </si>
  <si>
    <t>機種313</t>
    <rPh sb="0" eb="2">
      <t>キシュ</t>
    </rPh>
    <phoneticPr fontId="5"/>
  </si>
  <si>
    <t>機種314</t>
    <rPh sb="0" eb="2">
      <t>キシュ</t>
    </rPh>
    <phoneticPr fontId="5"/>
  </si>
  <si>
    <t>機種315</t>
    <rPh sb="0" eb="2">
      <t>キシュ</t>
    </rPh>
    <phoneticPr fontId="5"/>
  </si>
  <si>
    <t>機種316</t>
    <rPh sb="0" eb="2">
      <t>キシュ</t>
    </rPh>
    <phoneticPr fontId="5"/>
  </si>
  <si>
    <t>機種317</t>
    <rPh sb="0" eb="2">
      <t>キシュ</t>
    </rPh>
    <phoneticPr fontId="5"/>
  </si>
  <si>
    <t>機種318</t>
    <rPh sb="0" eb="2">
      <t>キシュ</t>
    </rPh>
    <phoneticPr fontId="5"/>
  </si>
  <si>
    <t>機種319</t>
    <rPh sb="0" eb="2">
      <t>キシュ</t>
    </rPh>
    <phoneticPr fontId="5"/>
  </si>
  <si>
    <t>機種320</t>
    <rPh sb="0" eb="2">
      <t>キシュ</t>
    </rPh>
    <phoneticPr fontId="5"/>
  </si>
  <si>
    <t>機種321</t>
    <rPh sb="0" eb="2">
      <t>キシュ</t>
    </rPh>
    <phoneticPr fontId="5"/>
  </si>
  <si>
    <t>機種322</t>
    <rPh sb="0" eb="2">
      <t>キシュ</t>
    </rPh>
    <phoneticPr fontId="5"/>
  </si>
  <si>
    <t>機種323</t>
    <rPh sb="0" eb="2">
      <t>キシュ</t>
    </rPh>
    <phoneticPr fontId="5"/>
  </si>
  <si>
    <t>機種324</t>
    <rPh sb="0" eb="2">
      <t>キシュ</t>
    </rPh>
    <phoneticPr fontId="5"/>
  </si>
  <si>
    <t>機種325</t>
    <rPh sb="0" eb="2">
      <t>キシュ</t>
    </rPh>
    <phoneticPr fontId="5"/>
  </si>
  <si>
    <t>機種326</t>
    <rPh sb="0" eb="2">
      <t>キシュ</t>
    </rPh>
    <phoneticPr fontId="5"/>
  </si>
  <si>
    <t>機種327</t>
    <rPh sb="0" eb="2">
      <t>キシュ</t>
    </rPh>
    <phoneticPr fontId="5"/>
  </si>
  <si>
    <t>機種328</t>
    <rPh sb="0" eb="2">
      <t>キシュ</t>
    </rPh>
    <phoneticPr fontId="5"/>
  </si>
  <si>
    <t>機種329</t>
    <rPh sb="0" eb="2">
      <t>キシュ</t>
    </rPh>
    <phoneticPr fontId="5"/>
  </si>
  <si>
    <t>機種330</t>
    <rPh sb="0" eb="2">
      <t>キシュ</t>
    </rPh>
    <phoneticPr fontId="5"/>
  </si>
  <si>
    <t>機種331</t>
    <rPh sb="0" eb="2">
      <t>キシュ</t>
    </rPh>
    <phoneticPr fontId="5"/>
  </si>
  <si>
    <t>機種332</t>
    <rPh sb="0" eb="2">
      <t>キシュ</t>
    </rPh>
    <phoneticPr fontId="5"/>
  </si>
  <si>
    <t>機種333</t>
    <rPh sb="0" eb="2">
      <t>キシュ</t>
    </rPh>
    <phoneticPr fontId="5"/>
  </si>
  <si>
    <t>機種334</t>
    <rPh sb="0" eb="2">
      <t>キシュ</t>
    </rPh>
    <phoneticPr fontId="5"/>
  </si>
  <si>
    <t>機種335</t>
    <rPh sb="0" eb="2">
      <t>キシュ</t>
    </rPh>
    <phoneticPr fontId="5"/>
  </si>
  <si>
    <t>機種336</t>
    <rPh sb="0" eb="2">
      <t>キシュ</t>
    </rPh>
    <phoneticPr fontId="5"/>
  </si>
  <si>
    <t>機種337</t>
    <rPh sb="0" eb="2">
      <t>キシュ</t>
    </rPh>
    <phoneticPr fontId="5"/>
  </si>
  <si>
    <t>機種338</t>
    <rPh sb="0" eb="2">
      <t>キシュ</t>
    </rPh>
    <phoneticPr fontId="5"/>
  </si>
  <si>
    <t>機種339</t>
    <rPh sb="0" eb="2">
      <t>キシュ</t>
    </rPh>
    <phoneticPr fontId="5"/>
  </si>
  <si>
    <t>機種340</t>
    <rPh sb="0" eb="2">
      <t>キシュ</t>
    </rPh>
    <phoneticPr fontId="5"/>
  </si>
  <si>
    <t>機種341</t>
    <rPh sb="0" eb="2">
      <t>キシュ</t>
    </rPh>
    <phoneticPr fontId="5"/>
  </si>
  <si>
    <t>機種342</t>
    <rPh sb="0" eb="2">
      <t>キシュ</t>
    </rPh>
    <phoneticPr fontId="5"/>
  </si>
  <si>
    <t>機種343</t>
    <rPh sb="0" eb="2">
      <t>キシュ</t>
    </rPh>
    <phoneticPr fontId="5"/>
  </si>
  <si>
    <t>機種344</t>
    <rPh sb="0" eb="2">
      <t>キシュ</t>
    </rPh>
    <phoneticPr fontId="5"/>
  </si>
  <si>
    <t>機種345</t>
    <rPh sb="0" eb="2">
      <t>キシュ</t>
    </rPh>
    <phoneticPr fontId="5"/>
  </si>
  <si>
    <t>機種346</t>
    <rPh sb="0" eb="2">
      <t>キシュ</t>
    </rPh>
    <phoneticPr fontId="5"/>
  </si>
  <si>
    <t>機種347</t>
    <rPh sb="0" eb="2">
      <t>キシュ</t>
    </rPh>
    <phoneticPr fontId="5"/>
  </si>
  <si>
    <t>機種348</t>
    <rPh sb="0" eb="2">
      <t>キシュ</t>
    </rPh>
    <phoneticPr fontId="5"/>
  </si>
  <si>
    <t>機種349</t>
    <rPh sb="0" eb="2">
      <t>キシュ</t>
    </rPh>
    <phoneticPr fontId="5"/>
  </si>
  <si>
    <t>機種350</t>
    <rPh sb="0" eb="2">
      <t>キシュ</t>
    </rPh>
    <phoneticPr fontId="5"/>
  </si>
  <si>
    <t>機種351</t>
    <rPh sb="0" eb="2">
      <t>キシュ</t>
    </rPh>
    <phoneticPr fontId="5"/>
  </si>
  <si>
    <t>機種352</t>
    <rPh sb="0" eb="2">
      <t>キシュ</t>
    </rPh>
    <phoneticPr fontId="5"/>
  </si>
  <si>
    <t>機種353</t>
    <rPh sb="0" eb="2">
      <t>キシュ</t>
    </rPh>
    <phoneticPr fontId="5"/>
  </si>
  <si>
    <t>機種354</t>
    <rPh sb="0" eb="2">
      <t>キシュ</t>
    </rPh>
    <phoneticPr fontId="5"/>
  </si>
  <si>
    <t>機種355</t>
    <rPh sb="0" eb="2">
      <t>キシュ</t>
    </rPh>
    <phoneticPr fontId="5"/>
  </si>
  <si>
    <t>機種356</t>
    <rPh sb="0" eb="2">
      <t>キシュ</t>
    </rPh>
    <phoneticPr fontId="5"/>
  </si>
  <si>
    <t>機種357</t>
    <rPh sb="0" eb="2">
      <t>キシュ</t>
    </rPh>
    <phoneticPr fontId="5"/>
  </si>
  <si>
    <t>機種358</t>
    <rPh sb="0" eb="2">
      <t>キシュ</t>
    </rPh>
    <phoneticPr fontId="5"/>
  </si>
  <si>
    <t>機種359</t>
    <rPh sb="0" eb="2">
      <t>キシュ</t>
    </rPh>
    <phoneticPr fontId="5"/>
  </si>
  <si>
    <t>機種360</t>
    <rPh sb="0" eb="2">
      <t>キシュ</t>
    </rPh>
    <phoneticPr fontId="5"/>
  </si>
  <si>
    <t>機種361</t>
    <rPh sb="0" eb="2">
      <t>キシュ</t>
    </rPh>
    <phoneticPr fontId="5"/>
  </si>
  <si>
    <t>機種362</t>
    <rPh sb="0" eb="2">
      <t>キシュ</t>
    </rPh>
    <phoneticPr fontId="5"/>
  </si>
  <si>
    <t>機種363</t>
    <rPh sb="0" eb="2">
      <t>キシュ</t>
    </rPh>
    <phoneticPr fontId="5"/>
  </si>
  <si>
    <t>機種364</t>
    <rPh sb="0" eb="2">
      <t>キシュ</t>
    </rPh>
    <phoneticPr fontId="5"/>
  </si>
  <si>
    <t>機種365</t>
    <rPh sb="0" eb="2">
      <t>キシュ</t>
    </rPh>
    <phoneticPr fontId="5"/>
  </si>
  <si>
    <t>機種366</t>
    <rPh sb="0" eb="2">
      <t>キシュ</t>
    </rPh>
    <phoneticPr fontId="5"/>
  </si>
  <si>
    <t>機種367</t>
    <rPh sb="0" eb="2">
      <t>キシュ</t>
    </rPh>
    <phoneticPr fontId="5"/>
  </si>
  <si>
    <t>機種368</t>
    <rPh sb="0" eb="2">
      <t>キシュ</t>
    </rPh>
    <phoneticPr fontId="5"/>
  </si>
  <si>
    <t>機種369</t>
    <rPh sb="0" eb="2">
      <t>キシュ</t>
    </rPh>
    <phoneticPr fontId="5"/>
  </si>
  <si>
    <t>機種370</t>
    <rPh sb="0" eb="2">
      <t>キシュ</t>
    </rPh>
    <phoneticPr fontId="5"/>
  </si>
  <si>
    <t>機種371</t>
    <rPh sb="0" eb="2">
      <t>キシュ</t>
    </rPh>
    <phoneticPr fontId="5"/>
  </si>
  <si>
    <t>機種372</t>
    <rPh sb="0" eb="2">
      <t>キシュ</t>
    </rPh>
    <phoneticPr fontId="5"/>
  </si>
  <si>
    <t>機種373</t>
    <rPh sb="0" eb="2">
      <t>キシュ</t>
    </rPh>
    <phoneticPr fontId="5"/>
  </si>
  <si>
    <t>機種374</t>
    <rPh sb="0" eb="2">
      <t>キシュ</t>
    </rPh>
    <phoneticPr fontId="5"/>
  </si>
  <si>
    <t>機種375</t>
    <rPh sb="0" eb="2">
      <t>キシュ</t>
    </rPh>
    <phoneticPr fontId="5"/>
  </si>
  <si>
    <t>機種376</t>
    <rPh sb="0" eb="2">
      <t>キシュ</t>
    </rPh>
    <phoneticPr fontId="5"/>
  </si>
  <si>
    <t>機種377</t>
    <rPh sb="0" eb="2">
      <t>キシュ</t>
    </rPh>
    <phoneticPr fontId="5"/>
  </si>
  <si>
    <t>機種378</t>
    <rPh sb="0" eb="2">
      <t>キシュ</t>
    </rPh>
    <phoneticPr fontId="5"/>
  </si>
  <si>
    <t>機種379</t>
    <rPh sb="0" eb="2">
      <t>キシュ</t>
    </rPh>
    <phoneticPr fontId="5"/>
  </si>
  <si>
    <t>機種380</t>
    <rPh sb="0" eb="2">
      <t>キシュ</t>
    </rPh>
    <phoneticPr fontId="5"/>
  </si>
  <si>
    <t>機種381</t>
    <rPh sb="0" eb="2">
      <t>キシュ</t>
    </rPh>
    <phoneticPr fontId="5"/>
  </si>
  <si>
    <t>機種382</t>
    <rPh sb="0" eb="2">
      <t>キシュ</t>
    </rPh>
    <phoneticPr fontId="5"/>
  </si>
  <si>
    <t>機種383</t>
    <rPh sb="0" eb="2">
      <t>キシュ</t>
    </rPh>
    <phoneticPr fontId="5"/>
  </si>
  <si>
    <t>機種384</t>
    <rPh sb="0" eb="2">
      <t>キシュ</t>
    </rPh>
    <phoneticPr fontId="5"/>
  </si>
  <si>
    <t>機種385</t>
    <rPh sb="0" eb="2">
      <t>キシュ</t>
    </rPh>
    <phoneticPr fontId="5"/>
  </si>
  <si>
    <t>機種386</t>
    <rPh sb="0" eb="2">
      <t>キシュ</t>
    </rPh>
    <phoneticPr fontId="5"/>
  </si>
  <si>
    <t>機種387</t>
    <rPh sb="0" eb="2">
      <t>キシュ</t>
    </rPh>
    <phoneticPr fontId="5"/>
  </si>
  <si>
    <t>機種388</t>
    <rPh sb="0" eb="2">
      <t>キシュ</t>
    </rPh>
    <phoneticPr fontId="5"/>
  </si>
  <si>
    <t>機種389</t>
    <rPh sb="0" eb="2">
      <t>キシュ</t>
    </rPh>
    <phoneticPr fontId="5"/>
  </si>
  <si>
    <t>機種390</t>
    <rPh sb="0" eb="2">
      <t>キシュ</t>
    </rPh>
    <phoneticPr fontId="5"/>
  </si>
  <si>
    <t>機種391</t>
    <rPh sb="0" eb="2">
      <t>キシュ</t>
    </rPh>
    <phoneticPr fontId="5"/>
  </si>
  <si>
    <t>機種392</t>
    <rPh sb="0" eb="2">
      <t>キシュ</t>
    </rPh>
    <phoneticPr fontId="5"/>
  </si>
  <si>
    <t>機種393</t>
    <rPh sb="0" eb="2">
      <t>キシュ</t>
    </rPh>
    <phoneticPr fontId="5"/>
  </si>
  <si>
    <t>機種394</t>
    <rPh sb="0" eb="2">
      <t>キシュ</t>
    </rPh>
    <phoneticPr fontId="5"/>
  </si>
  <si>
    <t>機種395</t>
    <rPh sb="0" eb="2">
      <t>キシュ</t>
    </rPh>
    <phoneticPr fontId="5"/>
  </si>
  <si>
    <t>機種396</t>
    <rPh sb="0" eb="2">
      <t>キシュ</t>
    </rPh>
    <phoneticPr fontId="5"/>
  </si>
  <si>
    <t>機種397</t>
    <rPh sb="0" eb="2">
      <t>キシュ</t>
    </rPh>
    <phoneticPr fontId="5"/>
  </si>
  <si>
    <t>機種398</t>
    <rPh sb="0" eb="2">
      <t>キシュ</t>
    </rPh>
    <phoneticPr fontId="5"/>
  </si>
  <si>
    <t>機種399</t>
    <rPh sb="0" eb="2">
      <t>キシュ</t>
    </rPh>
    <phoneticPr fontId="5"/>
  </si>
  <si>
    <t>機種400</t>
    <rPh sb="0" eb="2">
      <t>キシュ</t>
    </rPh>
    <phoneticPr fontId="5"/>
  </si>
  <si>
    <t>モーター更新（コンプレッサー等）</t>
    <phoneticPr fontId="5"/>
  </si>
  <si>
    <t>モーター更新によるCO2削減量、光熱費削減量</t>
    <phoneticPr fontId="5"/>
  </si>
  <si>
    <t>容積の増減</t>
    <rPh sb="0" eb="2">
      <t>ヨウセキ</t>
    </rPh>
    <rPh sb="3" eb="5">
      <t>ゾウゲン</t>
    </rPh>
    <phoneticPr fontId="5"/>
  </si>
  <si>
    <t>冷凍</t>
    <rPh sb="0" eb="2">
      <t>レイトウ</t>
    </rPh>
    <phoneticPr fontId="5"/>
  </si>
  <si>
    <t>冷蔵</t>
    <rPh sb="0" eb="2">
      <t>レイゾウ</t>
    </rPh>
    <phoneticPr fontId="5"/>
  </si>
  <si>
    <t>容積</t>
    <rPh sb="0" eb="2">
      <t>ヨウセキ</t>
    </rPh>
    <phoneticPr fontId="5"/>
  </si>
  <si>
    <t>冷凍庫・冷蔵庫</t>
    <rPh sb="0" eb="3">
      <t>レイトウコ</t>
    </rPh>
    <rPh sb="4" eb="7">
      <t>レイゾウコ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</si>
</sst>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0.0_ "/>
    <numFmt numFmtId="177" formatCode="#,##0.0000_ "/>
    <numFmt numFmtId="178" formatCode="#,##0.00_ "/>
    <numFmt numFmtId="179" formatCode="#,##0.000_ "/>
    <numFmt numFmtId="180" formatCode="#,##0.000000_ "/>
    <numFmt numFmtId="181" formatCode="0.000000"/>
    <numFmt numFmtId="182" formatCode="0.0%"/>
    <numFmt numFmtId="183" formatCode="0_);[Red]\(0\)"/>
    <numFmt numFmtId="184" formatCode="0.00_);[Red]\(0.00\)"/>
    <numFmt numFmtId="185" formatCode="0\ &quot;%&quot;"/>
    <numFmt numFmtId="186" formatCode="0.0_);[Red]\(0.0\)"/>
    <numFmt numFmtId="187" formatCode="0.0"/>
    <numFmt numFmtId="188" formatCode="#,##0.0_ ;[Red]\-#,##0.0\ "/>
    <numFmt numFmtId="189" formatCode="0.0_ ;[Red]\-0.0\ "/>
    <numFmt numFmtId="190" formatCode="#,##0.0_);[Red]\(#,##0.0\)"/>
    <numFmt numFmtId="191" formatCode="#,##0.00_ ;[Red]\-#,##0.00\ "/>
    <numFmt numFmtId="192" formatCode="#,##0_ ;[Red]\-#,##0\ "/>
    <numFmt numFmtId="193" formatCode="#,##0.00_);[Red]\(#,##0.00\)"/>
    <numFmt numFmtId="194" formatCode="0.00_ ;[Red]\-0.00\ "/>
    <numFmt numFmtId="195" formatCode="0_ "/>
    <numFmt numFmtId="196" formatCode="0_ ;[Red]\-0\ "/>
    <numFmt numFmtId="197" formatCode="0.0_ "/>
    <numFmt numFmtId="198" formatCode="0.00_ "/>
    <numFmt numFmtId="199" formatCode="#,##0.000_ ;[Red]\-#,##0.000\ "/>
    <numFmt numFmtId="200" formatCode="0.000"/>
    <numFmt numFmtId="201" formatCode="#,##0_);[Red]\(#,##0\)"/>
    <numFmt numFmtId="202" formatCode="#,##0.0;[Red]\-#,##0.0"/>
  </numFmts>
  <fonts count="5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name val="ＭＳ Ｐゴシック"/>
      <family val="3"/>
      <charset val="128"/>
    </font>
    <font>
      <b/>
      <sz val="16"/>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sz val="6"/>
      <name val="游ゴシック"/>
      <family val="2"/>
      <charset val="128"/>
      <scheme val="minor"/>
    </font>
    <font>
      <sz val="10"/>
      <color theme="1"/>
      <name val="游ゴシック"/>
      <family val="2"/>
      <charset val="128"/>
      <scheme val="minor"/>
    </font>
    <font>
      <u/>
      <sz val="11"/>
      <color theme="10"/>
      <name val="游ゴシック"/>
      <family val="2"/>
      <scheme val="minor"/>
    </font>
    <font>
      <sz val="12"/>
      <color theme="1"/>
      <name val="游ゴシック"/>
      <family val="2"/>
      <scheme val="minor"/>
    </font>
    <font>
      <sz val="16"/>
      <color theme="1"/>
      <name val="游ゴシック"/>
      <family val="2"/>
      <scheme val="minor"/>
    </font>
    <font>
      <sz val="10"/>
      <color theme="1"/>
      <name val="游ゴシック"/>
      <family val="2"/>
      <scheme val="minor"/>
    </font>
    <font>
      <sz val="9"/>
      <color theme="1"/>
      <name val="游ゴシック"/>
      <family val="2"/>
      <scheme val="minor"/>
    </font>
    <font>
      <sz val="10"/>
      <color theme="1"/>
      <name val="游ゴシック"/>
      <family val="3"/>
      <charset val="128"/>
      <scheme val="minor"/>
    </font>
    <font>
      <b/>
      <sz val="14"/>
      <color rgb="FFFFC000"/>
      <name val="游ゴシック"/>
      <family val="2"/>
      <scheme val="minor"/>
    </font>
    <font>
      <sz val="24"/>
      <color theme="7"/>
      <name val="游ゴシック"/>
      <family val="2"/>
      <scheme val="minor"/>
    </font>
    <font>
      <b/>
      <sz val="12"/>
      <color theme="1"/>
      <name val="游ゴシック"/>
      <family val="3"/>
      <charset val="128"/>
      <scheme val="minor"/>
    </font>
    <font>
      <b/>
      <sz val="16"/>
      <color theme="1"/>
      <name val="游ゴシック"/>
      <family val="3"/>
      <charset val="128"/>
      <scheme val="minor"/>
    </font>
    <font>
      <sz val="11"/>
      <color theme="7"/>
      <name val="游ゴシック"/>
      <family val="2"/>
      <scheme val="minor"/>
    </font>
    <font>
      <b/>
      <sz val="18"/>
      <color theme="1"/>
      <name val="游ゴシック"/>
      <family val="3"/>
      <charset val="128"/>
      <scheme val="minor"/>
    </font>
    <font>
      <sz val="10"/>
      <color theme="1"/>
      <name val="ＭＳ ゴシック"/>
      <family val="3"/>
      <charset val="128"/>
    </font>
    <font>
      <sz val="10.5"/>
      <color theme="1"/>
      <name val="Century"/>
      <family val="1"/>
    </font>
    <font>
      <b/>
      <sz val="10"/>
      <color theme="1"/>
      <name val="ＭＳ ゴシック"/>
      <family val="3"/>
      <charset val="128"/>
    </font>
    <font>
      <b/>
      <sz val="9"/>
      <color theme="1"/>
      <name val="ＭＳ ゴシック"/>
      <family val="3"/>
      <charset val="128"/>
    </font>
    <font>
      <sz val="8"/>
      <color theme="1"/>
      <name val="ＭＳ ゴシック"/>
      <family val="3"/>
      <charset val="128"/>
    </font>
    <font>
      <b/>
      <sz val="9"/>
      <color rgb="FFFFFFFF"/>
      <name val="ＭＳ ゴシック"/>
      <family val="3"/>
      <charset val="128"/>
    </font>
    <font>
      <b/>
      <sz val="10"/>
      <color rgb="FFFFFFFF"/>
      <name val="ＭＳ ゴシック"/>
      <family val="3"/>
      <charset val="128"/>
    </font>
    <font>
      <sz val="10"/>
      <color rgb="FFFFFFFF"/>
      <name val="ＭＳ ゴシック"/>
      <family val="3"/>
      <charset val="128"/>
    </font>
    <font>
      <b/>
      <sz val="10.5"/>
      <color theme="1"/>
      <name val="ＭＳ ゴシック"/>
      <family val="3"/>
      <charset val="128"/>
    </font>
    <font>
      <sz val="14"/>
      <color theme="1"/>
      <name val="ＭＳ ゴシック"/>
      <family val="3"/>
      <charset val="128"/>
    </font>
    <font>
      <sz val="9"/>
      <color theme="1"/>
      <name val="游ゴシック"/>
      <family val="2"/>
      <charset val="128"/>
      <scheme val="minor"/>
    </font>
    <font>
      <sz val="16"/>
      <color theme="1"/>
      <name val="游ゴシック"/>
      <family val="2"/>
      <charset val="128"/>
      <scheme val="minor"/>
    </font>
    <font>
      <u/>
      <sz val="11"/>
      <color theme="10"/>
      <name val="ＭＳ Ｐゴシック"/>
      <family val="3"/>
      <charset val="128"/>
    </font>
    <font>
      <sz val="11"/>
      <color theme="1"/>
      <name val="游ゴシック"/>
      <family val="3"/>
      <charset val="128"/>
      <scheme val="minor"/>
    </font>
    <font>
      <sz val="11"/>
      <color indexed="8"/>
      <name val="ＭＳ Ｐゴシック"/>
      <family val="3"/>
      <charset val="128"/>
    </font>
    <font>
      <vertAlign val="subscript"/>
      <sz val="11"/>
      <color theme="1"/>
      <name val="游ゴシック"/>
      <family val="3"/>
      <charset val="128"/>
      <scheme val="minor"/>
    </font>
    <font>
      <vertAlign val="subscript"/>
      <sz val="11"/>
      <color theme="1"/>
      <name val="游ゴシック"/>
      <family val="2"/>
      <scheme val="minor"/>
    </font>
    <font>
      <sz val="11"/>
      <color rgb="FFFF0000"/>
      <name val="游ゴシック"/>
      <family val="2"/>
      <scheme val="minor"/>
    </font>
    <font>
      <sz val="11"/>
      <color rgb="FFFF0000"/>
      <name val="游ゴシック"/>
      <family val="3"/>
      <charset val="128"/>
      <scheme val="minor"/>
    </font>
    <font>
      <sz val="11"/>
      <name val="游ゴシック"/>
      <family val="2"/>
      <scheme val="minor"/>
    </font>
    <font>
      <sz val="11"/>
      <name val="游ゴシック"/>
      <family val="3"/>
      <charset val="128"/>
      <scheme val="minor"/>
    </font>
    <font>
      <b/>
      <sz val="11"/>
      <color theme="1"/>
      <name val="游ゴシック"/>
      <family val="3"/>
      <charset val="128"/>
      <scheme val="minor"/>
    </font>
    <font>
      <u/>
      <sz val="11"/>
      <color theme="1"/>
      <name val="游ゴシック"/>
      <family val="2"/>
      <scheme val="minor"/>
    </font>
    <font>
      <sz val="11"/>
      <color theme="0"/>
      <name val="游ゴシック"/>
      <family val="2"/>
      <scheme val="minor"/>
    </font>
    <font>
      <sz val="11"/>
      <color theme="0"/>
      <name val="游ゴシック"/>
      <family val="3"/>
      <charset val="128"/>
      <scheme val="minor"/>
    </font>
  </fonts>
  <fills count="18">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E5E5E5"/>
        <bgColor indexed="64"/>
      </patternFill>
    </fill>
    <fill>
      <patternFill patternType="solid">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F2CC"/>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diagonalUp="1">
      <left/>
      <right/>
      <top style="thin">
        <color indexed="64"/>
      </top>
      <bottom style="thin">
        <color indexed="64"/>
      </bottom>
      <diagonal style="thin">
        <color indexed="64"/>
      </diagonal>
    </border>
  </borders>
  <cellStyleXfs count="15">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4" fillId="0" borderId="0"/>
    <xf numFmtId="9" fontId="3"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39" fillId="0" borderId="0">
      <alignment vertical="center"/>
    </xf>
    <xf numFmtId="38" fontId="40" fillId="0" borderId="0" applyFont="0" applyFill="0" applyBorder="0" applyAlignment="0" applyProtection="0">
      <alignment vertical="center"/>
    </xf>
  </cellStyleXfs>
  <cellXfs count="70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shrinkToFit="1"/>
    </xf>
    <xf numFmtId="0" fontId="3" fillId="0" borderId="0" xfId="4">
      <alignment vertical="center"/>
    </xf>
    <xf numFmtId="0" fontId="8" fillId="0" borderId="1" xfId="5" applyNumberFormat="1" applyFont="1" applyBorder="1" applyAlignment="1" applyProtection="1">
      <alignment horizontal="center" vertical="center" wrapText="1" shrinkToFit="1"/>
    </xf>
    <xf numFmtId="176" fontId="0" fillId="0" borderId="1" xfId="5" applyNumberFormat="1" applyFont="1" applyFill="1" applyBorder="1" applyAlignment="1" applyProtection="1">
      <alignment horizontal="right" vertical="center" shrinkToFit="1"/>
    </xf>
    <xf numFmtId="181" fontId="6" fillId="0" borderId="1" xfId="5" applyNumberFormat="1" applyFont="1" applyBorder="1" applyAlignment="1" applyProtection="1">
      <alignment horizontal="center" vertical="center" wrapText="1" shrinkToFit="1"/>
    </xf>
    <xf numFmtId="0" fontId="0" fillId="0" borderId="1" xfId="5" applyNumberFormat="1" applyFont="1" applyFill="1" applyBorder="1" applyAlignment="1" applyProtection="1">
      <alignment horizontal="center" vertical="center" shrinkToFit="1"/>
    </xf>
    <xf numFmtId="180" fontId="0" fillId="0" borderId="1" xfId="5" applyNumberFormat="1" applyFont="1" applyFill="1" applyBorder="1" applyAlignment="1" applyProtection="1">
      <alignment vertical="center" shrinkToFit="1"/>
    </xf>
    <xf numFmtId="0" fontId="0" fillId="0" borderId="1" xfId="0" applyBorder="1" applyAlignment="1">
      <alignment horizontal="centerContinuous"/>
    </xf>
    <xf numFmtId="0" fontId="0" fillId="0" borderId="1" xfId="0" applyBorder="1" applyAlignment="1">
      <alignment wrapText="1"/>
    </xf>
    <xf numFmtId="38" fontId="0" fillId="0" borderId="1" xfId="1" applyFont="1" applyBorder="1" applyAlignment="1"/>
    <xf numFmtId="0" fontId="3" fillId="0" borderId="1" xfId="4" applyBorder="1">
      <alignment vertical="center"/>
    </xf>
    <xf numFmtId="182" fontId="0" fillId="0" borderId="1" xfId="7" applyNumberFormat="1" applyFont="1" applyBorder="1">
      <alignment vertical="center"/>
    </xf>
    <xf numFmtId="9" fontId="0" fillId="3" borderId="1" xfId="7" applyFont="1" applyFill="1" applyBorder="1">
      <alignment vertical="center"/>
    </xf>
    <xf numFmtId="0" fontId="0" fillId="0" borderId="1" xfId="0" applyBorder="1" applyAlignment="1">
      <alignment horizontal="left" vertical="top" wrapText="1"/>
    </xf>
    <xf numFmtId="0" fontId="0" fillId="0" borderId="5" xfId="0" applyBorder="1"/>
    <xf numFmtId="0" fontId="0" fillId="0" borderId="6" xfId="0" applyBorder="1"/>
    <xf numFmtId="0" fontId="0" fillId="0" borderId="4" xfId="0" applyBorder="1"/>
    <xf numFmtId="38" fontId="0" fillId="0" borderId="1" xfId="1" applyFont="1" applyBorder="1" applyAlignment="1" applyProtection="1"/>
    <xf numFmtId="0" fontId="0" fillId="0" borderId="0" xfId="0" applyAlignment="1">
      <alignment vertical="center"/>
    </xf>
    <xf numFmtId="0" fontId="0" fillId="0" borderId="5" xfId="0" applyBorder="1" applyAlignment="1">
      <alignment vertical="center"/>
    </xf>
    <xf numFmtId="0" fontId="0" fillId="2" borderId="5" xfId="0" applyFill="1" applyBorder="1" applyAlignment="1">
      <alignment vertical="center"/>
    </xf>
    <xf numFmtId="0" fontId="0" fillId="0" borderId="1" xfId="0" applyBorder="1" applyAlignment="1">
      <alignment vertical="center"/>
    </xf>
    <xf numFmtId="182" fontId="13" fillId="0" borderId="1" xfId="2" applyNumberFormat="1" applyFont="1" applyFill="1" applyBorder="1" applyAlignment="1" applyProtection="1">
      <alignment horizontal="center" vertical="center" shrinkToFit="1"/>
    </xf>
    <xf numFmtId="182" fontId="0" fillId="0" borderId="1" xfId="0" applyNumberFormat="1" applyBorder="1" applyAlignment="1">
      <alignment horizontal="center" vertical="center"/>
    </xf>
    <xf numFmtId="0" fontId="0" fillId="2" borderId="1" xfId="0" applyFill="1" applyBorder="1" applyProtection="1">
      <protection locked="0"/>
    </xf>
    <xf numFmtId="0" fontId="0" fillId="2" borderId="1" xfId="0" applyFill="1" applyBorder="1" applyAlignment="1" applyProtection="1">
      <alignment shrinkToFit="1"/>
      <protection locked="0"/>
    </xf>
    <xf numFmtId="38" fontId="0" fillId="2" borderId="1" xfId="1" applyFont="1" applyFill="1" applyBorder="1" applyAlignment="1" applyProtection="1">
      <alignment shrinkToFit="1"/>
      <protection locked="0"/>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14" fillId="0" borderId="0" xfId="8" applyAlignment="1">
      <alignment vertical="top"/>
    </xf>
    <xf numFmtId="0" fontId="0" fillId="2" borderId="1" xfId="0" applyFill="1" applyBorder="1" applyAlignment="1" applyProtection="1">
      <alignment wrapText="1"/>
      <protection locked="0"/>
    </xf>
    <xf numFmtId="0" fontId="16" fillId="0" borderId="0" xfId="0" applyFont="1"/>
    <xf numFmtId="0" fontId="18" fillId="0" borderId="0" xfId="0" applyFont="1" applyAlignment="1">
      <alignment horizontal="right" vertical="center"/>
    </xf>
    <xf numFmtId="0" fontId="0" fillId="0" borderId="1" xfId="0" applyBorder="1" applyAlignment="1">
      <alignment horizontal="left" vertical="top"/>
    </xf>
    <xf numFmtId="9" fontId="0" fillId="0" borderId="1" xfId="2" applyFont="1" applyBorder="1" applyAlignment="1"/>
    <xf numFmtId="0" fontId="0" fillId="0" borderId="1" xfId="0" applyBorder="1" applyAlignment="1">
      <alignment horizontal="center" vertical="center"/>
    </xf>
    <xf numFmtId="0" fontId="0" fillId="0" borderId="0" xfId="0" applyAlignment="1">
      <alignment horizontal="center"/>
    </xf>
    <xf numFmtId="38" fontId="0" fillId="0" borderId="0" xfId="1" applyFont="1" applyBorder="1" applyAlignment="1">
      <alignment horizontal="right" vertical="center"/>
    </xf>
    <xf numFmtId="38" fontId="0" fillId="0" borderId="0" xfId="1" applyFont="1" applyBorder="1" applyAlignment="1">
      <alignment horizontal="right" vertical="center" wrapText="1"/>
    </xf>
    <xf numFmtId="9" fontId="0" fillId="0" borderId="0" xfId="2" applyFont="1" applyBorder="1" applyAlignment="1">
      <alignment horizontal="right" vertical="center"/>
    </xf>
    <xf numFmtId="0" fontId="0" fillId="5" borderId="1" xfId="0" applyFill="1" applyBorder="1" applyProtection="1">
      <protection locked="0"/>
    </xf>
    <xf numFmtId="0" fontId="0" fillId="0" borderId="0" xfId="0" applyAlignment="1">
      <alignment horizontal="left" indent="4"/>
    </xf>
    <xf numFmtId="0" fontId="17" fillId="0" borderId="1" xfId="0" applyFont="1" applyBorder="1" applyAlignment="1">
      <alignment vertical="top" wrapText="1"/>
    </xf>
    <xf numFmtId="0" fontId="19" fillId="0" borderId="1" xfId="0" applyFont="1" applyBorder="1" applyAlignment="1">
      <alignment horizontal="left" vertical="top" wrapText="1"/>
    </xf>
    <xf numFmtId="0" fontId="0" fillId="0" borderId="2" xfId="0" applyBorder="1"/>
    <xf numFmtId="0" fontId="0" fillId="0" borderId="7" xfId="0" applyBorder="1"/>
    <xf numFmtId="0" fontId="0" fillId="0" borderId="3" xfId="0" applyBorder="1"/>
    <xf numFmtId="184" fontId="0" fillId="0" borderId="1" xfId="1" applyNumberFormat="1" applyFont="1" applyBorder="1" applyAlignment="1"/>
    <xf numFmtId="184" fontId="0" fillId="0" borderId="2" xfId="1" applyNumberFormat="1" applyFont="1" applyBorder="1" applyAlignment="1"/>
    <xf numFmtId="184" fontId="0" fillId="0" borderId="1" xfId="0" applyNumberFormat="1" applyBorder="1"/>
    <xf numFmtId="0" fontId="0" fillId="0" borderId="1" xfId="0" applyBorder="1" applyAlignment="1">
      <alignment horizontal="center" vertical="center" wrapText="1"/>
    </xf>
    <xf numFmtId="0" fontId="17" fillId="0" borderId="1" xfId="0" applyFont="1" applyBorder="1" applyAlignment="1">
      <alignment horizontal="center" vertical="center" shrinkToFit="1"/>
    </xf>
    <xf numFmtId="184" fontId="0" fillId="0" borderId="1" xfId="0" applyNumberFormat="1" applyBorder="1" applyAlignment="1">
      <alignment shrinkToFit="1"/>
    </xf>
    <xf numFmtId="0" fontId="0" fillId="0" borderId="8" xfId="0" applyBorder="1"/>
    <xf numFmtId="0" fontId="0" fillId="0" borderId="9" xfId="0" applyBorder="1"/>
    <xf numFmtId="0" fontId="0" fillId="5" borderId="1" xfId="0" applyFill="1" applyBorder="1" applyAlignment="1" applyProtection="1">
      <alignment shrinkToFit="1"/>
      <protection locked="0"/>
    </xf>
    <xf numFmtId="9" fontId="0" fillId="0" borderId="7" xfId="2" applyFont="1" applyBorder="1" applyAlignment="1">
      <alignment vertical="center"/>
    </xf>
    <xf numFmtId="9" fontId="0" fillId="0" borderId="3" xfId="2" applyFont="1" applyBorder="1" applyAlignment="1">
      <alignment vertical="center"/>
    </xf>
    <xf numFmtId="0" fontId="22" fillId="0" borderId="0" xfId="0" applyFont="1"/>
    <xf numFmtId="0" fontId="23" fillId="0" borderId="0" xfId="0" applyFont="1"/>
    <xf numFmtId="0" fontId="21" fillId="0" borderId="1" xfId="0" applyFont="1" applyBorder="1" applyAlignment="1">
      <alignment vertical="center"/>
    </xf>
    <xf numFmtId="0" fontId="0" fillId="0" borderId="0" xfId="0" applyAlignment="1">
      <alignment horizontal="left"/>
    </xf>
    <xf numFmtId="0" fontId="0" fillId="2" borderId="5" xfId="0" applyFill="1" applyBorder="1" applyAlignment="1" applyProtection="1">
      <alignment shrinkToFit="1"/>
      <protection locked="0"/>
    </xf>
    <xf numFmtId="184" fontId="0" fillId="0" borderId="12" xfId="0" applyNumberFormat="1" applyBorder="1" applyAlignment="1">
      <alignment shrinkToFit="1"/>
    </xf>
    <xf numFmtId="184" fontId="0" fillId="0" borderId="17" xfId="0" applyNumberFormat="1" applyBorder="1"/>
    <xf numFmtId="184" fontId="0" fillId="0" borderId="0" xfId="0" applyNumberFormat="1"/>
    <xf numFmtId="184" fontId="0" fillId="0" borderId="18" xfId="0" applyNumberFormat="1" applyBorder="1"/>
    <xf numFmtId="0" fontId="0" fillId="2" borderId="2" xfId="0" applyFill="1" applyBorder="1" applyAlignment="1" applyProtection="1">
      <alignment shrinkToFit="1"/>
      <protection locked="0"/>
    </xf>
    <xf numFmtId="184" fontId="0" fillId="0" borderId="19" xfId="0" applyNumberFormat="1" applyBorder="1" applyAlignment="1">
      <alignment shrinkToFit="1"/>
    </xf>
    <xf numFmtId="184" fontId="0" fillId="0" borderId="2" xfId="0" applyNumberFormat="1" applyBorder="1" applyAlignment="1">
      <alignment shrinkToFit="1"/>
    </xf>
    <xf numFmtId="184" fontId="0" fillId="0" borderId="20" xfId="0" applyNumberFormat="1" applyBorder="1"/>
    <xf numFmtId="0" fontId="0" fillId="2" borderId="10" xfId="0" applyFill="1" applyBorder="1" applyAlignment="1" applyProtection="1">
      <alignment shrinkToFit="1"/>
      <protection locked="0"/>
    </xf>
    <xf numFmtId="184" fontId="0" fillId="0" borderId="13" xfId="0" applyNumberFormat="1" applyBorder="1"/>
    <xf numFmtId="184" fontId="0" fillId="0" borderId="15" xfId="0" applyNumberFormat="1" applyBorder="1"/>
    <xf numFmtId="0" fontId="24" fillId="5" borderId="1" xfId="0" applyFont="1" applyFill="1" applyBorder="1"/>
    <xf numFmtId="0" fontId="0" fillId="0" borderId="2" xfId="0" quotePrefix="1" applyBorder="1"/>
    <xf numFmtId="0" fontId="0" fillId="0" borderId="1" xfId="0" quotePrefix="1" applyBorder="1" applyAlignment="1">
      <alignment shrinkToFit="1"/>
    </xf>
    <xf numFmtId="0" fontId="0" fillId="0" borderId="10" xfId="0" quotePrefix="1" applyBorder="1"/>
    <xf numFmtId="184" fontId="0" fillId="0" borderId="2" xfId="1" quotePrefix="1" applyNumberFormat="1" applyFont="1" applyBorder="1" applyAlignment="1"/>
    <xf numFmtId="0" fontId="0" fillId="0" borderId="1" xfId="0" quotePrefix="1" applyBorder="1"/>
    <xf numFmtId="0" fontId="18" fillId="0" borderId="1" xfId="0" quotePrefix="1" applyFont="1" applyBorder="1" applyAlignment="1">
      <alignment vertical="top" wrapText="1" shrinkToFit="1"/>
    </xf>
    <xf numFmtId="184" fontId="0" fillId="0" borderId="1" xfId="0" quotePrefix="1" applyNumberFormat="1" applyBorder="1"/>
    <xf numFmtId="38" fontId="0" fillId="0" borderId="0" xfId="1" applyFont="1" applyAlignment="1"/>
    <xf numFmtId="38" fontId="0" fillId="0" borderId="1" xfId="1" applyFont="1" applyFill="1" applyBorder="1" applyAlignment="1">
      <alignment shrinkToFit="1"/>
    </xf>
    <xf numFmtId="38" fontId="0" fillId="0" borderId="1" xfId="1" applyFont="1" applyFill="1" applyBorder="1" applyAlignment="1" applyProtection="1">
      <alignment shrinkToFit="1"/>
    </xf>
    <xf numFmtId="0" fontId="21" fillId="0" borderId="1" xfId="0" applyFont="1" applyBorder="1" applyAlignment="1">
      <alignment horizontal="center" vertical="center"/>
    </xf>
    <xf numFmtId="0" fontId="15" fillId="0" borderId="1" xfId="0" applyFont="1" applyBorder="1" applyAlignment="1">
      <alignment horizontal="center" vertical="center"/>
    </xf>
    <xf numFmtId="185" fontId="0" fillId="0" borderId="1" xfId="0" quotePrefix="1" applyNumberFormat="1" applyBorder="1" applyAlignment="1">
      <alignment shrinkToFit="1"/>
    </xf>
    <xf numFmtId="9" fontId="0" fillId="0" borderId="15" xfId="2" applyFont="1" applyBorder="1" applyAlignment="1">
      <alignment horizontal="right" vertical="center"/>
    </xf>
    <xf numFmtId="9" fontId="0" fillId="0" borderId="18" xfId="2" applyFont="1" applyBorder="1" applyAlignment="1">
      <alignment horizontal="right" vertical="center"/>
    </xf>
    <xf numFmtId="0" fontId="25" fillId="0" borderId="0" xfId="0" applyFont="1"/>
    <xf numFmtId="0" fontId="0" fillId="5" borderId="1" xfId="0" applyFill="1" applyBorder="1" applyAlignment="1" applyProtection="1">
      <alignment vertical="center"/>
      <protection locked="0"/>
    </xf>
    <xf numFmtId="0" fontId="2" fillId="0" borderId="0" xfId="9">
      <alignment vertical="center"/>
    </xf>
    <xf numFmtId="0" fontId="2" fillId="0" borderId="0" xfId="9" applyAlignment="1">
      <alignment horizontal="center" vertical="center"/>
    </xf>
    <xf numFmtId="0" fontId="2" fillId="0" borderId="21" xfId="9" applyBorder="1">
      <alignment vertical="center"/>
    </xf>
    <xf numFmtId="0" fontId="2" fillId="0" borderId="22" xfId="9" applyBorder="1" applyAlignment="1">
      <alignment horizontal="center" vertical="center"/>
    </xf>
    <xf numFmtId="0" fontId="2" fillId="0" borderId="23" xfId="9" applyBorder="1">
      <alignment vertical="center"/>
    </xf>
    <xf numFmtId="0" fontId="2" fillId="0" borderId="24" xfId="9" applyBorder="1" applyAlignment="1">
      <alignment horizontal="center" vertical="center"/>
    </xf>
    <xf numFmtId="0" fontId="2" fillId="0" borderId="24" xfId="9" applyBorder="1">
      <alignment vertical="center"/>
    </xf>
    <xf numFmtId="0" fontId="26" fillId="0" borderId="1" xfId="9" applyFont="1" applyBorder="1" applyAlignment="1">
      <alignment horizontal="center" vertical="center" textRotation="255" wrapText="1"/>
    </xf>
    <xf numFmtId="0" fontId="31" fillId="8" borderId="1" xfId="9" applyFont="1" applyFill="1" applyBorder="1" applyAlignment="1">
      <alignment horizontal="center" vertical="center" wrapText="1"/>
    </xf>
    <xf numFmtId="0" fontId="32" fillId="8" borderId="1" xfId="9" applyFont="1" applyFill="1" applyBorder="1" applyAlignment="1">
      <alignment horizontal="center" vertical="center" wrapText="1"/>
    </xf>
    <xf numFmtId="0" fontId="34" fillId="0" borderId="0" xfId="9" applyFont="1" applyAlignment="1">
      <alignment horizontal="center" vertical="center"/>
    </xf>
    <xf numFmtId="0" fontId="34" fillId="0" borderId="0" xfId="9" applyFont="1" applyAlignment="1">
      <alignment horizontal="left" vertical="center"/>
    </xf>
    <xf numFmtId="0" fontId="35" fillId="0" borderId="0" xfId="9" applyFont="1" applyAlignment="1">
      <alignment horizontal="left" vertical="center"/>
    </xf>
    <xf numFmtId="0" fontId="36" fillId="0" borderId="0" xfId="9" applyFont="1" applyAlignment="1">
      <alignment horizontal="right" vertical="center"/>
    </xf>
    <xf numFmtId="0" fontId="17" fillId="0" borderId="5" xfId="0" applyFont="1" applyBorder="1" applyAlignment="1">
      <alignment vertical="top" wrapText="1"/>
    </xf>
    <xf numFmtId="0" fontId="37" fillId="0" borderId="0" xfId="9" applyFont="1">
      <alignment vertical="center"/>
    </xf>
    <xf numFmtId="0" fontId="0" fillId="0" borderId="4" xfId="0" applyBorder="1" applyAlignment="1">
      <alignment wrapText="1"/>
    </xf>
    <xf numFmtId="0" fontId="2" fillId="0" borderId="0" xfId="9" applyAlignment="1">
      <alignment vertical="center" wrapText="1"/>
    </xf>
    <xf numFmtId="0" fontId="32" fillId="8" borderId="1" xfId="9" applyFont="1" applyFill="1" applyBorder="1" applyAlignment="1">
      <alignment horizontal="justify" vertical="center" wrapText="1"/>
    </xf>
    <xf numFmtId="0" fontId="32" fillId="6" borderId="1" xfId="9" applyFont="1" applyFill="1" applyBorder="1" applyAlignment="1">
      <alignment horizontal="center" vertical="center" wrapText="1"/>
    </xf>
    <xf numFmtId="0" fontId="26" fillId="6" borderId="1" xfId="9" applyFont="1" applyFill="1" applyBorder="1" applyAlignment="1">
      <alignment horizontal="center" vertical="center" wrapText="1"/>
    </xf>
    <xf numFmtId="0" fontId="26" fillId="0" borderId="1" xfId="9" applyFont="1" applyBorder="1" applyAlignment="1">
      <alignment horizontal="justify" vertical="center" wrapText="1"/>
    </xf>
    <xf numFmtId="0" fontId="31" fillId="6" borderId="1" xfId="9" applyFont="1" applyFill="1" applyBorder="1" applyAlignment="1">
      <alignment horizontal="center" vertical="center" wrapText="1"/>
    </xf>
    <xf numFmtId="0" fontId="26" fillId="0" borderId="1" xfId="9" applyFont="1" applyBorder="1" applyAlignment="1">
      <alignment horizontal="center" vertical="center" wrapText="1"/>
    </xf>
    <xf numFmtId="0" fontId="27" fillId="0" borderId="1" xfId="9" applyFont="1" applyBorder="1" applyAlignment="1">
      <alignment vertical="center" wrapText="1"/>
    </xf>
    <xf numFmtId="0" fontId="26" fillId="0" borderId="5" xfId="9" applyFont="1" applyBorder="1" applyAlignment="1">
      <alignment horizontal="center" vertical="center" wrapText="1"/>
    </xf>
    <xf numFmtId="0" fontId="26" fillId="6" borderId="5" xfId="9" applyFont="1" applyFill="1" applyBorder="1" applyAlignment="1">
      <alignment horizontal="center" vertical="center" wrapText="1"/>
    </xf>
    <xf numFmtId="0" fontId="26" fillId="0" borderId="5" xfId="9" applyFont="1" applyBorder="1" applyAlignment="1">
      <alignment horizontal="justify" vertical="center" wrapText="1"/>
    </xf>
    <xf numFmtId="0" fontId="28" fillId="7" borderId="29" xfId="9" applyFont="1" applyFill="1" applyBorder="1" applyAlignment="1">
      <alignment horizontal="center" vertical="center" wrapText="1"/>
    </xf>
    <xf numFmtId="0" fontId="28" fillId="4" borderId="28" xfId="9" applyFont="1" applyFill="1" applyBorder="1" applyAlignment="1">
      <alignment horizontal="center" vertical="center" wrapText="1"/>
    </xf>
    <xf numFmtId="0" fontId="28" fillId="7" borderId="28" xfId="9" applyFont="1" applyFill="1" applyBorder="1" applyAlignment="1">
      <alignment horizontal="justify" vertical="center" wrapText="1"/>
    </xf>
    <xf numFmtId="0" fontId="27" fillId="7" borderId="28" xfId="9" applyFont="1" applyFill="1" applyBorder="1" applyAlignment="1">
      <alignment vertical="center" wrapText="1"/>
    </xf>
    <xf numFmtId="0" fontId="26" fillId="0" borderId="4" xfId="9" applyFont="1" applyBorder="1" applyAlignment="1">
      <alignment horizontal="center" vertical="center" wrapText="1"/>
    </xf>
    <xf numFmtId="0" fontId="26" fillId="6" borderId="4" xfId="9" applyFont="1" applyFill="1" applyBorder="1" applyAlignment="1">
      <alignment horizontal="center" vertical="center" wrapText="1"/>
    </xf>
    <xf numFmtId="0" fontId="26" fillId="0" borderId="4" xfId="9" applyFont="1" applyBorder="1" applyAlignment="1">
      <alignment horizontal="justify" vertical="center" wrapText="1"/>
    </xf>
    <xf numFmtId="0" fontId="28" fillId="0" borderId="31" xfId="9" applyFont="1" applyBorder="1" applyAlignment="1">
      <alignment horizontal="center" vertical="center" wrapText="1"/>
    </xf>
    <xf numFmtId="0" fontId="28" fillId="6" borderId="32" xfId="9" applyFont="1" applyFill="1" applyBorder="1" applyAlignment="1">
      <alignment horizontal="center" vertical="center" wrapText="1"/>
    </xf>
    <xf numFmtId="0" fontId="28" fillId="0" borderId="32" xfId="9" applyFont="1" applyBorder="1" applyAlignment="1">
      <alignment horizontal="justify" vertical="center" wrapText="1"/>
    </xf>
    <xf numFmtId="0" fontId="26" fillId="0" borderId="32" xfId="9" applyFont="1" applyBorder="1" applyAlignment="1">
      <alignment horizontal="center" vertical="center" wrapText="1"/>
    </xf>
    <xf numFmtId="0" fontId="27" fillId="0" borderId="4" xfId="9" applyFont="1" applyBorder="1" applyAlignment="1">
      <alignment vertical="center" wrapText="1"/>
    </xf>
    <xf numFmtId="0" fontId="30" fillId="0" borderId="1" xfId="9" applyFont="1" applyBorder="1" applyAlignment="1">
      <alignment horizontal="center" vertical="center" textRotation="255" wrapText="1"/>
    </xf>
    <xf numFmtId="0" fontId="30" fillId="0" borderId="1" xfId="9" applyFont="1" applyBorder="1" applyAlignment="1">
      <alignment horizontal="center" vertical="center" wrapText="1"/>
    </xf>
    <xf numFmtId="0" fontId="30" fillId="0" borderId="5" xfId="9" applyFont="1" applyBorder="1" applyAlignment="1">
      <alignment horizontal="center" vertical="center" wrapText="1"/>
    </xf>
    <xf numFmtId="0" fontId="27" fillId="0" borderId="5" xfId="9" applyFont="1" applyBorder="1" applyAlignment="1">
      <alignment vertical="center" wrapText="1"/>
    </xf>
    <xf numFmtId="0" fontId="26" fillId="0" borderId="6" xfId="9" applyFont="1" applyBorder="1" applyAlignment="1">
      <alignment horizontal="center" vertical="center" wrapText="1"/>
    </xf>
    <xf numFmtId="0" fontId="26" fillId="6" borderId="6" xfId="9" applyFont="1" applyFill="1" applyBorder="1" applyAlignment="1">
      <alignment horizontal="center" vertical="center" wrapText="1"/>
    </xf>
    <xf numFmtId="0" fontId="26" fillId="0" borderId="6" xfId="9" applyFont="1" applyBorder="1" applyAlignment="1">
      <alignment horizontal="justify" vertical="center" wrapText="1"/>
    </xf>
    <xf numFmtId="0" fontId="27" fillId="0" borderId="6" xfId="9" applyFont="1" applyBorder="1" applyAlignment="1">
      <alignment vertical="center" wrapText="1"/>
    </xf>
    <xf numFmtId="0" fontId="29" fillId="0" borderId="31" xfId="9" applyFont="1" applyBorder="1" applyAlignment="1">
      <alignment horizontal="center" vertical="center" wrapText="1"/>
    </xf>
    <xf numFmtId="0" fontId="26" fillId="6" borderId="32" xfId="9" applyFont="1" applyFill="1" applyBorder="1" applyAlignment="1">
      <alignment horizontal="center" vertical="center" wrapText="1"/>
    </xf>
    <xf numFmtId="0" fontId="26" fillId="0" borderId="32" xfId="9" applyFont="1" applyBorder="1" applyAlignment="1">
      <alignment horizontal="justify" vertical="center" wrapText="1"/>
    </xf>
    <xf numFmtId="0" fontId="28" fillId="7" borderId="26" xfId="9" applyFont="1" applyFill="1" applyBorder="1" applyAlignment="1">
      <alignment horizontal="center" vertical="center" wrapText="1"/>
    </xf>
    <xf numFmtId="0" fontId="28" fillId="4" borderId="25" xfId="9" applyFont="1" applyFill="1" applyBorder="1" applyAlignment="1">
      <alignment horizontal="center" vertical="center" wrapText="1"/>
    </xf>
    <xf numFmtId="0" fontId="28" fillId="7" borderId="25" xfId="9" applyFont="1" applyFill="1" applyBorder="1" applyAlignment="1">
      <alignment horizontal="justify" vertical="center" wrapText="1"/>
    </xf>
    <xf numFmtId="0" fontId="27" fillId="7" borderId="25" xfId="9" applyFont="1" applyFill="1" applyBorder="1" applyAlignment="1">
      <alignment vertical="center" wrapText="1"/>
    </xf>
    <xf numFmtId="0" fontId="28" fillId="0" borderId="1" xfId="9" applyFont="1" applyBorder="1" applyAlignment="1">
      <alignment horizontal="center" vertical="center" wrapText="1"/>
    </xf>
    <xf numFmtId="0" fontId="26" fillId="0" borderId="1" xfId="9" applyFont="1" applyBorder="1" applyAlignment="1">
      <alignment horizontal="justify" vertical="center"/>
    </xf>
    <xf numFmtId="0" fontId="0" fillId="0" borderId="5" xfId="0" applyBorder="1" applyAlignment="1">
      <alignment wrapText="1"/>
    </xf>
    <xf numFmtId="0" fontId="0" fillId="0" borderId="6" xfId="0" applyBorder="1" applyAlignment="1">
      <alignment wrapText="1"/>
    </xf>
    <xf numFmtId="0" fontId="28" fillId="4" borderId="29" xfId="9" applyFont="1" applyFill="1" applyBorder="1" applyAlignment="1">
      <alignment horizontal="center" vertical="center" wrapText="1"/>
    </xf>
    <xf numFmtId="0" fontId="0" fillId="4" borderId="28" xfId="0" applyFill="1" applyBorder="1"/>
    <xf numFmtId="0" fontId="0" fillId="4" borderId="28" xfId="0" applyFill="1" applyBorder="1" applyAlignment="1">
      <alignment wrapText="1"/>
    </xf>
    <xf numFmtId="0" fontId="0" fillId="9" borderId="32" xfId="0" applyFill="1" applyBorder="1"/>
    <xf numFmtId="0" fontId="0" fillId="9" borderId="32" xfId="0" applyFill="1" applyBorder="1" applyAlignment="1">
      <alignment wrapText="1"/>
    </xf>
    <xf numFmtId="0" fontId="28" fillId="9" borderId="31" xfId="9" applyFont="1" applyFill="1" applyBorder="1" applyAlignment="1">
      <alignment horizontal="center" vertical="center" wrapText="1"/>
    </xf>
    <xf numFmtId="9" fontId="0" fillId="0" borderId="33" xfId="2" applyFont="1" applyBorder="1" applyAlignment="1"/>
    <xf numFmtId="0" fontId="21" fillId="0" borderId="5" xfId="0" applyFont="1" applyBorder="1" applyAlignment="1">
      <alignment horizontal="left" vertical="center"/>
    </xf>
    <xf numFmtId="0" fontId="0" fillId="0" borderId="7" xfId="0" applyBorder="1" applyAlignment="1">
      <alignment horizontal="left" vertical="top" wrapText="1"/>
    </xf>
    <xf numFmtId="0" fontId="0" fillId="0" borderId="7" xfId="0" applyBorder="1" applyAlignment="1">
      <alignment horizontal="left" vertical="top"/>
    </xf>
    <xf numFmtId="0" fontId="0" fillId="0" borderId="10" xfId="0" applyBorder="1" applyAlignment="1">
      <alignment vertical="center"/>
    </xf>
    <xf numFmtId="0" fontId="19" fillId="0" borderId="1" xfId="0" applyFont="1" applyBorder="1" applyAlignment="1">
      <alignment horizontal="center" vertical="center" wrapText="1"/>
    </xf>
    <xf numFmtId="9" fontId="2" fillId="0" borderId="0" xfId="9" applyNumberFormat="1">
      <alignment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4" borderId="28" xfId="0" applyFont="1" applyFill="1" applyBorder="1" applyAlignment="1">
      <alignment horizontal="center" vertical="center" wrapText="1"/>
    </xf>
    <xf numFmtId="0" fontId="19" fillId="9" borderId="32" xfId="0" applyFont="1" applyFill="1" applyBorder="1" applyAlignment="1">
      <alignment horizontal="center" vertical="center" wrapText="1"/>
    </xf>
    <xf numFmtId="9" fontId="0" fillId="2" borderId="1" xfId="2" applyFont="1" applyFill="1" applyBorder="1" applyAlignment="1" applyProtection="1">
      <protection locked="0"/>
    </xf>
    <xf numFmtId="0" fontId="13" fillId="0" borderId="1" xfId="0" applyFont="1" applyBorder="1" applyAlignment="1">
      <alignment horizontal="center" vertical="center" shrinkToFit="1"/>
    </xf>
    <xf numFmtId="182" fontId="0" fillId="0" borderId="0" xfId="2" applyNumberFormat="1" applyFont="1" applyAlignment="1"/>
    <xf numFmtId="9" fontId="0" fillId="0" borderId="1" xfId="2" applyFont="1" applyBorder="1" applyAlignment="1">
      <alignment vertical="center"/>
    </xf>
    <xf numFmtId="0" fontId="1" fillId="0" borderId="0" xfId="9" applyFont="1">
      <alignment vertical="center"/>
    </xf>
    <xf numFmtId="0" fontId="26" fillId="0" borderId="1" xfId="9" applyFont="1" applyBorder="1" applyAlignment="1" applyProtection="1">
      <alignment horizontal="center" vertical="center" wrapText="1"/>
      <protection locked="0"/>
    </xf>
    <xf numFmtId="1" fontId="0" fillId="0" borderId="1" xfId="0" applyNumberFormat="1" applyBorder="1" applyAlignment="1">
      <alignment horizontal="right"/>
    </xf>
    <xf numFmtId="38" fontId="0" fillId="0" borderId="1" xfId="1" applyFont="1" applyBorder="1" applyAlignment="1" applyProtection="1">
      <alignment horizontal="right" shrinkToFit="1"/>
    </xf>
    <xf numFmtId="38" fontId="0" fillId="0" borderId="1" xfId="1" applyFont="1" applyBorder="1" applyAlignment="1" applyProtection="1">
      <alignment shrinkToFit="1"/>
    </xf>
    <xf numFmtId="0" fontId="0" fillId="5" borderId="1" xfId="0" applyFill="1" applyBorder="1" applyAlignment="1" applyProtection="1">
      <alignment vertical="center" shrinkToFit="1"/>
      <protection locked="0"/>
    </xf>
    <xf numFmtId="9" fontId="0" fillId="2" borderId="1" xfId="0" applyNumberFormat="1" applyFill="1" applyBorder="1" applyAlignment="1" applyProtection="1">
      <alignment shrinkToFit="1"/>
      <protection locked="0"/>
    </xf>
    <xf numFmtId="0" fontId="0" fillId="0" borderId="0" xfId="0" applyProtection="1">
      <protection locked="0"/>
    </xf>
    <xf numFmtId="0" fontId="0" fillId="0" borderId="0" xfId="0" applyAlignment="1" applyProtection="1">
      <alignment shrinkToFit="1"/>
      <protection locked="0"/>
    </xf>
    <xf numFmtId="0" fontId="24" fillId="0" borderId="0" xfId="0" applyFont="1"/>
    <xf numFmtId="0" fontId="0" fillId="10" borderId="1" xfId="0" applyFill="1" applyBorder="1" applyAlignment="1">
      <alignment horizontal="center" vertical="center"/>
    </xf>
    <xf numFmtId="9" fontId="0" fillId="10" borderId="1" xfId="2" applyFont="1" applyFill="1" applyBorder="1" applyAlignment="1">
      <alignment horizontal="center" vertical="center"/>
    </xf>
    <xf numFmtId="0" fontId="0" fillId="10" borderId="1" xfId="0" applyFill="1" applyBorder="1" applyAlignment="1">
      <alignment horizontal="center" vertical="center" wrapText="1"/>
    </xf>
    <xf numFmtId="0" fontId="0" fillId="10" borderId="1" xfId="0" applyFill="1" applyBorder="1" applyAlignment="1">
      <alignment horizontal="center"/>
    </xf>
    <xf numFmtId="0" fontId="43" fillId="0" borderId="0" xfId="0" applyFont="1"/>
    <xf numFmtId="0" fontId="44" fillId="0" borderId="0" xfId="0" applyFont="1"/>
    <xf numFmtId="0" fontId="0" fillId="10" borderId="1" xfId="0" applyFill="1" applyBorder="1" applyAlignment="1">
      <alignment horizontal="centerContinuous"/>
    </xf>
    <xf numFmtId="0" fontId="0" fillId="10" borderId="1" xfId="0" applyFill="1" applyBorder="1"/>
    <xf numFmtId="176" fontId="0" fillId="10" borderId="1" xfId="0" applyNumberFormat="1" applyFill="1" applyBorder="1" applyAlignment="1">
      <alignment horizontal="center"/>
    </xf>
    <xf numFmtId="0" fontId="0" fillId="10" borderId="1" xfId="0" applyFill="1" applyBorder="1" applyAlignment="1">
      <alignment horizontal="center" wrapText="1"/>
    </xf>
    <xf numFmtId="0" fontId="46" fillId="12" borderId="1" xfId="0" applyFont="1" applyFill="1" applyBorder="1"/>
    <xf numFmtId="176" fontId="46" fillId="12" borderId="1" xfId="0" applyNumberFormat="1" applyFont="1" applyFill="1" applyBorder="1" applyAlignment="1">
      <alignment horizontal="right"/>
    </xf>
    <xf numFmtId="0" fontId="46" fillId="12" borderId="1" xfId="0" applyFont="1" applyFill="1" applyBorder="1" applyAlignment="1">
      <alignment horizontal="right"/>
    </xf>
    <xf numFmtId="0" fontId="46" fillId="12" borderId="1" xfId="0" applyFont="1" applyFill="1" applyBorder="1" applyAlignment="1">
      <alignment horizontal="center"/>
    </xf>
    <xf numFmtId="38" fontId="46" fillId="0" borderId="1" xfId="1" applyFont="1" applyFill="1" applyBorder="1" applyAlignment="1">
      <alignment horizontal="right"/>
    </xf>
    <xf numFmtId="0" fontId="46" fillId="12" borderId="1" xfId="0" applyFont="1" applyFill="1" applyBorder="1" applyAlignment="1">
      <alignment horizontal="center" wrapText="1"/>
    </xf>
    <xf numFmtId="0" fontId="0" fillId="0" borderId="37" xfId="0" applyBorder="1" applyAlignment="1">
      <alignment horizontal="center"/>
    </xf>
    <xf numFmtId="0" fontId="0" fillId="0" borderId="37" xfId="0" applyBorder="1"/>
    <xf numFmtId="0" fontId="0" fillId="0" borderId="37" xfId="0" applyBorder="1" applyAlignment="1">
      <alignment horizontal="right"/>
    </xf>
    <xf numFmtId="38" fontId="0" fillId="0" borderId="37" xfId="1" applyFont="1" applyBorder="1" applyAlignment="1">
      <alignment horizontal="right"/>
    </xf>
    <xf numFmtId="38" fontId="0" fillId="0" borderId="1" xfId="1" applyFont="1" applyBorder="1" applyAlignment="1">
      <alignment horizontal="right"/>
    </xf>
    <xf numFmtId="187" fontId="0" fillId="0" borderId="1" xfId="0" applyNumberFormat="1" applyBorder="1" applyAlignment="1">
      <alignment horizontal="right"/>
    </xf>
    <xf numFmtId="0" fontId="0" fillId="0" borderId="37" xfId="0" applyBorder="1" applyAlignment="1">
      <alignment horizontal="center" wrapText="1"/>
    </xf>
    <xf numFmtId="38" fontId="45" fillId="0" borderId="37" xfId="1" applyFont="1" applyFill="1" applyBorder="1" applyAlignment="1">
      <alignment horizontal="center"/>
    </xf>
    <xf numFmtId="189" fontId="0" fillId="0" borderId="1" xfId="0" applyNumberFormat="1" applyBorder="1" applyAlignment="1">
      <alignment horizontal="right"/>
    </xf>
    <xf numFmtId="0" fontId="0" fillId="2" borderId="1" xfId="0" applyFill="1" applyBorder="1" applyAlignment="1" applyProtection="1">
      <alignment horizontal="right"/>
      <protection locked="0"/>
    </xf>
    <xf numFmtId="0" fontId="0" fillId="5" borderId="1" xfId="0" applyFill="1" applyBorder="1" applyAlignment="1" applyProtection="1">
      <alignment horizontal="center"/>
      <protection locked="0"/>
    </xf>
    <xf numFmtId="0" fontId="8" fillId="0" borderId="1" xfId="5" applyNumberFormat="1" applyFont="1" applyFill="1" applyBorder="1" applyAlignment="1" applyProtection="1">
      <alignment horizontal="center" vertical="center" wrapText="1" shrinkToFit="1"/>
    </xf>
    <xf numFmtId="181" fontId="6" fillId="0" borderId="1" xfId="5" applyNumberFormat="1" applyFont="1" applyFill="1" applyBorder="1" applyAlignment="1" applyProtection="1">
      <alignment horizontal="center" vertical="center" wrapText="1" shrinkToFit="1"/>
    </xf>
    <xf numFmtId="0" fontId="11" fillId="0" borderId="1" xfId="5" applyNumberFormat="1" applyFont="1" applyFill="1" applyBorder="1" applyAlignment="1" applyProtection="1">
      <alignment horizontal="center" vertical="center" wrapText="1" shrinkToFit="1"/>
    </xf>
    <xf numFmtId="0" fontId="0" fillId="10" borderId="1" xfId="0" applyFill="1" applyBorder="1" applyAlignment="1">
      <alignment shrinkToFit="1"/>
    </xf>
    <xf numFmtId="0" fontId="0" fillId="10" borderId="10" xfId="0" applyFill="1" applyBorder="1" applyAlignment="1">
      <alignment vertical="center"/>
    </xf>
    <xf numFmtId="0" fontId="0" fillId="10" borderId="8" xfId="0" applyFill="1" applyBorder="1" applyAlignment="1">
      <alignment vertical="center"/>
    </xf>
    <xf numFmtId="0" fontId="0" fillId="10" borderId="7" xfId="0" applyFill="1" applyBorder="1" applyAlignment="1">
      <alignment vertical="center"/>
    </xf>
    <xf numFmtId="0" fontId="0" fillId="10" borderId="3" xfId="0" applyFill="1" applyBorder="1"/>
    <xf numFmtId="0" fontId="0" fillId="10" borderId="7" xfId="0" applyFill="1" applyBorder="1"/>
    <xf numFmtId="0" fontId="0" fillId="10" borderId="27" xfId="0" applyFill="1" applyBorder="1"/>
    <xf numFmtId="0" fontId="0" fillId="10" borderId="34" xfId="0" applyFill="1" applyBorder="1"/>
    <xf numFmtId="0" fontId="0" fillId="10" borderId="2" xfId="0" applyFill="1" applyBorder="1"/>
    <xf numFmtId="0" fontId="0" fillId="10" borderId="1" xfId="0" applyFill="1" applyBorder="1" applyAlignment="1">
      <alignment horizontal="left" vertical="top" wrapText="1"/>
    </xf>
    <xf numFmtId="38" fontId="46" fillId="12" borderId="1" xfId="1" applyFont="1" applyFill="1" applyBorder="1" applyAlignment="1" applyProtection="1">
      <alignment horizontal="right"/>
    </xf>
    <xf numFmtId="190" fontId="46" fillId="12" borderId="1" xfId="1" applyNumberFormat="1" applyFont="1" applyFill="1" applyBorder="1" applyAlignment="1" applyProtection="1">
      <alignment horizontal="right"/>
    </xf>
    <xf numFmtId="38" fontId="46" fillId="0" borderId="1" xfId="1" applyFont="1" applyFill="1" applyBorder="1" applyAlignment="1" applyProtection="1">
      <alignment horizontal="right"/>
    </xf>
    <xf numFmtId="190" fontId="0" fillId="0" borderId="1" xfId="0" applyNumberFormat="1" applyBorder="1" applyAlignment="1">
      <alignment horizontal="right"/>
    </xf>
    <xf numFmtId="9" fontId="0" fillId="0" borderId="1" xfId="2" applyFont="1" applyFill="1" applyBorder="1" applyAlignment="1" applyProtection="1"/>
    <xf numFmtId="190" fontId="0" fillId="2" borderId="1" xfId="1" applyNumberFormat="1" applyFont="1" applyFill="1" applyBorder="1" applyAlignment="1" applyProtection="1">
      <alignment horizontal="right"/>
      <protection locked="0"/>
    </xf>
    <xf numFmtId="38" fontId="0" fillId="0" borderId="1" xfId="1" applyFont="1" applyBorder="1" applyAlignment="1" applyProtection="1">
      <alignment horizontal="right"/>
    </xf>
    <xf numFmtId="38" fontId="0" fillId="0" borderId="1" xfId="1" applyFont="1" applyFill="1" applyBorder="1" applyAlignment="1" applyProtection="1"/>
    <xf numFmtId="190" fontId="0" fillId="2" borderId="1" xfId="1" applyNumberFormat="1" applyFont="1" applyFill="1" applyBorder="1" applyAlignment="1" applyProtection="1">
      <protection locked="0"/>
    </xf>
    <xf numFmtId="38" fontId="0" fillId="0" borderId="1" xfId="1" applyFont="1" applyFill="1" applyBorder="1" applyAlignment="1" applyProtection="1">
      <alignment horizontal="right"/>
    </xf>
    <xf numFmtId="187" fontId="0" fillId="0" borderId="1" xfId="0" applyNumberFormat="1" applyBorder="1"/>
    <xf numFmtId="9" fontId="0" fillId="0" borderId="1" xfId="2" applyFont="1" applyBorder="1" applyAlignment="1">
      <alignment horizontal="right"/>
    </xf>
    <xf numFmtId="0" fontId="0" fillId="10" borderId="2" xfId="0" applyFill="1" applyBorder="1" applyAlignment="1">
      <alignment vertical="center"/>
    </xf>
    <xf numFmtId="188" fontId="46" fillId="12" borderId="1" xfId="1" applyNumberFormat="1" applyFont="1" applyFill="1" applyBorder="1" applyAlignment="1" applyProtection="1">
      <alignment horizontal="right"/>
    </xf>
    <xf numFmtId="188" fontId="0" fillId="2" borderId="1" xfId="1" applyNumberFormat="1" applyFont="1" applyFill="1" applyBorder="1" applyAlignment="1" applyProtection="1">
      <protection locked="0"/>
    </xf>
    <xf numFmtId="196" fontId="0" fillId="0" borderId="1" xfId="1" applyNumberFormat="1" applyFont="1" applyBorder="1" applyAlignment="1" applyProtection="1"/>
    <xf numFmtId="0" fontId="45" fillId="12" borderId="1" xfId="0" applyFont="1" applyFill="1" applyBorder="1"/>
    <xf numFmtId="9" fontId="46" fillId="12" borderId="1" xfId="0" applyNumberFormat="1" applyFont="1" applyFill="1" applyBorder="1"/>
    <xf numFmtId="38" fontId="46" fillId="0" borderId="1" xfId="1" applyFont="1" applyFill="1" applyBorder="1" applyAlignment="1" applyProtection="1">
      <alignment horizontal="center" wrapText="1"/>
    </xf>
    <xf numFmtId="38" fontId="0" fillId="0" borderId="37" xfId="1" applyFont="1" applyBorder="1" applyAlignment="1" applyProtection="1">
      <alignment horizontal="right" shrinkToFit="1"/>
    </xf>
    <xf numFmtId="38" fontId="0" fillId="0" borderId="1" xfId="1" applyFont="1" applyBorder="1" applyAlignment="1" applyProtection="1">
      <alignment horizontal="center" shrinkToFit="1"/>
    </xf>
    <xf numFmtId="188" fontId="0" fillId="0" borderId="1" xfId="1" applyNumberFormat="1" applyFont="1" applyBorder="1" applyAlignment="1" applyProtection="1">
      <alignment horizontal="right"/>
    </xf>
    <xf numFmtId="0" fontId="46" fillId="12" borderId="1" xfId="0" applyFont="1" applyFill="1" applyBorder="1" applyAlignment="1">
      <alignment shrinkToFit="1"/>
    </xf>
    <xf numFmtId="0" fontId="46" fillId="12" borderId="7" xfId="0" applyFont="1" applyFill="1" applyBorder="1"/>
    <xf numFmtId="192" fontId="46" fillId="0" borderId="1" xfId="1" applyNumberFormat="1" applyFont="1" applyFill="1" applyBorder="1" applyAlignment="1" applyProtection="1">
      <alignment horizontal="right"/>
    </xf>
    <xf numFmtId="0" fontId="45" fillId="5" borderId="1" xfId="0" applyFont="1" applyFill="1" applyBorder="1" applyAlignment="1" applyProtection="1">
      <alignment horizontal="center"/>
      <protection locked="0"/>
    </xf>
    <xf numFmtId="9" fontId="0" fillId="0" borderId="1" xfId="2" applyFont="1" applyFill="1" applyBorder="1" applyAlignment="1"/>
    <xf numFmtId="192" fontId="0" fillId="0" borderId="1" xfId="1" applyNumberFormat="1" applyFont="1" applyBorder="1" applyAlignment="1"/>
    <xf numFmtId="0" fontId="46" fillId="5" borderId="1" xfId="0" applyFont="1" applyFill="1" applyBorder="1" applyAlignment="1" applyProtection="1">
      <alignment horizontal="center"/>
      <protection locked="0"/>
    </xf>
    <xf numFmtId="198" fontId="0" fillId="0" borderId="0" xfId="0" applyNumberFormat="1"/>
    <xf numFmtId="197" fontId="0" fillId="0" borderId="0" xfId="0" applyNumberFormat="1"/>
    <xf numFmtId="195" fontId="0" fillId="0" borderId="0" xfId="0" applyNumberFormat="1"/>
    <xf numFmtId="182" fontId="0" fillId="0" borderId="0" xfId="0" applyNumberFormat="1"/>
    <xf numFmtId="183" fontId="0" fillId="0" borderId="0" xfId="0" applyNumberFormat="1"/>
    <xf numFmtId="0" fontId="45" fillId="12" borderId="1" xfId="0" applyFont="1" applyFill="1" applyBorder="1" applyAlignment="1">
      <alignment wrapText="1"/>
    </xf>
    <xf numFmtId="0" fontId="46" fillId="12" borderId="1" xfId="0" applyFont="1" applyFill="1" applyBorder="1" applyAlignment="1">
      <alignment horizontal="right" wrapText="1"/>
    </xf>
    <xf numFmtId="0" fontId="25" fillId="13" borderId="0" xfId="0" applyFont="1" applyFill="1"/>
    <xf numFmtId="0" fontId="0" fillId="13" borderId="0" xfId="0" applyFill="1"/>
    <xf numFmtId="9" fontId="0" fillId="2" borderId="1" xfId="2" applyFont="1" applyFill="1" applyBorder="1" applyAlignment="1" applyProtection="1"/>
    <xf numFmtId="9" fontId="0" fillId="14" borderId="8" xfId="2" applyFont="1" applyFill="1" applyBorder="1" applyAlignment="1" applyProtection="1"/>
    <xf numFmtId="0" fontId="26" fillId="2" borderId="1" xfId="9" applyFont="1" applyFill="1" applyBorder="1" applyAlignment="1" applyProtection="1">
      <alignment horizontal="center" vertical="center" wrapText="1"/>
      <protection locked="0"/>
    </xf>
    <xf numFmtId="177" fontId="0" fillId="0" borderId="1" xfId="5" applyNumberFormat="1" applyFont="1" applyFill="1" applyBorder="1" applyAlignment="1" applyProtection="1">
      <alignment vertical="center" shrinkToFit="1"/>
    </xf>
    <xf numFmtId="178" fontId="0" fillId="0" borderId="1" xfId="5" applyNumberFormat="1" applyFont="1" applyFill="1" applyBorder="1" applyAlignment="1" applyProtection="1">
      <alignment horizontal="right" vertical="center" shrinkToFit="1"/>
    </xf>
    <xf numFmtId="179" fontId="0" fillId="0" borderId="1" xfId="5" applyNumberFormat="1" applyFont="1" applyFill="1" applyBorder="1" applyAlignment="1" applyProtection="1">
      <alignment vertical="center" shrinkToFit="1"/>
    </xf>
    <xf numFmtId="0" fontId="0" fillId="0" borderId="1" xfId="0" applyBorder="1" applyAlignment="1">
      <alignment vertical="top" wrapText="1"/>
    </xf>
    <xf numFmtId="0" fontId="0" fillId="0" borderId="38" xfId="0" applyBorder="1" applyAlignment="1">
      <alignment vertical="top" wrapText="1"/>
    </xf>
    <xf numFmtId="0" fontId="17" fillId="4" borderId="28" xfId="0" applyFont="1" applyFill="1" applyBorder="1" applyAlignment="1">
      <alignment vertical="top" wrapText="1"/>
    </xf>
    <xf numFmtId="0" fontId="0" fillId="0" borderId="38" xfId="0" applyBorder="1" applyAlignment="1">
      <alignment wrapText="1"/>
    </xf>
    <xf numFmtId="0" fontId="0" fillId="9" borderId="32" xfId="0" applyFill="1" applyBorder="1" applyAlignment="1">
      <alignment vertical="top" wrapText="1"/>
    </xf>
    <xf numFmtId="0" fontId="17" fillId="0" borderId="4" xfId="0" applyFont="1" applyBorder="1" applyAlignment="1">
      <alignment vertical="top" wrapText="1"/>
    </xf>
    <xf numFmtId="0" fontId="17" fillId="0" borderId="6" xfId="0" applyFont="1" applyBorder="1" applyAlignment="1">
      <alignment vertical="top" wrapText="1"/>
    </xf>
    <xf numFmtId="200" fontId="0" fillId="0" borderId="1" xfId="0" applyNumberFormat="1" applyBorder="1"/>
    <xf numFmtId="193" fontId="0" fillId="0" borderId="1" xfId="1" applyNumberFormat="1" applyFont="1" applyBorder="1" applyAlignment="1" applyProtection="1">
      <alignment horizontal="right" shrinkToFit="1"/>
    </xf>
    <xf numFmtId="0" fontId="0" fillId="10" borderId="37" xfId="0" applyFill="1" applyBorder="1"/>
    <xf numFmtId="0" fontId="0" fillId="10" borderId="37" xfId="0" applyFill="1" applyBorder="1" applyAlignment="1">
      <alignment horizontal="center" wrapText="1"/>
    </xf>
    <xf numFmtId="201" fontId="0" fillId="2" borderId="1" xfId="0" applyNumberFormat="1" applyFill="1" applyBorder="1" applyProtection="1">
      <protection locked="0"/>
    </xf>
    <xf numFmtId="182" fontId="0" fillId="0" borderId="1" xfId="0" applyNumberFormat="1" applyBorder="1"/>
    <xf numFmtId="186" fontId="0" fillId="0" borderId="1" xfId="0" applyNumberFormat="1" applyBorder="1"/>
    <xf numFmtId="188" fontId="0" fillId="2" borderId="1" xfId="0" applyNumberFormat="1" applyFill="1" applyBorder="1" applyProtection="1">
      <protection locked="0"/>
    </xf>
    <xf numFmtId="193" fontId="0" fillId="2" borderId="1" xfId="0" applyNumberFormat="1" applyFill="1" applyBorder="1" applyProtection="1">
      <protection locked="0"/>
    </xf>
    <xf numFmtId="1" fontId="0" fillId="0" borderId="1" xfId="0" applyNumberFormat="1" applyBorder="1"/>
    <xf numFmtId="194" fontId="0" fillId="2" borderId="1" xfId="0" applyNumberFormat="1" applyFill="1" applyBorder="1" applyProtection="1">
      <protection locked="0"/>
    </xf>
    <xf numFmtId="190" fontId="0" fillId="2" borderId="1" xfId="0" applyNumberFormat="1" applyFill="1" applyBorder="1" applyProtection="1">
      <protection locked="0"/>
    </xf>
    <xf numFmtId="191" fontId="0" fillId="2" borderId="1" xfId="0" applyNumberFormat="1" applyFill="1" applyBorder="1" applyProtection="1">
      <protection locked="0"/>
    </xf>
    <xf numFmtId="176" fontId="0" fillId="2" borderId="1" xfId="0" applyNumberFormat="1" applyFill="1" applyBorder="1" applyProtection="1">
      <protection locked="0"/>
    </xf>
    <xf numFmtId="193" fontId="0" fillId="0" borderId="1" xfId="0" applyNumberFormat="1" applyBorder="1" applyAlignment="1">
      <alignment horizontal="right" vertical="center" shrinkToFit="1"/>
    </xf>
    <xf numFmtId="193" fontId="0" fillId="0" borderId="1" xfId="1" applyNumberFormat="1" applyFont="1" applyBorder="1" applyAlignment="1">
      <alignment horizontal="right" vertical="center" shrinkToFit="1"/>
    </xf>
    <xf numFmtId="201" fontId="0" fillId="0" borderId="1" xfId="0" applyNumberFormat="1" applyBorder="1" applyAlignment="1">
      <alignment horizontal="right" vertical="center" shrinkToFit="1"/>
    </xf>
    <xf numFmtId="201" fontId="0" fillId="0" borderId="1" xfId="1" applyNumberFormat="1" applyFont="1" applyBorder="1" applyAlignment="1">
      <alignment horizontal="right" vertical="center" shrinkToFit="1"/>
    </xf>
    <xf numFmtId="193" fontId="0" fillId="0" borderId="17" xfId="1" applyNumberFormat="1" applyFont="1" applyBorder="1" applyAlignment="1">
      <alignment horizontal="right" vertical="center" shrinkToFit="1"/>
    </xf>
    <xf numFmtId="0" fontId="0" fillId="10" borderId="11" xfId="0" applyFill="1" applyBorder="1"/>
    <xf numFmtId="0" fontId="0" fillId="10" borderId="12" xfId="0" applyFill="1" applyBorder="1" applyAlignment="1">
      <alignment horizontal="center" vertical="center"/>
    </xf>
    <xf numFmtId="9" fontId="0" fillId="10" borderId="13" xfId="2" applyFont="1" applyFill="1" applyBorder="1" applyAlignment="1">
      <alignment horizontal="center" vertical="center"/>
    </xf>
    <xf numFmtId="0" fontId="0" fillId="10" borderId="14" xfId="0" applyFill="1" applyBorder="1" applyAlignment="1">
      <alignment horizontal="left" vertical="top" wrapText="1"/>
    </xf>
    <xf numFmtId="0" fontId="0" fillId="10" borderId="14" xfId="0" applyFill="1" applyBorder="1"/>
    <xf numFmtId="0" fontId="0" fillId="10" borderId="35" xfId="0" applyFill="1" applyBorder="1"/>
    <xf numFmtId="0" fontId="0" fillId="10" borderId="16" xfId="0" applyFill="1" applyBorder="1"/>
    <xf numFmtId="0" fontId="0" fillId="10" borderId="17" xfId="0" applyFill="1" applyBorder="1" applyAlignment="1">
      <alignment horizontal="center" wrapText="1"/>
    </xf>
    <xf numFmtId="0" fontId="0" fillId="10" borderId="2" xfId="0" applyFill="1" applyBorder="1" applyAlignment="1">
      <alignment vertical="top" wrapText="1"/>
    </xf>
    <xf numFmtId="0" fontId="0" fillId="10" borderId="1" xfId="0" applyFill="1" applyBorder="1" applyAlignment="1">
      <alignment wrapText="1"/>
    </xf>
    <xf numFmtId="0" fontId="0" fillId="10" borderId="12" xfId="0" applyFill="1" applyBorder="1" applyAlignment="1">
      <alignment horizontal="center"/>
    </xf>
    <xf numFmtId="0" fontId="0" fillId="0" borderId="34" xfId="0" applyBorder="1" applyAlignment="1" applyProtection="1">
      <alignment horizontal="center"/>
      <protection locked="0"/>
    </xf>
    <xf numFmtId="184" fontId="0" fillId="10" borderId="1" xfId="0" applyNumberFormat="1" applyFill="1" applyBorder="1" applyAlignment="1">
      <alignment horizontal="center" vertical="center"/>
    </xf>
    <xf numFmtId="0" fontId="0" fillId="2" borderId="2" xfId="0" applyFill="1" applyBorder="1" applyAlignment="1" applyProtection="1">
      <alignment horizontal="center" shrinkToFit="1"/>
      <protection locked="0"/>
    </xf>
    <xf numFmtId="0" fontId="0" fillId="10" borderId="2" xfId="0" applyFill="1" applyBorder="1" applyAlignment="1">
      <alignment horizontal="centerContinuous"/>
    </xf>
    <xf numFmtId="0" fontId="0" fillId="10" borderId="3" xfId="0" applyFill="1" applyBorder="1" applyAlignment="1">
      <alignment horizontal="centerContinuous"/>
    </xf>
    <xf numFmtId="0" fontId="0" fillId="10" borderId="5" xfId="0" applyFill="1" applyBorder="1" applyAlignment="1">
      <alignment shrinkToFit="1"/>
    </xf>
    <xf numFmtId="0" fontId="0" fillId="10" borderId="11" xfId="0" applyFill="1" applyBorder="1" applyAlignment="1">
      <alignment shrinkToFit="1"/>
    </xf>
    <xf numFmtId="0" fontId="0" fillId="10" borderId="14" xfId="0" applyFill="1" applyBorder="1" applyAlignment="1">
      <alignment shrinkToFit="1"/>
    </xf>
    <xf numFmtId="0" fontId="0" fillId="10" borderId="1" xfId="0" applyFill="1" applyBorder="1" applyAlignment="1">
      <alignment horizontal="left" indent="2"/>
    </xf>
    <xf numFmtId="0" fontId="0" fillId="10" borderId="5" xfId="0" applyFill="1" applyBorder="1" applyAlignment="1">
      <alignment horizontal="center"/>
    </xf>
    <xf numFmtId="0" fontId="0" fillId="10" borderId="17" xfId="0" applyFill="1" applyBorder="1" applyAlignment="1">
      <alignment horizontal="center"/>
    </xf>
    <xf numFmtId="0" fontId="0" fillId="0" borderId="1" xfId="0" applyBorder="1" applyAlignment="1" applyProtection="1">
      <alignment horizontal="center"/>
      <protection locked="0"/>
    </xf>
    <xf numFmtId="0" fontId="0" fillId="2" borderId="1" xfId="0" applyFill="1" applyBorder="1" applyAlignment="1" applyProtection="1">
      <alignment horizontal="center" shrinkToFit="1"/>
      <protection locked="0"/>
    </xf>
    <xf numFmtId="38" fontId="45" fillId="0" borderId="1" xfId="1" applyFont="1" applyFill="1" applyBorder="1" applyAlignment="1" applyProtection="1"/>
    <xf numFmtId="0" fontId="49" fillId="0" borderId="0" xfId="0" applyFont="1"/>
    <xf numFmtId="0" fontId="50" fillId="0" borderId="0" xfId="0" applyFont="1"/>
    <xf numFmtId="0" fontId="47" fillId="10" borderId="1" xfId="0" applyFont="1" applyFill="1" applyBorder="1"/>
    <xf numFmtId="0" fontId="7" fillId="0" borderId="0" xfId="3" applyFont="1" applyAlignment="1">
      <alignment vertical="top"/>
    </xf>
    <xf numFmtId="0" fontId="6" fillId="0" borderId="0" xfId="3">
      <alignment vertical="center"/>
    </xf>
    <xf numFmtId="0" fontId="9" fillId="4" borderId="1" xfId="3" applyFont="1" applyFill="1" applyBorder="1">
      <alignment vertical="center"/>
    </xf>
    <xf numFmtId="0" fontId="10" fillId="4" borderId="1" xfId="3" applyFont="1" applyFill="1" applyBorder="1" applyAlignment="1">
      <alignment vertical="center" wrapText="1" shrinkToFit="1"/>
    </xf>
    <xf numFmtId="0" fontId="9" fillId="4" borderId="1" xfId="3" applyFont="1" applyFill="1" applyBorder="1" applyAlignment="1">
      <alignment vertical="center" wrapText="1" shrinkToFit="1"/>
    </xf>
    <xf numFmtId="0" fontId="9" fillId="4" borderId="1" xfId="3" applyFont="1" applyFill="1" applyBorder="1" applyAlignment="1">
      <alignment vertical="center" shrinkToFit="1"/>
    </xf>
    <xf numFmtId="0" fontId="9" fillId="4" borderId="1" xfId="3" applyFont="1" applyFill="1" applyBorder="1" applyAlignment="1">
      <alignment horizontal="center" vertical="center" wrapText="1"/>
    </xf>
    <xf numFmtId="181" fontId="9" fillId="4" borderId="1" xfId="3" applyNumberFormat="1" applyFont="1" applyFill="1" applyBorder="1" applyAlignment="1">
      <alignment horizontal="center" vertical="center" wrapText="1"/>
    </xf>
    <xf numFmtId="0" fontId="6" fillId="0" borderId="1" xfId="3" applyBorder="1" applyAlignment="1">
      <alignment vertical="center" shrinkToFit="1"/>
    </xf>
    <xf numFmtId="0" fontId="6" fillId="0" borderId="1" xfId="3" applyBorder="1">
      <alignment vertical="center"/>
    </xf>
    <xf numFmtId="0" fontId="6" fillId="0" borderId="1" xfId="0" applyFont="1" applyBorder="1" applyAlignment="1">
      <alignment vertical="center" wrapText="1" shrinkToFit="1"/>
    </xf>
    <xf numFmtId="181" fontId="3" fillId="0" borderId="0" xfId="4" applyNumberFormat="1">
      <alignment vertical="center"/>
    </xf>
    <xf numFmtId="0" fontId="0" fillId="13" borderId="0" xfId="0" applyFill="1" applyAlignment="1">
      <alignment vertical="center"/>
    </xf>
    <xf numFmtId="0" fontId="0" fillId="0" borderId="1" xfId="0" applyBorder="1" applyAlignment="1">
      <alignment vertical="center" wrapText="1"/>
    </xf>
    <xf numFmtId="0" fontId="0" fillId="10" borderId="7" xfId="0" applyFill="1" applyBorder="1" applyAlignment="1">
      <alignment horizontal="center"/>
    </xf>
    <xf numFmtId="0" fontId="0" fillId="0" borderId="1" xfId="0" applyBorder="1" applyAlignment="1">
      <alignment horizontal="right"/>
    </xf>
    <xf numFmtId="0" fontId="0" fillId="10" borderId="37" xfId="0" applyFill="1" applyBorder="1" applyAlignment="1">
      <alignment horizontal="center"/>
    </xf>
    <xf numFmtId="38" fontId="0" fillId="10" borderId="1" xfId="1" applyFont="1" applyFill="1" applyBorder="1" applyAlignment="1">
      <alignment horizontal="centerContinuous"/>
    </xf>
    <xf numFmtId="0" fontId="17" fillId="10" borderId="1" xfId="0" applyFont="1" applyFill="1" applyBorder="1" applyAlignment="1">
      <alignment horizontal="left" vertical="center" wrapText="1"/>
    </xf>
    <xf numFmtId="38" fontId="17" fillId="10" borderId="1" xfId="1" applyFont="1" applyFill="1" applyBorder="1" applyAlignment="1">
      <alignment horizontal="left" vertical="center" wrapText="1"/>
    </xf>
    <xf numFmtId="0" fontId="19" fillId="10" borderId="1" xfId="0" applyFont="1" applyFill="1" applyBorder="1" applyAlignment="1">
      <alignment horizontal="left" vertical="center" wrapText="1"/>
    </xf>
    <xf numFmtId="38" fontId="0" fillId="10" borderId="1" xfId="1" applyFont="1" applyFill="1" applyBorder="1" applyAlignment="1">
      <alignment horizontal="center"/>
    </xf>
    <xf numFmtId="38" fontId="46" fillId="12" borderId="1" xfId="1" applyFont="1" applyFill="1" applyBorder="1" applyAlignment="1">
      <alignment horizontal="right"/>
    </xf>
    <xf numFmtId="187" fontId="46" fillId="0" borderId="1" xfId="0" applyNumberFormat="1" applyFont="1" applyBorder="1" applyAlignment="1">
      <alignment horizontal="right" wrapText="1"/>
    </xf>
    <xf numFmtId="189" fontId="46" fillId="0" borderId="1" xfId="0" applyNumberFormat="1" applyFont="1" applyBorder="1" applyAlignment="1">
      <alignment horizontal="right" wrapText="1"/>
    </xf>
    <xf numFmtId="0" fontId="0" fillId="0" borderId="41" xfId="0" applyBorder="1"/>
    <xf numFmtId="0" fontId="0" fillId="0" borderId="42" xfId="0" applyBorder="1"/>
    <xf numFmtId="0" fontId="0" fillId="0" borderId="43" xfId="0" applyBorder="1"/>
    <xf numFmtId="0" fontId="0" fillId="0" borderId="14" xfId="0" applyBorder="1"/>
    <xf numFmtId="0" fontId="0" fillId="0" borderId="44" xfId="0" applyBorder="1"/>
    <xf numFmtId="0" fontId="48" fillId="0" borderId="45" xfId="0" applyFont="1" applyBorder="1" applyAlignment="1">
      <alignment horizontal="center"/>
    </xf>
    <xf numFmtId="0" fontId="48" fillId="0" borderId="7" xfId="0" applyFont="1"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5" fillId="14" borderId="0" xfId="0" applyFont="1" applyFill="1"/>
    <xf numFmtId="0" fontId="0" fillId="14" borderId="0" xfId="0" applyFill="1"/>
    <xf numFmtId="0" fontId="47" fillId="14" borderId="0" xfId="0" applyFont="1" applyFill="1"/>
    <xf numFmtId="0" fontId="39" fillId="14" borderId="0" xfId="0" applyFont="1" applyFill="1"/>
    <xf numFmtId="0" fontId="0" fillId="14" borderId="0" xfId="0" applyFill="1" applyAlignment="1">
      <alignment horizontal="center"/>
    </xf>
    <xf numFmtId="0" fontId="0" fillId="14" borderId="0" xfId="0" applyFill="1" applyAlignment="1">
      <alignment vertical="center"/>
    </xf>
    <xf numFmtId="0" fontId="0" fillId="14" borderId="0" xfId="0" applyFill="1" applyAlignment="1">
      <alignment shrinkToFit="1"/>
    </xf>
    <xf numFmtId="0" fontId="0" fillId="14" borderId="7" xfId="0" applyFill="1" applyBorder="1"/>
    <xf numFmtId="0" fontId="0" fillId="10" borderId="10" xfId="0" applyFill="1" applyBorder="1"/>
    <xf numFmtId="0" fontId="0" fillId="10" borderId="8" xfId="0" applyFill="1" applyBorder="1"/>
    <xf numFmtId="0" fontId="0" fillId="10" borderId="36" xfId="0" applyFill="1" applyBorder="1"/>
    <xf numFmtId="0" fontId="0" fillId="10" borderId="0" xfId="0" applyFill="1"/>
    <xf numFmtId="0" fontId="0" fillId="10" borderId="1" xfId="0" applyFill="1" applyBorder="1" applyAlignment="1">
      <alignment horizontal="left" vertical="center" wrapText="1"/>
    </xf>
    <xf numFmtId="0" fontId="0" fillId="10" borderId="1" xfId="0" applyFill="1" applyBorder="1" applyAlignment="1">
      <alignment horizontal="left"/>
    </xf>
    <xf numFmtId="0" fontId="0" fillId="10" borderId="1" xfId="0" applyFill="1" applyBorder="1" applyAlignment="1">
      <alignment horizontal="right" wrapText="1"/>
    </xf>
    <xf numFmtId="0" fontId="45" fillId="12" borderId="1" xfId="0" applyFont="1" applyFill="1" applyBorder="1" applyAlignment="1">
      <alignment horizontal="left"/>
    </xf>
    <xf numFmtId="9" fontId="46" fillId="0" borderId="1" xfId="0" applyNumberFormat="1" applyFont="1" applyBorder="1" applyAlignment="1">
      <alignment horizontal="right"/>
    </xf>
    <xf numFmtId="190" fontId="46" fillId="12" borderId="1" xfId="0" applyNumberFormat="1" applyFont="1" applyFill="1" applyBorder="1" applyAlignment="1">
      <alignment horizontal="right"/>
    </xf>
    <xf numFmtId="191" fontId="46" fillId="12" borderId="1" xfId="0" applyNumberFormat="1" applyFont="1" applyFill="1" applyBorder="1" applyAlignment="1">
      <alignment horizontal="right"/>
    </xf>
    <xf numFmtId="0" fontId="0" fillId="0" borderId="45" xfId="0" applyBorder="1"/>
    <xf numFmtId="188" fontId="0" fillId="0" borderId="2" xfId="0" applyNumberFormat="1" applyBorder="1" applyAlignment="1">
      <alignment horizontal="left"/>
    </xf>
    <xf numFmtId="0" fontId="0" fillId="0" borderId="7" xfId="0" applyBorder="1" applyAlignment="1">
      <alignment horizontal="center"/>
    </xf>
    <xf numFmtId="0" fontId="0" fillId="0" borderId="44" xfId="0" applyBorder="1" applyAlignment="1">
      <alignment horizontal="center"/>
    </xf>
    <xf numFmtId="191" fontId="0" fillId="0" borderId="2" xfId="0" applyNumberFormat="1" applyBorder="1" applyAlignment="1">
      <alignment horizontal="left"/>
    </xf>
    <xf numFmtId="0" fontId="0" fillId="0" borderId="16" xfId="0" applyBorder="1"/>
    <xf numFmtId="0" fontId="0" fillId="0" borderId="17" xfId="0" applyBorder="1"/>
    <xf numFmtId="188" fontId="0" fillId="0" borderId="20" xfId="0" applyNumberFormat="1" applyBorder="1" applyAlignment="1">
      <alignment horizontal="left"/>
    </xf>
    <xf numFmtId="0" fontId="0" fillId="0" borderId="48" xfId="0" applyBorder="1"/>
    <xf numFmtId="0" fontId="0" fillId="0" borderId="49" xfId="0" applyBorder="1"/>
    <xf numFmtId="0" fontId="25" fillId="15" borderId="0" xfId="0" applyFont="1" applyFill="1"/>
    <xf numFmtId="0" fontId="0" fillId="15" borderId="0" xfId="0" applyFill="1"/>
    <xf numFmtId="0" fontId="0" fillId="10" borderId="1" xfId="0" applyFill="1" applyBorder="1" applyAlignment="1">
      <alignment vertical="center"/>
    </xf>
    <xf numFmtId="0" fontId="0" fillId="10" borderId="1" xfId="0" applyFill="1" applyBorder="1" applyAlignment="1">
      <alignment horizontal="right"/>
    </xf>
    <xf numFmtId="188" fontId="46" fillId="12" borderId="1" xfId="0" applyNumberFormat="1" applyFont="1" applyFill="1" applyBorder="1" applyAlignment="1">
      <alignment horizontal="right"/>
    </xf>
    <xf numFmtId="193" fontId="46" fillId="12" borderId="1" xfId="0" applyNumberFormat="1" applyFont="1" applyFill="1" applyBorder="1" applyAlignment="1">
      <alignment horizontal="right"/>
    </xf>
    <xf numFmtId="201" fontId="46" fillId="12" borderId="1" xfId="0" applyNumberFormat="1" applyFont="1" applyFill="1" applyBorder="1" applyAlignment="1">
      <alignment horizontal="right"/>
    </xf>
    <xf numFmtId="1" fontId="46" fillId="0" borderId="1" xfId="0" applyNumberFormat="1" applyFont="1" applyBorder="1" applyAlignment="1">
      <alignment horizontal="right"/>
    </xf>
    <xf numFmtId="194" fontId="46" fillId="12" borderId="1" xfId="0" applyNumberFormat="1" applyFont="1" applyFill="1" applyBorder="1" applyAlignment="1">
      <alignment horizontal="right"/>
    </xf>
    <xf numFmtId="187" fontId="46" fillId="0" borderId="1" xfId="0" applyNumberFormat="1" applyFont="1" applyBorder="1" applyAlignment="1">
      <alignment horizontal="right"/>
    </xf>
    <xf numFmtId="38" fontId="46" fillId="0" borderId="1" xfId="0" applyNumberFormat="1" applyFont="1" applyBorder="1" applyAlignment="1">
      <alignment horizontal="right"/>
    </xf>
    <xf numFmtId="195" fontId="46" fillId="0" borderId="1" xfId="0" applyNumberFormat="1" applyFont="1" applyBorder="1" applyAlignment="1">
      <alignment horizontal="right"/>
    </xf>
    <xf numFmtId="188" fontId="46" fillId="0" borderId="1" xfId="0" applyNumberFormat="1" applyFont="1" applyBorder="1" applyAlignment="1">
      <alignment horizontal="right" wrapText="1"/>
    </xf>
    <xf numFmtId="199" fontId="0" fillId="0" borderId="2" xfId="0" applyNumberFormat="1" applyBorder="1" applyAlignment="1">
      <alignment horizontal="left"/>
    </xf>
    <xf numFmtId="0" fontId="25" fillId="2" borderId="0" xfId="0" applyFont="1" applyFill="1"/>
    <xf numFmtId="0" fontId="0" fillId="2" borderId="0" xfId="0" applyFill="1"/>
    <xf numFmtId="0" fontId="39" fillId="0" borderId="7" xfId="0" applyFont="1" applyBorder="1" applyAlignment="1">
      <alignment vertical="center"/>
    </xf>
    <xf numFmtId="0" fontId="0" fillId="0" borderId="7" xfId="0" applyBorder="1" applyAlignment="1">
      <alignment horizontal="left" vertical="center"/>
    </xf>
    <xf numFmtId="0" fontId="0" fillId="0" borderId="7" xfId="0" applyBorder="1" applyAlignment="1">
      <alignment vertical="center"/>
    </xf>
    <xf numFmtId="0" fontId="0" fillId="0" borderId="44" xfId="0" applyBorder="1" applyAlignment="1">
      <alignment vertical="center"/>
    </xf>
    <xf numFmtId="0" fontId="0" fillId="0" borderId="10" xfId="0" applyBorder="1"/>
    <xf numFmtId="188" fontId="0" fillId="0" borderId="3" xfId="0" applyNumberFormat="1" applyBorder="1" applyAlignment="1">
      <alignment horizontal="left"/>
    </xf>
    <xf numFmtId="0" fontId="0" fillId="0" borderId="7" xfId="0" applyBorder="1" applyAlignment="1">
      <alignment horizontal="center" vertical="center"/>
    </xf>
    <xf numFmtId="0" fontId="0" fillId="0" borderId="44" xfId="0" applyBorder="1" applyAlignment="1">
      <alignment horizontal="center" vertical="center"/>
    </xf>
    <xf numFmtId="0" fontId="0" fillId="0" borderId="27" xfId="0" applyBorder="1"/>
    <xf numFmtId="0" fontId="0" fillId="0" borderId="36" xfId="0" applyBorder="1"/>
    <xf numFmtId="199" fontId="0" fillId="0" borderId="3" xfId="0" applyNumberFormat="1" applyBorder="1" applyAlignment="1">
      <alignment horizontal="left"/>
    </xf>
    <xf numFmtId="0" fontId="17" fillId="10" borderId="1" xfId="0" applyFont="1" applyFill="1" applyBorder="1" applyAlignment="1">
      <alignment horizontal="center" vertical="center" wrapText="1"/>
    </xf>
    <xf numFmtId="0" fontId="45" fillId="12" borderId="1" xfId="0" applyFont="1" applyFill="1" applyBorder="1" applyAlignment="1">
      <alignment shrinkToFit="1"/>
    </xf>
    <xf numFmtId="0" fontId="46" fillId="12" borderId="1" xfId="0" applyFont="1" applyFill="1" applyBorder="1" applyAlignment="1" applyProtection="1">
      <alignment vertical="center" shrinkToFit="1"/>
      <protection locked="0"/>
    </xf>
    <xf numFmtId="0" fontId="45" fillId="0" borderId="1" xfId="0" applyFont="1" applyBorder="1"/>
    <xf numFmtId="9" fontId="45" fillId="0" borderId="1" xfId="0" applyNumberFormat="1" applyFont="1" applyBorder="1" applyAlignment="1">
      <alignment horizontal="center"/>
    </xf>
    <xf numFmtId="197" fontId="45" fillId="12" borderId="1" xfId="0" applyNumberFormat="1" applyFont="1" applyFill="1" applyBorder="1"/>
    <xf numFmtId="0" fontId="46" fillId="0" borderId="1" xfId="0" applyFont="1" applyBorder="1" applyAlignment="1">
      <alignment horizontal="left"/>
    </xf>
    <xf numFmtId="9" fontId="46" fillId="12" borderId="1" xfId="0" applyNumberFormat="1" applyFont="1" applyFill="1" applyBorder="1" applyAlignment="1">
      <alignment horizontal="right"/>
    </xf>
    <xf numFmtId="193" fontId="46" fillId="0" borderId="1" xfId="0" applyNumberFormat="1" applyFont="1" applyBorder="1" applyAlignment="1">
      <alignment horizontal="right"/>
    </xf>
    <xf numFmtId="0" fontId="46" fillId="0" borderId="1" xfId="0" applyFont="1" applyBorder="1" applyAlignment="1">
      <alignment horizontal="right"/>
    </xf>
    <xf numFmtId="0" fontId="46" fillId="12" borderId="1" xfId="0" applyFont="1" applyFill="1" applyBorder="1" applyAlignment="1">
      <alignment horizontal="center" shrinkToFit="1"/>
    </xf>
    <xf numFmtId="184" fontId="46" fillId="0" borderId="1" xfId="0" applyNumberFormat="1" applyFont="1" applyBorder="1" applyAlignment="1">
      <alignment horizontal="right"/>
    </xf>
    <xf numFmtId="9" fontId="46" fillId="0" borderId="1" xfId="0" applyNumberFormat="1" applyFont="1" applyBorder="1"/>
    <xf numFmtId="0" fontId="25" fillId="12" borderId="0" xfId="0" applyFont="1" applyFill="1"/>
    <xf numFmtId="0" fontId="0" fillId="12" borderId="0" xfId="0" applyFill="1"/>
    <xf numFmtId="182" fontId="46" fillId="0" borderId="1" xfId="0" applyNumberFormat="1" applyFont="1" applyBorder="1"/>
    <xf numFmtId="187" fontId="46" fillId="0" borderId="1" xfId="0" applyNumberFormat="1" applyFont="1" applyBorder="1"/>
    <xf numFmtId="0" fontId="46" fillId="12" borderId="1" xfId="0" applyFont="1" applyFill="1" applyBorder="1" applyAlignment="1">
      <alignment wrapText="1"/>
    </xf>
    <xf numFmtId="0" fontId="46" fillId="0" borderId="7" xfId="0" applyFont="1" applyBorder="1"/>
    <xf numFmtId="0" fontId="25" fillId="4" borderId="0" xfId="0" applyFont="1" applyFill="1"/>
    <xf numFmtId="0" fontId="0" fillId="4" borderId="0" xfId="0" applyFill="1"/>
    <xf numFmtId="0" fontId="17" fillId="10" borderId="1" xfId="0" applyFont="1" applyFill="1" applyBorder="1" applyAlignment="1">
      <alignment horizontal="center" vertical="top" wrapText="1"/>
    </xf>
    <xf numFmtId="0" fontId="19" fillId="10" borderId="1" xfId="0" applyFont="1" applyFill="1" applyBorder="1" applyAlignment="1">
      <alignment horizontal="center" vertical="top" wrapText="1"/>
    </xf>
    <xf numFmtId="9" fontId="46" fillId="0" borderId="1" xfId="0" applyNumberFormat="1" applyFont="1" applyBorder="1" applyAlignment="1">
      <alignment horizontal="right" wrapText="1"/>
    </xf>
    <xf numFmtId="1" fontId="46" fillId="0" borderId="1" xfId="0" applyNumberFormat="1" applyFont="1" applyBorder="1" applyAlignment="1">
      <alignment horizontal="right" wrapText="1"/>
    </xf>
    <xf numFmtId="0" fontId="46" fillId="0" borderId="1" xfId="0" applyFont="1" applyBorder="1" applyAlignment="1">
      <alignment horizontal="right" wrapText="1"/>
    </xf>
    <xf numFmtId="196" fontId="46" fillId="0" borderId="1" xfId="0" applyNumberFormat="1" applyFont="1" applyBorder="1" applyAlignment="1">
      <alignment horizontal="right" wrapText="1"/>
    </xf>
    <xf numFmtId="0" fontId="25" fillId="16" borderId="0" xfId="0" applyFont="1" applyFill="1"/>
    <xf numFmtId="0" fontId="0" fillId="16" borderId="0" xfId="0" applyFill="1"/>
    <xf numFmtId="0" fontId="0" fillId="16" borderId="0" xfId="0" applyFill="1" applyProtection="1">
      <protection locked="0"/>
    </xf>
    <xf numFmtId="0" fontId="0" fillId="16" borderId="0" xfId="0" applyFill="1" applyAlignment="1" applyProtection="1">
      <alignment shrinkToFit="1"/>
      <protection locked="0"/>
    </xf>
    <xf numFmtId="0" fontId="24" fillId="16" borderId="0" xfId="0" applyFont="1" applyFill="1"/>
    <xf numFmtId="202" fontId="46" fillId="12" borderId="1" xfId="1" applyNumberFormat="1" applyFont="1" applyFill="1" applyBorder="1" applyAlignment="1">
      <alignment horizontal="right"/>
    </xf>
    <xf numFmtId="0" fontId="46" fillId="12" borderId="1" xfId="0" applyFont="1" applyFill="1" applyBorder="1" applyAlignment="1">
      <alignment horizontal="left" shrinkToFit="1"/>
    </xf>
    <xf numFmtId="192" fontId="46" fillId="0" borderId="1" xfId="1" applyNumberFormat="1" applyFont="1" applyFill="1" applyBorder="1" applyAlignment="1">
      <alignment horizontal="right"/>
    </xf>
    <xf numFmtId="38" fontId="0" fillId="0" borderId="1" xfId="0" applyNumberFormat="1" applyBorder="1" applyAlignment="1">
      <alignment vertical="center"/>
    </xf>
    <xf numFmtId="38" fontId="0" fillId="0" borderId="1" xfId="0" applyNumberFormat="1" applyBorder="1" applyAlignment="1">
      <alignment vertical="center" wrapText="1"/>
    </xf>
    <xf numFmtId="187" fontId="0" fillId="0" borderId="1" xfId="0" applyNumberFormat="1" applyBorder="1" applyAlignment="1">
      <alignment vertical="center"/>
    </xf>
    <xf numFmtId="187" fontId="0" fillId="11" borderId="1" xfId="0" applyNumberFormat="1" applyFill="1" applyBorder="1" applyAlignment="1">
      <alignment vertical="center" wrapText="1"/>
    </xf>
    <xf numFmtId="0" fontId="0" fillId="0" borderId="0" xfId="0" applyAlignment="1">
      <alignment horizontal="left" vertical="top"/>
    </xf>
    <xf numFmtId="38" fontId="0" fillId="0" borderId="1" xfId="1" applyFont="1" applyBorder="1" applyAlignment="1" applyProtection="1">
      <alignment horizontal="center" vertical="center"/>
    </xf>
    <xf numFmtId="9" fontId="0" fillId="0" borderId="1" xfId="2" applyFont="1" applyBorder="1" applyAlignment="1">
      <alignment horizontal="center" vertical="center"/>
    </xf>
    <xf numFmtId="188" fontId="0" fillId="0" borderId="1" xfId="1" applyNumberFormat="1" applyFont="1" applyBorder="1" applyAlignment="1" applyProtection="1"/>
    <xf numFmtId="188" fontId="0" fillId="11" borderId="1" xfId="1" applyNumberFormat="1" applyFont="1" applyFill="1" applyBorder="1" applyAlignment="1" applyProtection="1">
      <alignment vertical="center"/>
    </xf>
    <xf numFmtId="0" fontId="0" fillId="0" borderId="1" xfId="0" applyBorder="1" applyAlignment="1">
      <alignment horizontal="center" vertical="top"/>
    </xf>
    <xf numFmtId="38" fontId="0" fillId="2" borderId="1" xfId="1" applyFont="1" applyFill="1" applyBorder="1" applyAlignment="1" applyProtection="1">
      <protection locked="0"/>
    </xf>
    <xf numFmtId="38" fontId="45" fillId="0" borderId="1" xfId="1" applyFont="1" applyFill="1" applyBorder="1" applyAlignment="1">
      <alignment horizontal="right"/>
    </xf>
    <xf numFmtId="38" fontId="0" fillId="0" borderId="1" xfId="0" applyNumberFormat="1" applyBorder="1" applyAlignment="1">
      <alignment horizontal="right" vertical="center"/>
    </xf>
    <xf numFmtId="187" fontId="0" fillId="0" borderId="1" xfId="0" applyNumberFormat="1" applyBorder="1" applyAlignment="1">
      <alignment horizontal="right" vertical="center"/>
    </xf>
    <xf numFmtId="187" fontId="0" fillId="11" borderId="1" xfId="0" applyNumberFormat="1" applyFill="1" applyBorder="1" applyAlignment="1">
      <alignment horizontal="right" vertical="center"/>
    </xf>
    <xf numFmtId="38" fontId="0" fillId="0" borderId="1" xfId="1" applyFont="1" applyBorder="1" applyAlignment="1" applyProtection="1">
      <alignment horizontal="center"/>
    </xf>
    <xf numFmtId="9" fontId="0" fillId="0" borderId="1" xfId="2" applyFont="1" applyBorder="1" applyAlignment="1">
      <alignment horizontal="center"/>
    </xf>
    <xf numFmtId="202" fontId="0" fillId="0" borderId="1" xfId="1" applyNumberFormat="1" applyFont="1" applyBorder="1" applyAlignment="1" applyProtection="1"/>
    <xf numFmtId="202" fontId="0" fillId="11" borderId="1" xfId="1" applyNumberFormat="1" applyFont="1" applyFill="1" applyBorder="1" applyAlignment="1" applyProtection="1">
      <alignment horizontal="right" vertical="center"/>
    </xf>
    <xf numFmtId="0" fontId="0" fillId="0" borderId="0" xfId="0" applyAlignment="1">
      <alignment shrinkToFit="1"/>
    </xf>
    <xf numFmtId="0" fontId="0" fillId="10" borderId="1" xfId="0" applyFill="1" applyBorder="1" applyAlignment="1">
      <alignment horizontal="left" vertical="center"/>
    </xf>
    <xf numFmtId="0" fontId="0" fillId="0" borderId="37" xfId="0" applyBorder="1" applyAlignment="1">
      <alignment horizontal="right" vertical="center"/>
    </xf>
    <xf numFmtId="0" fontId="0" fillId="0" borderId="1" xfId="0" applyBorder="1" applyAlignment="1">
      <alignment horizontal="right" vertical="center"/>
    </xf>
    <xf numFmtId="190" fontId="0" fillId="0" borderId="1" xfId="0" applyNumberFormat="1" applyBorder="1" applyAlignment="1">
      <alignment horizontal="right" vertical="center"/>
    </xf>
    <xf numFmtId="191" fontId="0" fillId="0" borderId="1" xfId="0" applyNumberFormat="1" applyBorder="1" applyAlignment="1">
      <alignment horizontal="right" vertical="center"/>
    </xf>
    <xf numFmtId="38" fontId="0" fillId="0" borderId="37" xfId="1" applyFont="1" applyBorder="1" applyAlignment="1" applyProtection="1">
      <alignment horizontal="right" vertical="center"/>
    </xf>
    <xf numFmtId="38" fontId="0" fillId="0" borderId="37" xfId="1" applyFont="1" applyFill="1" applyBorder="1" applyAlignment="1" applyProtection="1">
      <alignment horizontal="right" vertical="center"/>
    </xf>
    <xf numFmtId="190" fontId="0" fillId="0" borderId="1" xfId="1" applyNumberFormat="1" applyFont="1" applyBorder="1" applyAlignment="1" applyProtection="1">
      <alignment horizontal="right" vertical="center"/>
    </xf>
    <xf numFmtId="38" fontId="0" fillId="0" borderId="1" xfId="1" applyFont="1" applyBorder="1" applyAlignment="1" applyProtection="1">
      <alignment horizontal="right" vertical="center"/>
    </xf>
    <xf numFmtId="189" fontId="0" fillId="0" borderId="1" xfId="0" applyNumberFormat="1" applyBorder="1" applyAlignment="1">
      <alignment horizontal="right" vertical="center"/>
    </xf>
    <xf numFmtId="38" fontId="0" fillId="2" borderId="1" xfId="1" applyFont="1" applyFill="1" applyBorder="1" applyAlignment="1" applyProtection="1">
      <alignment horizontal="right"/>
      <protection locked="0"/>
    </xf>
    <xf numFmtId="38" fontId="0" fillId="0" borderId="1" xfId="1" applyFont="1" applyFill="1" applyBorder="1" applyAlignment="1" applyProtection="1">
      <alignment horizontal="right"/>
      <protection locked="0"/>
    </xf>
    <xf numFmtId="189" fontId="0" fillId="0" borderId="1" xfId="0" applyNumberFormat="1" applyBorder="1"/>
    <xf numFmtId="188" fontId="0" fillId="0" borderId="0" xfId="0" applyNumberFormat="1"/>
    <xf numFmtId="190" fontId="0" fillId="0" borderId="1" xfId="0" applyNumberFormat="1" applyBorder="1" applyAlignment="1">
      <alignment horizontal="right" vertical="center" shrinkToFit="1"/>
    </xf>
    <xf numFmtId="190" fontId="0" fillId="0" borderId="17" xfId="0" applyNumberFormat="1" applyBorder="1" applyAlignment="1">
      <alignment horizontal="right" vertical="center" shrinkToFit="1"/>
    </xf>
    <xf numFmtId="190" fontId="0" fillId="0" borderId="1" xfId="1" applyNumberFormat="1" applyFont="1" applyBorder="1" applyAlignment="1">
      <alignment horizontal="right" vertical="center" shrinkToFit="1"/>
    </xf>
    <xf numFmtId="190" fontId="0" fillId="0" borderId="1" xfId="1" applyNumberFormat="1" applyFont="1" applyBorder="1" applyAlignment="1" applyProtection="1">
      <alignment horizontal="right" vertical="center" shrinkToFit="1"/>
    </xf>
    <xf numFmtId="186" fontId="0" fillId="0" borderId="1" xfId="1" applyNumberFormat="1" applyFont="1" applyBorder="1" applyAlignment="1">
      <alignment horizontal="right" vertical="center" shrinkToFit="1"/>
    </xf>
    <xf numFmtId="186" fontId="0" fillId="0" borderId="1" xfId="0" applyNumberFormat="1" applyBorder="1" applyAlignment="1">
      <alignment horizontal="right" vertical="center" shrinkToFit="1"/>
    </xf>
    <xf numFmtId="186" fontId="0" fillId="0" borderId="1" xfId="1" applyNumberFormat="1" applyFont="1" applyBorder="1" applyAlignment="1" applyProtection="1">
      <alignment horizontal="right" vertical="center" shrinkToFit="1"/>
    </xf>
    <xf numFmtId="0" fontId="6" fillId="10" borderId="1" xfId="3" applyFill="1" applyBorder="1" applyAlignment="1">
      <alignment horizontal="center" vertical="center"/>
    </xf>
    <xf numFmtId="0" fontId="6" fillId="10" borderId="1" xfId="3" applyFill="1" applyBorder="1">
      <alignment vertical="center"/>
    </xf>
    <xf numFmtId="192" fontId="0" fillId="0" borderId="1" xfId="1" applyNumberFormat="1" applyFont="1" applyBorder="1" applyAlignment="1" applyProtection="1">
      <alignment horizontal="right" vertical="center"/>
    </xf>
    <xf numFmtId="192" fontId="0" fillId="0" borderId="1" xfId="1" applyNumberFormat="1" applyFont="1" applyBorder="1" applyAlignment="1" applyProtection="1"/>
    <xf numFmtId="188" fontId="0" fillId="0" borderId="1" xfId="1" applyNumberFormat="1" applyFont="1" applyBorder="1" applyAlignment="1" applyProtection="1">
      <alignment horizontal="right" vertical="center"/>
    </xf>
    <xf numFmtId="188" fontId="0" fillId="11" borderId="1" xfId="1" applyNumberFormat="1" applyFont="1" applyFill="1" applyBorder="1" applyAlignment="1" applyProtection="1">
      <alignment horizontal="right" vertical="center"/>
    </xf>
    <xf numFmtId="0" fontId="0" fillId="10" borderId="2" xfId="0" applyFill="1" applyBorder="1" applyAlignment="1">
      <alignment horizontal="center"/>
    </xf>
    <xf numFmtId="0" fontId="0" fillId="0" borderId="0" xfId="0" applyAlignment="1" applyProtection="1">
      <alignment vertical="center"/>
      <protection locked="0"/>
    </xf>
    <xf numFmtId="0" fontId="0" fillId="0" borderId="0" xfId="0" applyAlignment="1">
      <alignment horizontal="right"/>
    </xf>
    <xf numFmtId="188" fontId="0" fillId="0" borderId="1" xfId="0" applyNumberFormat="1" applyBorder="1" applyAlignment="1">
      <alignment horizontal="right" vertical="center"/>
    </xf>
    <xf numFmtId="193" fontId="0" fillId="0" borderId="1" xfId="0" applyNumberFormat="1" applyBorder="1" applyAlignment="1">
      <alignment horizontal="right" vertical="center"/>
    </xf>
    <xf numFmtId="201" fontId="0" fillId="0" borderId="37" xfId="0" applyNumberFormat="1" applyBorder="1" applyAlignment="1">
      <alignment horizontal="right" vertical="center"/>
    </xf>
    <xf numFmtId="1" fontId="0" fillId="0" borderId="1" xfId="0" applyNumberFormat="1" applyBorder="1" applyAlignment="1">
      <alignment horizontal="right" vertical="center"/>
    </xf>
    <xf numFmtId="194" fontId="0" fillId="0" borderId="1" xfId="0" applyNumberFormat="1" applyBorder="1" applyAlignment="1">
      <alignment horizontal="right" vertical="center"/>
    </xf>
    <xf numFmtId="196" fontId="0" fillId="0" borderId="1" xfId="1" applyNumberFormat="1" applyFont="1" applyBorder="1" applyAlignment="1" applyProtection="1">
      <alignment horizontal="right" vertical="center"/>
    </xf>
    <xf numFmtId="196" fontId="0" fillId="0" borderId="1" xfId="0" applyNumberFormat="1" applyBorder="1" applyAlignment="1">
      <alignment horizontal="right"/>
    </xf>
    <xf numFmtId="38" fontId="0" fillId="0" borderId="1" xfId="1" applyFont="1" applyFill="1" applyBorder="1" applyAlignment="1" applyProtection="1">
      <protection locked="0"/>
    </xf>
    <xf numFmtId="196" fontId="0" fillId="0" borderId="1" xfId="0" applyNumberFormat="1" applyBorder="1"/>
    <xf numFmtId="188" fontId="0" fillId="0" borderId="1" xfId="0" applyNumberFormat="1" applyBorder="1"/>
    <xf numFmtId="0" fontId="0" fillId="0" borderId="1" xfId="0" applyBorder="1" applyProtection="1">
      <protection locked="0"/>
    </xf>
    <xf numFmtId="193" fontId="0" fillId="0" borderId="0" xfId="0" applyNumberFormat="1"/>
    <xf numFmtId="183" fontId="0" fillId="0" borderId="1" xfId="1" applyNumberFormat="1" applyFont="1" applyBorder="1" applyAlignment="1">
      <alignment horizontal="right" vertical="center" shrinkToFit="1"/>
    </xf>
    <xf numFmtId="187" fontId="0" fillId="11" borderId="1" xfId="0" applyNumberFormat="1" applyFill="1" applyBorder="1" applyAlignment="1">
      <alignment horizontal="right" vertical="center" wrapText="1"/>
    </xf>
    <xf numFmtId="38" fontId="0" fillId="0" borderId="1" xfId="1" applyFont="1" applyBorder="1" applyAlignment="1">
      <alignment horizontal="center" vertical="center" shrinkToFit="1"/>
    </xf>
    <xf numFmtId="38" fontId="0" fillId="0" borderId="1" xfId="1" applyFont="1" applyBorder="1" applyAlignment="1">
      <alignment horizontal="center" vertical="center"/>
    </xf>
    <xf numFmtId="0" fontId="47" fillId="0" borderId="1" xfId="0" applyFont="1" applyBorder="1"/>
    <xf numFmtId="0" fontId="0" fillId="10" borderId="1" xfId="0" applyFill="1" applyBorder="1" applyAlignment="1">
      <alignment horizontal="center" shrinkToFit="1"/>
    </xf>
    <xf numFmtId="0" fontId="0" fillId="0" borderId="37" xfId="0" applyBorder="1" applyAlignment="1">
      <alignment shrinkToFit="1"/>
    </xf>
    <xf numFmtId="0" fontId="0" fillId="0" borderId="37" xfId="0" applyBorder="1" applyAlignment="1">
      <alignment horizontal="center" shrinkToFit="1"/>
    </xf>
    <xf numFmtId="0" fontId="0" fillId="0" borderId="50" xfId="0" applyBorder="1"/>
    <xf numFmtId="9" fontId="0" fillId="0" borderId="37" xfId="0" applyNumberFormat="1" applyBorder="1" applyAlignment="1">
      <alignment horizontal="center" shrinkToFit="1"/>
    </xf>
    <xf numFmtId="187" fontId="0" fillId="0" borderId="1" xfId="0" applyNumberFormat="1" applyBorder="1" applyAlignment="1">
      <alignment horizontal="right" shrinkToFit="1"/>
    </xf>
    <xf numFmtId="184" fontId="0" fillId="0" borderId="37" xfId="0" applyNumberFormat="1" applyBorder="1" applyAlignment="1">
      <alignment horizontal="center" shrinkToFit="1"/>
    </xf>
    <xf numFmtId="188" fontId="0" fillId="0" borderId="1" xfId="0" applyNumberFormat="1" applyBorder="1" applyAlignment="1">
      <alignment horizontal="right" shrinkToFit="1"/>
    </xf>
    <xf numFmtId="0" fontId="0" fillId="0" borderId="1" xfId="0" applyBorder="1" applyAlignment="1">
      <alignment vertical="center" shrinkToFit="1"/>
    </xf>
    <xf numFmtId="9" fontId="0" fillId="0" borderId="1" xfId="0" applyNumberFormat="1" applyBorder="1" applyAlignment="1">
      <alignment horizontal="center" vertical="center" shrinkToFit="1"/>
    </xf>
    <xf numFmtId="197" fontId="0" fillId="2" borderId="1" xfId="0" applyNumberFormat="1" applyFill="1" applyBorder="1" applyAlignment="1" applyProtection="1">
      <alignment vertical="center" shrinkToFit="1"/>
      <protection locked="0"/>
    </xf>
    <xf numFmtId="0" fontId="0" fillId="5" borderId="1" xfId="0" applyFill="1" applyBorder="1" applyAlignment="1" applyProtection="1">
      <alignment horizontal="left"/>
      <protection locked="0"/>
    </xf>
    <xf numFmtId="193" fontId="0" fillId="0" borderId="1" xfId="0" applyNumberFormat="1" applyBorder="1" applyAlignment="1">
      <alignment shrinkToFit="1"/>
    </xf>
    <xf numFmtId="187" fontId="0" fillId="0" borderId="1" xfId="0" applyNumberFormat="1" applyBorder="1" applyAlignment="1">
      <alignment shrinkToFit="1"/>
    </xf>
    <xf numFmtId="9" fontId="0" fillId="0" borderId="1" xfId="0" applyNumberFormat="1" applyBorder="1" applyAlignment="1">
      <alignment shrinkToFit="1"/>
    </xf>
    <xf numFmtId="188" fontId="0" fillId="0" borderId="1" xfId="0" applyNumberFormat="1" applyBorder="1" applyAlignment="1">
      <alignment shrinkToFit="1"/>
    </xf>
    <xf numFmtId="0" fontId="0" fillId="0" borderId="0" xfId="0" applyAlignment="1" applyProtection="1">
      <alignment horizontal="center"/>
      <protection locked="0"/>
    </xf>
    <xf numFmtId="0" fontId="47" fillId="0" borderId="0" xfId="0" applyFont="1"/>
    <xf numFmtId="188" fontId="0" fillId="11" borderId="1" xfId="0" applyNumberFormat="1" applyFill="1" applyBorder="1" applyAlignment="1">
      <alignment horizontal="right" vertical="center"/>
    </xf>
    <xf numFmtId="0" fontId="0" fillId="0" borderId="1" xfId="0" applyBorder="1" applyAlignment="1">
      <alignment horizontal="center" shrinkToFit="1"/>
    </xf>
    <xf numFmtId="0" fontId="0" fillId="10" borderId="4" xfId="0" applyFill="1" applyBorder="1" applyAlignment="1">
      <alignment horizontal="left" vertical="center"/>
    </xf>
    <xf numFmtId="38" fontId="0" fillId="0" borderId="4" xfId="1" applyFont="1" applyBorder="1" applyAlignment="1" applyProtection="1">
      <alignment horizontal="right" vertical="center"/>
    </xf>
    <xf numFmtId="187" fontId="0" fillId="0" borderId="4" xfId="0" applyNumberFormat="1" applyBorder="1" applyAlignment="1">
      <alignment horizontal="right" vertical="center"/>
    </xf>
    <xf numFmtId="189" fontId="0" fillId="0" borderId="4" xfId="0" applyNumberFormat="1" applyBorder="1" applyAlignment="1">
      <alignment horizontal="right" vertical="center"/>
    </xf>
    <xf numFmtId="192" fontId="0" fillId="0" borderId="4" xfId="1" applyNumberFormat="1" applyFont="1" applyBorder="1" applyAlignment="1" applyProtection="1">
      <alignment horizontal="right" vertical="center"/>
    </xf>
    <xf numFmtId="188" fontId="0" fillId="0" borderId="4" xfId="0" applyNumberFormat="1" applyBorder="1" applyAlignment="1">
      <alignment horizontal="right" vertical="center"/>
    </xf>
    <xf numFmtId="197" fontId="0" fillId="5" borderId="1" xfId="0" applyNumberFormat="1" applyFill="1" applyBorder="1" applyAlignment="1" applyProtection="1">
      <alignment horizontal="center"/>
      <protection locked="0"/>
    </xf>
    <xf numFmtId="0" fontId="45" fillId="2" borderId="1" xfId="0" applyFont="1" applyFill="1" applyBorder="1" applyProtection="1">
      <protection locked="0"/>
    </xf>
    <xf numFmtId="0" fontId="0" fillId="0" borderId="3" xfId="0" applyBorder="1" applyProtection="1">
      <protection locked="0"/>
    </xf>
    <xf numFmtId="2" fontId="0" fillId="2" borderId="1" xfId="0" applyNumberFormat="1" applyFill="1" applyBorder="1" applyAlignment="1" applyProtection="1">
      <alignment shrinkToFit="1"/>
      <protection locked="0"/>
    </xf>
    <xf numFmtId="0" fontId="46" fillId="2" borderId="1" xfId="0" applyFont="1" applyFill="1" applyBorder="1" applyProtection="1">
      <protection locked="0"/>
    </xf>
    <xf numFmtId="38" fontId="0" fillId="0" borderId="0" xfId="1" applyFont="1" applyFill="1" applyBorder="1" applyAlignment="1"/>
    <xf numFmtId="0" fontId="0" fillId="0" borderId="0" xfId="0" applyAlignment="1">
      <alignment horizontal="left" vertical="center"/>
    </xf>
    <xf numFmtId="192" fontId="0" fillId="0" borderId="1" xfId="1" applyNumberFormat="1" applyFont="1" applyBorder="1" applyAlignment="1">
      <alignment vertical="center"/>
    </xf>
    <xf numFmtId="192" fontId="0" fillId="0" borderId="1" xfId="1" applyNumberFormat="1" applyFont="1" applyBorder="1" applyAlignment="1">
      <alignment vertical="center" wrapText="1"/>
    </xf>
    <xf numFmtId="188" fontId="0" fillId="0" borderId="1" xfId="0" applyNumberFormat="1" applyBorder="1" applyAlignment="1">
      <alignment vertical="center"/>
    </xf>
    <xf numFmtId="188" fontId="0" fillId="11" borderId="1" xfId="0" applyNumberFormat="1" applyFill="1" applyBorder="1" applyAlignment="1">
      <alignment vertical="center" wrapText="1"/>
    </xf>
    <xf numFmtId="0" fontId="0" fillId="0" borderId="0" xfId="0" applyAlignment="1">
      <alignment horizontal="center" vertical="top"/>
    </xf>
    <xf numFmtId="188" fontId="0" fillId="0" borderId="1" xfId="1" applyNumberFormat="1" applyFont="1" applyBorder="1" applyAlignment="1" applyProtection="1">
      <alignment vertical="center"/>
    </xf>
    <xf numFmtId="0" fontId="46" fillId="0" borderId="30" xfId="0" applyFont="1" applyBorder="1" applyAlignment="1">
      <alignment wrapText="1" shrinkToFit="1"/>
    </xf>
    <xf numFmtId="0" fontId="0" fillId="0" borderId="30" xfId="0" applyBorder="1" applyAlignment="1">
      <alignment horizontal="right" shrinkToFit="1"/>
    </xf>
    <xf numFmtId="0" fontId="0" fillId="0" borderId="30" xfId="0" applyBorder="1" applyAlignment="1">
      <alignment shrinkToFit="1"/>
    </xf>
    <xf numFmtId="202" fontId="0" fillId="11" borderId="1" xfId="1" applyNumberFormat="1" applyFont="1" applyFill="1" applyBorder="1" applyAlignment="1" applyProtection="1">
      <alignment vertical="center"/>
    </xf>
    <xf numFmtId="202" fontId="0" fillId="2" borderId="1" xfId="1" applyNumberFormat="1" applyFont="1" applyFill="1" applyBorder="1" applyAlignment="1" applyProtection="1">
      <protection locked="0"/>
    </xf>
    <xf numFmtId="0" fontId="0" fillId="10" borderId="3" xfId="0" applyFill="1" applyBorder="1" applyAlignment="1">
      <alignment horizontal="center"/>
    </xf>
    <xf numFmtId="38" fontId="0" fillId="0" borderId="2" xfId="1" applyFont="1" applyBorder="1" applyAlignment="1" applyProtection="1">
      <alignment horizontal="center" vertical="center"/>
    </xf>
    <xf numFmtId="188" fontId="0" fillId="0" borderId="2" xfId="1" applyNumberFormat="1" applyFont="1" applyBorder="1" applyAlignment="1" applyProtection="1"/>
    <xf numFmtId="0" fontId="0" fillId="10" borderId="1" xfId="0" applyFill="1" applyBorder="1" applyAlignment="1">
      <alignment horizontal="center" vertical="top"/>
    </xf>
    <xf numFmtId="0" fontId="0" fillId="10" borderId="2" xfId="0" applyFill="1" applyBorder="1" applyAlignment="1">
      <alignment horizontal="center" vertical="center"/>
    </xf>
    <xf numFmtId="38" fontId="0" fillId="0" borderId="2" xfId="0" applyNumberFormat="1" applyBorder="1" applyAlignment="1">
      <alignment vertical="center"/>
    </xf>
    <xf numFmtId="187" fontId="0" fillId="0" borderId="2" xfId="0" applyNumberFormat="1" applyBorder="1" applyAlignment="1">
      <alignment vertical="center"/>
    </xf>
    <xf numFmtId="38" fontId="0" fillId="17" borderId="1" xfId="1" applyFont="1" applyFill="1" applyBorder="1" applyAlignment="1" applyProtection="1">
      <protection locked="0"/>
    </xf>
    <xf numFmtId="38" fontId="0" fillId="17" borderId="1" xfId="1" applyFont="1" applyFill="1" applyBorder="1" applyAlignment="1" applyProtection="1">
      <alignment horizontal="right"/>
      <protection locked="0"/>
    </xf>
    <xf numFmtId="9" fontId="0" fillId="10" borderId="1" xfId="2" applyFont="1" applyFill="1" applyBorder="1" applyAlignment="1" applyProtection="1">
      <alignment horizontal="center" vertical="center"/>
    </xf>
    <xf numFmtId="9" fontId="0" fillId="0" borderId="1" xfId="2" applyFont="1" applyBorder="1" applyAlignment="1" applyProtection="1">
      <alignment vertical="center"/>
    </xf>
    <xf numFmtId="9" fontId="0" fillId="0" borderId="1" xfId="2" applyFont="1" applyBorder="1" applyAlignment="1" applyProtection="1">
      <alignment horizontal="center" vertical="center"/>
    </xf>
    <xf numFmtId="9" fontId="0" fillId="0" borderId="1" xfId="2" applyFont="1" applyBorder="1" applyAlignment="1" applyProtection="1"/>
    <xf numFmtId="202" fontId="46" fillId="12" borderId="1" xfId="1" applyNumberFormat="1" applyFont="1" applyFill="1" applyBorder="1" applyAlignment="1" applyProtection="1">
      <alignment horizontal="right"/>
    </xf>
    <xf numFmtId="202" fontId="0" fillId="0" borderId="37" xfId="1" applyNumberFormat="1" applyFont="1" applyBorder="1" applyAlignment="1" applyProtection="1"/>
    <xf numFmtId="202" fontId="0" fillId="0" borderId="37" xfId="1" applyNumberFormat="1" applyFont="1" applyBorder="1" applyAlignment="1" applyProtection="1">
      <alignment horizontal="center"/>
    </xf>
    <xf numFmtId="192" fontId="0" fillId="0" borderId="1" xfId="1" applyNumberFormat="1" applyFont="1" applyBorder="1" applyAlignment="1" applyProtection="1">
      <alignment horizontal="right"/>
    </xf>
    <xf numFmtId="0" fontId="0" fillId="0" borderId="30" xfId="0" applyBorder="1"/>
    <xf numFmtId="0" fontId="0" fillId="0" borderId="8" xfId="0" applyBorder="1" applyAlignment="1">
      <alignment wrapText="1"/>
    </xf>
    <xf numFmtId="176" fontId="0" fillId="0" borderId="8" xfId="0" applyNumberFormat="1" applyBorder="1"/>
    <xf numFmtId="0" fontId="0" fillId="0" borderId="8" xfId="0" applyBorder="1" applyAlignment="1">
      <alignment horizontal="right"/>
    </xf>
    <xf numFmtId="38" fontId="0" fillId="0" borderId="8" xfId="1" applyFont="1" applyFill="1" applyBorder="1" applyAlignment="1" applyProtection="1">
      <alignment horizontal="right"/>
    </xf>
    <xf numFmtId="187" fontId="0" fillId="0" borderId="8" xfId="0" applyNumberFormat="1" applyBorder="1" applyAlignment="1">
      <alignment horizontal="right"/>
    </xf>
    <xf numFmtId="38" fontId="45" fillId="0" borderId="8" xfId="1" applyFont="1" applyFill="1" applyBorder="1" applyAlignment="1" applyProtection="1">
      <alignment horizontal="center"/>
    </xf>
    <xf numFmtId="38" fontId="0" fillId="0" borderId="8" xfId="1" applyFont="1" applyFill="1" applyBorder="1" applyAlignment="1" applyProtection="1"/>
    <xf numFmtId="38" fontId="0" fillId="0" borderId="0" xfId="1" applyFont="1" applyFill="1" applyBorder="1" applyAlignment="1" applyProtection="1"/>
    <xf numFmtId="189" fontId="0" fillId="0" borderId="0" xfId="0" applyNumberFormat="1" applyAlignment="1">
      <alignment horizontal="righ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45" xfId="0" applyBorder="1" applyAlignment="1">
      <alignment horizontal="center"/>
    </xf>
    <xf numFmtId="0" fontId="0" fillId="0" borderId="3"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10" borderId="5" xfId="0" applyFill="1" applyBorder="1" applyAlignment="1">
      <alignment horizontal="center" vertical="center"/>
    </xf>
    <xf numFmtId="0" fontId="0" fillId="10" borderId="4" xfId="0" applyFill="1" applyBorder="1" applyAlignment="1">
      <alignment horizontal="center" vertical="center"/>
    </xf>
    <xf numFmtId="0" fontId="0" fillId="14" borderId="0" xfId="0" applyFill="1" applyAlignment="1">
      <alignment horizontal="center"/>
    </xf>
    <xf numFmtId="0" fontId="0" fillId="10" borderId="5" xfId="0" applyFill="1" applyBorder="1" applyAlignment="1">
      <alignment horizontal="center" vertical="center" wrapText="1"/>
    </xf>
    <xf numFmtId="0" fontId="0" fillId="10" borderId="6" xfId="0" applyFill="1" applyBorder="1" applyAlignment="1">
      <alignment horizontal="center" vertical="center" wrapText="1"/>
    </xf>
    <xf numFmtId="0" fontId="0" fillId="10" borderId="4" xfId="0" applyFill="1" applyBorder="1" applyAlignment="1">
      <alignment horizontal="center" vertical="center" wrapText="1"/>
    </xf>
    <xf numFmtId="0" fontId="0" fillId="0" borderId="1" xfId="0"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0" borderId="7" xfId="0" applyBorder="1" applyAlignment="1">
      <alignment horizontal="center"/>
    </xf>
    <xf numFmtId="0" fontId="0" fillId="10" borderId="10" xfId="0" applyFill="1" applyBorder="1" applyAlignment="1">
      <alignment horizontal="left" vertical="top"/>
    </xf>
    <xf numFmtId="0" fontId="0" fillId="10" borderId="9" xfId="0" applyFill="1" applyBorder="1" applyAlignment="1">
      <alignment horizontal="left" vertical="top"/>
    </xf>
    <xf numFmtId="0" fontId="0" fillId="10" borderId="27" xfId="0" applyFill="1" applyBorder="1" applyAlignment="1">
      <alignment horizontal="left" vertical="top"/>
    </xf>
    <xf numFmtId="0" fontId="0" fillId="10" borderId="36" xfId="0" applyFill="1" applyBorder="1" applyAlignment="1">
      <alignment horizontal="left" vertical="top"/>
    </xf>
    <xf numFmtId="0" fontId="39" fillId="0" borderId="7" xfId="0" applyFont="1" applyBorder="1" applyAlignment="1">
      <alignment horizontal="center"/>
    </xf>
    <xf numFmtId="0" fontId="0" fillId="10" borderId="8" xfId="0" applyFill="1" applyBorder="1" applyAlignment="1">
      <alignment horizontal="left" vertical="top"/>
    </xf>
    <xf numFmtId="0" fontId="0" fillId="10" borderId="34" xfId="0" applyFill="1" applyBorder="1" applyAlignment="1">
      <alignment horizontal="left" vertical="top"/>
    </xf>
    <xf numFmtId="0" fontId="0" fillId="10" borderId="2" xfId="0" applyFill="1" applyBorder="1" applyAlignment="1">
      <alignment horizontal="center"/>
    </xf>
    <xf numFmtId="0" fontId="0" fillId="10" borderId="3" xfId="0" applyFill="1" applyBorder="1" applyAlignment="1">
      <alignment horizontal="center"/>
    </xf>
    <xf numFmtId="0" fontId="46" fillId="0" borderId="2" xfId="0" applyFont="1" applyBorder="1" applyAlignment="1">
      <alignment horizontal="center" shrinkToFit="1"/>
    </xf>
    <xf numFmtId="0" fontId="46" fillId="0" borderId="3" xfId="0" applyFont="1" applyBorder="1" applyAlignment="1">
      <alignment horizontal="center" shrinkToFit="1"/>
    </xf>
    <xf numFmtId="0" fontId="46" fillId="0" borderId="2" xfId="0" applyFont="1" applyBorder="1" applyAlignment="1">
      <alignment horizontal="center"/>
    </xf>
    <xf numFmtId="0" fontId="46" fillId="0" borderId="3" xfId="0" applyFont="1" applyBorder="1" applyAlignment="1">
      <alignment horizontal="center"/>
    </xf>
    <xf numFmtId="0" fontId="0" fillId="10" borderId="7" xfId="0" applyFill="1" applyBorder="1" applyAlignment="1">
      <alignment horizontal="center"/>
    </xf>
    <xf numFmtId="0" fontId="0" fillId="0" borderId="2" xfId="0" applyBorder="1" applyAlignment="1">
      <alignment horizontal="center"/>
    </xf>
    <xf numFmtId="0" fontId="0" fillId="2" borderId="1" xfId="0" applyFill="1" applyBorder="1" applyAlignment="1" applyProtection="1">
      <alignment horizontal="center" shrinkToFit="1"/>
      <protection locked="0"/>
    </xf>
    <xf numFmtId="0" fontId="0" fillId="10" borderId="1" xfId="0" applyFill="1" applyBorder="1" applyAlignment="1">
      <alignment horizontal="center" vertical="top"/>
    </xf>
    <xf numFmtId="0" fontId="0" fillId="2" borderId="1" xfId="0" applyFill="1" applyBorder="1" applyAlignment="1" applyProtection="1">
      <alignment horizontal="center" vertical="top" wrapText="1"/>
      <protection locked="0"/>
    </xf>
    <xf numFmtId="0" fontId="0" fillId="10" borderId="2" xfId="0" applyFill="1" applyBorder="1" applyAlignment="1">
      <alignment horizontal="center" vertical="top"/>
    </xf>
    <xf numFmtId="0" fontId="0" fillId="10" borderId="7" xfId="0" applyFill="1" applyBorder="1" applyAlignment="1">
      <alignment horizontal="center" vertical="top"/>
    </xf>
    <xf numFmtId="0" fontId="0" fillId="10" borderId="3" xfId="0" applyFill="1"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top"/>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top" shrinkToFit="1"/>
    </xf>
    <xf numFmtId="0" fontId="0" fillId="10" borderId="3" xfId="0" applyFill="1" applyBorder="1" applyAlignment="1">
      <alignment horizontal="center" vertical="top" shrinkToFit="1"/>
    </xf>
    <xf numFmtId="38" fontId="0" fillId="0" borderId="2" xfId="1" applyFont="1" applyBorder="1" applyAlignment="1" applyProtection="1">
      <alignment horizontal="center" vertical="center"/>
    </xf>
    <xf numFmtId="38" fontId="0" fillId="0" borderId="3" xfId="1" applyFont="1" applyBorder="1" applyAlignment="1" applyProtection="1">
      <alignment horizontal="center" vertical="center"/>
    </xf>
    <xf numFmtId="188" fontId="0" fillId="0" borderId="2" xfId="1" applyNumberFormat="1" applyFont="1" applyBorder="1" applyAlignment="1" applyProtection="1"/>
    <xf numFmtId="188" fontId="0" fillId="0" borderId="3" xfId="1" applyNumberFormat="1" applyFont="1" applyBorder="1" applyAlignment="1" applyProtection="1"/>
    <xf numFmtId="38" fontId="0" fillId="0" borderId="2" xfId="0" applyNumberFormat="1" applyBorder="1" applyAlignment="1">
      <alignment vertical="center"/>
    </xf>
    <xf numFmtId="38" fontId="0" fillId="0" borderId="3" xfId="0" applyNumberFormat="1" applyBorder="1" applyAlignment="1">
      <alignment vertical="center"/>
    </xf>
    <xf numFmtId="187" fontId="0" fillId="0" borderId="2" xfId="0" applyNumberFormat="1" applyBorder="1" applyAlignment="1">
      <alignment vertical="center"/>
    </xf>
    <xf numFmtId="187" fontId="0" fillId="0" borderId="3" xfId="0" applyNumberFormat="1" applyBorder="1" applyAlignment="1">
      <alignment vertical="center"/>
    </xf>
    <xf numFmtId="0" fontId="0" fillId="2" borderId="2" xfId="0" applyFill="1" applyBorder="1" applyAlignment="1" applyProtection="1">
      <alignment horizontal="center" vertical="top"/>
      <protection locked="0"/>
    </xf>
    <xf numFmtId="0" fontId="0" fillId="2" borderId="7" xfId="0" applyFill="1" applyBorder="1" applyAlignment="1" applyProtection="1">
      <alignment horizontal="center" vertical="top"/>
      <protection locked="0"/>
    </xf>
    <xf numFmtId="0" fontId="0" fillId="2" borderId="3" xfId="0" applyFill="1" applyBorder="1" applyAlignment="1" applyProtection="1">
      <alignment horizontal="center" vertical="top"/>
      <protection locked="0"/>
    </xf>
    <xf numFmtId="0" fontId="0" fillId="10" borderId="1" xfId="0" applyFill="1" applyBorder="1" applyAlignment="1">
      <alignment horizontal="center"/>
    </xf>
    <xf numFmtId="0" fontId="0" fillId="10" borderId="2" xfId="0" applyFill="1" applyBorder="1" applyAlignment="1">
      <alignment horizontal="center" vertical="top" wrapText="1"/>
    </xf>
    <xf numFmtId="0" fontId="0" fillId="10" borderId="3" xfId="0" applyFill="1" applyBorder="1" applyAlignment="1">
      <alignment horizontal="center" vertical="top" wrapText="1"/>
    </xf>
    <xf numFmtId="0" fontId="0" fillId="10" borderId="2" xfId="0" applyFill="1" applyBorder="1" applyAlignment="1">
      <alignment horizontal="center" shrinkToFit="1"/>
    </xf>
    <xf numFmtId="0" fontId="0" fillId="10" borderId="3" xfId="0" applyFill="1" applyBorder="1" applyAlignment="1">
      <alignment horizontal="center" shrinkToFi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10" borderId="27" xfId="0" applyFill="1" applyBorder="1" applyAlignment="1">
      <alignment horizontal="center" shrinkToFit="1"/>
    </xf>
    <xf numFmtId="0" fontId="0" fillId="10" borderId="36" xfId="0" applyFill="1" applyBorder="1" applyAlignment="1">
      <alignment horizontal="center" shrinkToFit="1"/>
    </xf>
    <xf numFmtId="0" fontId="0" fillId="10" borderId="1" xfId="0" applyFill="1" applyBorder="1" applyAlignment="1">
      <alignment horizontal="center" vertical="center"/>
    </xf>
    <xf numFmtId="0" fontId="0" fillId="0" borderId="1" xfId="0" applyBorder="1" applyAlignment="1">
      <alignment horizontal="right"/>
    </xf>
    <xf numFmtId="0" fontId="0" fillId="10" borderId="10" xfId="0" applyFill="1" applyBorder="1" applyAlignment="1">
      <alignment horizontal="center" vertical="center"/>
    </xf>
    <xf numFmtId="0" fontId="0" fillId="10" borderId="9" xfId="0" applyFill="1" applyBorder="1" applyAlignment="1">
      <alignment horizontal="center" vertical="center"/>
    </xf>
    <xf numFmtId="0" fontId="0" fillId="10" borderId="27" xfId="0" applyFill="1" applyBorder="1" applyAlignment="1">
      <alignment horizontal="center" vertical="center"/>
    </xf>
    <xf numFmtId="0" fontId="0" fillId="10" borderId="36" xfId="0" applyFill="1" applyBorder="1" applyAlignment="1">
      <alignment horizontal="center" vertical="center"/>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2" borderId="2" xfId="0" applyFill="1" applyBorder="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0" fillId="2" borderId="3" xfId="0" applyFill="1" applyBorder="1" applyAlignment="1" applyProtection="1">
      <alignment horizontal="center" shrinkToFit="1"/>
      <protection locked="0"/>
    </xf>
    <xf numFmtId="0" fontId="0" fillId="0" borderId="1" xfId="0" applyBorder="1" applyAlignment="1">
      <alignment horizontal="center"/>
    </xf>
    <xf numFmtId="0" fontId="0" fillId="0" borderId="2" xfId="0" applyBorder="1" applyAlignment="1">
      <alignment horizontal="center" shrinkToFit="1"/>
    </xf>
    <xf numFmtId="0" fontId="0" fillId="0" borderId="3" xfId="0" applyBorder="1" applyAlignment="1">
      <alignment horizontal="center" shrinkToFit="1"/>
    </xf>
    <xf numFmtId="0" fontId="0" fillId="0" borderId="39" xfId="0" applyBorder="1" applyAlignment="1">
      <alignment horizontal="center"/>
    </xf>
    <xf numFmtId="0" fontId="0" fillId="0" borderId="40" xfId="0" applyBorder="1" applyAlignment="1">
      <alignment horizontal="center"/>
    </xf>
    <xf numFmtId="0" fontId="19" fillId="0" borderId="30" xfId="0" applyFont="1" applyBorder="1" applyAlignment="1">
      <alignment horizontal="center" vertical="center" textRotation="255" shrinkToFit="1"/>
    </xf>
    <xf numFmtId="0" fontId="0" fillId="10" borderId="7" xfId="0"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10" borderId="2" xfId="0" applyFill="1" applyBorder="1" applyAlignment="1">
      <alignment horizontal="center" vertical="center" shrinkToFit="1"/>
    </xf>
    <xf numFmtId="0" fontId="0" fillId="10" borderId="3" xfId="0" applyFill="1" applyBorder="1" applyAlignment="1">
      <alignment horizontal="center" vertical="center" shrinkToFit="1"/>
    </xf>
    <xf numFmtId="0" fontId="26" fillId="0" borderId="27" xfId="9" applyFont="1" applyBorder="1" applyAlignment="1">
      <alignment horizontal="center" vertical="center" textRotation="255" wrapText="1"/>
    </xf>
    <xf numFmtId="0" fontId="26" fillId="0" borderId="1" xfId="9" applyFont="1" applyBorder="1" applyAlignment="1">
      <alignment horizontal="center" vertical="center" textRotation="255" wrapText="1"/>
    </xf>
    <xf numFmtId="0" fontId="2" fillId="0" borderId="0" xfId="9" applyAlignment="1">
      <alignment horizontal="left" vertical="center" wrapText="1"/>
    </xf>
    <xf numFmtId="0" fontId="36" fillId="0" borderId="0" xfId="9" applyFont="1" applyAlignment="1">
      <alignment horizontal="left" vertical="center"/>
    </xf>
    <xf numFmtId="0" fontId="36" fillId="0" borderId="0" xfId="9" applyFont="1" applyAlignment="1">
      <alignment horizontal="right" vertical="center" wrapText="1"/>
    </xf>
    <xf numFmtId="0" fontId="26" fillId="0" borderId="5" xfId="9" applyFont="1" applyBorder="1" applyAlignment="1">
      <alignment horizontal="center" vertical="center" textRotation="255" wrapText="1"/>
    </xf>
    <xf numFmtId="0" fontId="33" fillId="0" borderId="6" xfId="9" applyFont="1" applyBorder="1" applyAlignment="1">
      <alignment horizontal="center" vertical="center" textRotation="255" wrapText="1"/>
    </xf>
    <xf numFmtId="0" fontId="33" fillId="0" borderId="4" xfId="9" applyFont="1" applyBorder="1" applyAlignment="1">
      <alignment horizontal="center" vertical="center" textRotation="255" wrapText="1"/>
    </xf>
    <xf numFmtId="0" fontId="26" fillId="0" borderId="10" xfId="9" applyFont="1" applyBorder="1" applyAlignment="1">
      <alignment horizontal="center" vertical="center" textRotation="255" wrapText="1"/>
    </xf>
    <xf numFmtId="0" fontId="26" fillId="0" borderId="30" xfId="9" applyFont="1" applyBorder="1" applyAlignment="1">
      <alignment horizontal="center" vertical="center" textRotation="255" wrapText="1"/>
    </xf>
    <xf numFmtId="0" fontId="26" fillId="0" borderId="6" xfId="9" applyFont="1" applyBorder="1" applyAlignment="1">
      <alignment horizontal="center" vertical="center" textRotation="255" wrapText="1"/>
    </xf>
    <xf numFmtId="0" fontId="26" fillId="0" borderId="4" xfId="9" applyFont="1" applyBorder="1" applyAlignment="1">
      <alignment horizontal="center" vertical="center" textRotation="255" wrapText="1"/>
    </xf>
    <xf numFmtId="0" fontId="26" fillId="0" borderId="2" xfId="9" applyFont="1" applyBorder="1" applyAlignment="1">
      <alignment horizontal="center" vertical="center" textRotation="255" wrapText="1"/>
    </xf>
    <xf numFmtId="0" fontId="17" fillId="0" borderId="1" xfId="0" applyFont="1" applyBorder="1" applyAlignment="1">
      <alignment horizontal="left" vertical="top" wrapText="1"/>
    </xf>
    <xf numFmtId="0" fontId="0" fillId="0" borderId="1" xfId="0" applyBorder="1" applyAlignment="1">
      <alignment horizontal="center" vertical="top" wrapText="1"/>
    </xf>
    <xf numFmtId="38" fontId="0" fillId="0" borderId="1" xfId="1" applyFont="1" applyBorder="1" applyAlignment="1">
      <alignment vertical="center"/>
    </xf>
    <xf numFmtId="38" fontId="0" fillId="0" borderId="1" xfId="1" applyFont="1" applyBorder="1" applyAlignment="1">
      <alignment horizontal="center" vertical="center"/>
    </xf>
    <xf numFmtId="0" fontId="0" fillId="0" borderId="1" xfId="0" applyBorder="1" applyAlignment="1">
      <alignment horizontal="left" vertical="top" wrapText="1"/>
    </xf>
    <xf numFmtId="0" fontId="20" fillId="0" borderId="2" xfId="0" applyFont="1" applyBorder="1" applyAlignment="1">
      <alignment horizontal="center"/>
    </xf>
    <xf numFmtId="0" fontId="20" fillId="0" borderId="3" xfId="0" applyFont="1" applyBorder="1" applyAlignment="1">
      <alignment horizont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cellXfs>
  <cellStyles count="15">
    <cellStyle name="パーセント" xfId="2" builtinId="5"/>
    <cellStyle name="パーセント 2" xfId="7" xr:uid="{00000000-0005-0000-0000-000001000000}"/>
    <cellStyle name="パーセント 3" xfId="11" xr:uid="{00000000-0005-0000-0000-000002000000}"/>
    <cellStyle name="ハイパーリンク" xfId="8" builtinId="8"/>
    <cellStyle name="ハイパーリンク 2" xfId="12" xr:uid="{00000000-0005-0000-0000-000004000000}"/>
    <cellStyle name="桁区切り" xfId="1" builtinId="6"/>
    <cellStyle name="桁区切り 2" xfId="5" xr:uid="{00000000-0005-0000-0000-000006000000}"/>
    <cellStyle name="桁区切り 2 2" xfId="14" xr:uid="{00000000-0005-0000-0000-000007000000}"/>
    <cellStyle name="桁区切り 3" xfId="10" xr:uid="{00000000-0005-0000-0000-000008000000}"/>
    <cellStyle name="標準" xfId="0" builtinId="0"/>
    <cellStyle name="標準 2" xfId="3" xr:uid="{00000000-0005-0000-0000-00000A000000}"/>
    <cellStyle name="標準 3" xfId="9" xr:uid="{00000000-0005-0000-0000-00000B000000}"/>
    <cellStyle name="標準 3 2" xfId="13" xr:uid="{00000000-0005-0000-0000-00000C000000}"/>
    <cellStyle name="標準 5 8" xfId="4" xr:uid="{00000000-0005-0000-0000-00000D000000}"/>
    <cellStyle name="標準 7" xfId="6" xr:uid="{00000000-0005-0000-0000-00000E000000}"/>
  </cellStyles>
  <dxfs count="65">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FF00"/>
        </patternFill>
      </fill>
    </dxf>
    <dxf>
      <font>
        <b/>
        <i val="0"/>
        <color rgb="FF00B050"/>
      </font>
      <fill>
        <patternFill patternType="none">
          <bgColor auto="1"/>
        </patternFill>
      </fill>
    </dxf>
    <dxf>
      <font>
        <b/>
        <i val="0"/>
        <color rgb="FFFF0000"/>
      </font>
      <fill>
        <patternFill patternType="none">
          <bgColor auto="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ont>
        <color auto="1"/>
      </font>
      <fill>
        <patternFill>
          <bgColor rgb="FFFF9696"/>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9696"/>
        </patternFill>
      </fill>
    </dxf>
    <dxf>
      <fill>
        <patternFill>
          <bgColor rgb="FFFF4B4B"/>
        </patternFill>
      </fill>
    </dxf>
    <dxf>
      <fill>
        <patternFill>
          <bgColor rgb="FFFF4B4B"/>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rgb="FFFF4B4B"/>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bgColor rgb="FFFF4B4B"/>
        </patternFill>
      </fill>
    </dxf>
    <dxf>
      <fill>
        <patternFill>
          <bgColor rgb="FFFF4B4B"/>
        </patternFill>
      </fill>
    </dxf>
    <dxf>
      <fill>
        <patternFill>
          <bgColor rgb="FFFF9696"/>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rgb="FFFF4B4B"/>
        </patternFill>
      </fill>
    </dxf>
    <dxf>
      <font>
        <color auto="1"/>
      </font>
      <fill>
        <patternFill>
          <bgColor rgb="FFFF9696"/>
        </patternFill>
      </fill>
    </dxf>
    <dxf>
      <fill>
        <patternFill patternType="none">
          <bgColor auto="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主要エネルギー</a:t>
            </a:r>
            <a:r>
              <a:rPr lang="en-US" altLang="ja-JP" sz="1400" b="0" i="0" u="none" strike="noStrike" baseline="0">
                <a:effectLst/>
              </a:rPr>
              <a:t>CO2</a:t>
            </a:r>
            <a:r>
              <a:rPr lang="ja-JP" altLang="ja-JP" sz="1400" b="0" i="0" u="none" strike="noStrike" baseline="0">
                <a:effectLst/>
              </a:rPr>
              <a:t>排出量</a:t>
            </a:r>
            <a:r>
              <a:rPr lang="ja-JP" altLang="en-US"/>
              <a:t>構成比</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EF9-4F45-A0B3-5D6B57F4F7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EF9-4F45-A0B3-5D6B57F4F7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EF9-4F45-A0B3-5D6B57F4F7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EF9-4F45-A0B3-5D6B57F4F7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EF9-4F45-A0B3-5D6B57F4F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診断結果【使用量】!$B$14:$B$18</c:f>
              <c:strCache>
                <c:ptCount val="3"/>
                <c:pt idx="0">
                  <c:v>電気</c:v>
                </c:pt>
                <c:pt idx="1">
                  <c:v>都市ガス</c:v>
                </c:pt>
                <c:pt idx="2">
                  <c:v>液化石油ガス（LPG）</c:v>
                </c:pt>
              </c:strCache>
            </c:strRef>
          </c:cat>
          <c:val>
            <c:numRef>
              <c:f>診断結果【使用量】!$E$14:$E$18</c:f>
              <c:numCache>
                <c:formatCode>0.00_);[Red]\(0.00\)</c:formatCode>
                <c:ptCount val="5"/>
                <c:pt idx="0">
                  <c:v>0</c:v>
                </c:pt>
                <c:pt idx="1">
                  <c:v>0</c:v>
                </c:pt>
                <c:pt idx="2">
                  <c:v>0</c:v>
                </c:pt>
                <c:pt idx="3">
                  <c:v>0</c:v>
                </c:pt>
                <c:pt idx="4">
                  <c:v>0</c:v>
                </c:pt>
              </c:numCache>
            </c:numRef>
          </c:val>
          <c:extLst>
            <c:ext xmlns:c16="http://schemas.microsoft.com/office/drawing/2014/chart" uri="{C3380CC4-5D6E-409C-BE32-E72D297353CC}">
              <c16:uniqueId val="{00000000-3D91-42E0-A2D7-86F2AE1D06E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診断結果【使用量】!$L$41:$L$52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D72-4BF4-8B20-885B63D22F5E}"/>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月別</a:t>
            </a:r>
            <a:r>
              <a:rPr lang="en-US" altLang="ja-JP"/>
              <a:t>CO2</a:t>
            </a:r>
            <a:r>
              <a:rPr lang="ja-JP" altLang="en-US"/>
              <a:t>排出量</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診断結果【使用量】!$N$40</c:f>
              <c:strCache>
                <c:ptCount val="1"/>
                <c:pt idx="0">
                  <c:v>電気
tCO2</c:v>
                </c:pt>
              </c:strCache>
            </c:strRef>
          </c:tx>
          <c:spPr>
            <a:ln w="28575" cap="rnd">
              <a:solidFill>
                <a:schemeClr val="accent1"/>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診断結果【使用量】!$N$41:$N$52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70E-4D89-8487-BBFBF51C27C0}"/>
            </c:ext>
          </c:extLst>
        </c:ser>
        <c:ser>
          <c:idx val="1"/>
          <c:order val="1"/>
          <c:tx>
            <c:strRef>
              <c:f>診断結果【使用量】!$O$40</c:f>
              <c:strCache>
                <c:ptCount val="1"/>
                <c:pt idx="0">
                  <c:v>都市ガス
tCO2</c:v>
                </c:pt>
              </c:strCache>
            </c:strRef>
          </c:tx>
          <c:spPr>
            <a:ln w="28575" cap="rnd">
              <a:solidFill>
                <a:schemeClr val="accent2"/>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診断結果【使用量】!$O$41:$O$52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770E-4D89-8487-BBFBF51C27C0}"/>
            </c:ext>
          </c:extLst>
        </c:ser>
        <c:ser>
          <c:idx val="2"/>
          <c:order val="2"/>
          <c:tx>
            <c:strRef>
              <c:f>診断結果【使用量】!$P$40</c:f>
              <c:strCache>
                <c:ptCount val="1"/>
                <c:pt idx="0">
                  <c:v>液化石油ガス（LPG）
tCO2</c:v>
                </c:pt>
              </c:strCache>
            </c:strRef>
          </c:tx>
          <c:spPr>
            <a:ln w="28575" cap="rnd">
              <a:solidFill>
                <a:schemeClr val="accent3"/>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診断結果【使用量】!$P$41:$P$52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770E-4D89-8487-BBFBF51C27C0}"/>
            </c:ext>
          </c:extLst>
        </c:ser>
        <c:ser>
          <c:idx val="3"/>
          <c:order val="3"/>
          <c:tx>
            <c:strRef>
              <c:f>診断結果【使用量】!$Q$40</c:f>
              <c:strCache>
                <c:ptCount val="1"/>
                <c:pt idx="0">
                  <c:v>
tCO2</c:v>
                </c:pt>
              </c:strCache>
            </c:strRef>
          </c:tx>
          <c:spPr>
            <a:ln w="28575" cap="rnd">
              <a:solidFill>
                <a:schemeClr val="accent4"/>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診断結果【使用量】!$Q$41:$Q$52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770E-4D89-8487-BBFBF51C27C0}"/>
            </c:ext>
          </c:extLst>
        </c:ser>
        <c:ser>
          <c:idx val="4"/>
          <c:order val="4"/>
          <c:tx>
            <c:strRef>
              <c:f>診断結果【使用量】!$R$40</c:f>
              <c:strCache>
                <c:ptCount val="1"/>
                <c:pt idx="0">
                  <c:v>
tCO2</c:v>
                </c:pt>
              </c:strCache>
            </c:strRef>
          </c:tx>
          <c:spPr>
            <a:ln w="28575" cap="rnd">
              <a:solidFill>
                <a:schemeClr val="accent5"/>
              </a:solidFill>
              <a:round/>
            </a:ln>
            <a:effectLst/>
          </c:spPr>
          <c:marker>
            <c:symbol val="none"/>
          </c:marker>
          <c:cat>
            <c:strRef>
              <c:f>診断結果【使用量】!$K$41:$K$52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診断結果【使用量】!$R$41:$R$52</c:f>
              <c:numCache>
                <c:formatCode>0.00_);[Red]\(0.00\)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770E-4D89-8487-BBFBF51C27C0}"/>
            </c:ext>
          </c:extLst>
        </c:ser>
        <c:dLbls>
          <c:showLegendKey val="0"/>
          <c:showVal val="0"/>
          <c:showCatName val="0"/>
          <c:showSerName val="0"/>
          <c:showPercent val="0"/>
          <c:showBubbleSize val="0"/>
        </c:dLbls>
        <c:smooth val="0"/>
        <c:axId val="708012975"/>
        <c:axId val="526273327"/>
      </c:lineChart>
      <c:catAx>
        <c:axId val="708012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26273327"/>
        <c:crosses val="autoZero"/>
        <c:auto val="1"/>
        <c:lblAlgn val="ctr"/>
        <c:lblOffset val="100"/>
        <c:noMultiLvlLbl val="0"/>
      </c:catAx>
      <c:valAx>
        <c:axId val="526273327"/>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08012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主要設備または主要工程別のエネルギー割合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30-4F56-8A6C-8BBCA786C5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730-4F56-8A6C-8BBCA786C5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730-4F56-8A6C-8BBCA786C5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730-4F56-8A6C-8BBCA786C5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730-4F56-8A6C-8BBCA786C5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730-4F56-8A6C-8BBCA786C5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診断結果【使用量】!$L$70:$Q$70</c:f>
              <c:strCache>
                <c:ptCount val="6"/>
                <c:pt idx="5">
                  <c:v>その他</c:v>
                </c:pt>
              </c:strCache>
            </c:strRef>
          </c:cat>
          <c:val>
            <c:numRef>
              <c:f>診断結果【使用量】!$L$77:$Q$77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E51-4396-9390-FB084DF6758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3</xdr:col>
      <xdr:colOff>1864360</xdr:colOff>
      <xdr:row>33</xdr:row>
      <xdr:rowOff>97155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60400" y="2882900"/>
          <a:ext cx="5509260" cy="5364480"/>
        </a:xfrm>
        <a:prstGeom prst="rect">
          <a:avLst/>
        </a:prstGeom>
      </xdr:spPr>
    </xdr:pic>
    <xdr:clientData/>
  </xdr:twoCellAnchor>
  <xdr:twoCellAnchor editAs="oneCell">
    <xdr:from>
      <xdr:col>4</xdr:col>
      <xdr:colOff>0</xdr:colOff>
      <xdr:row>10</xdr:row>
      <xdr:rowOff>0</xdr:rowOff>
    </xdr:from>
    <xdr:to>
      <xdr:col>12</xdr:col>
      <xdr:colOff>49571</xdr:colOff>
      <xdr:row>26</xdr:row>
      <xdr:rowOff>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851650" y="2882900"/>
          <a:ext cx="5325151" cy="3657600"/>
        </a:xfrm>
        <a:prstGeom prst="rect">
          <a:avLst/>
        </a:prstGeom>
      </xdr:spPr>
    </xdr:pic>
    <xdr:clientData/>
  </xdr:twoCellAnchor>
  <xdr:twoCellAnchor editAs="oneCell">
    <xdr:from>
      <xdr:col>13</xdr:col>
      <xdr:colOff>0</xdr:colOff>
      <xdr:row>10</xdr:row>
      <xdr:rowOff>0</xdr:rowOff>
    </xdr:from>
    <xdr:to>
      <xdr:col>18</xdr:col>
      <xdr:colOff>553720</xdr:colOff>
      <xdr:row>41</xdr:row>
      <xdr:rowOff>20955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2795250" y="2882900"/>
          <a:ext cx="3855720" cy="71170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404190</xdr:colOff>
      <xdr:row>19</xdr:row>
      <xdr:rowOff>118110</xdr:rowOff>
    </xdr:from>
    <xdr:to>
      <xdr:col>7</xdr:col>
      <xdr:colOff>523460</xdr:colOff>
      <xdr:row>33</xdr:row>
      <xdr:rowOff>19878</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125730</xdr:colOff>
      <xdr:row>39</xdr:row>
      <xdr:rowOff>87630</xdr:rowOff>
    </xdr:from>
    <xdr:to>
      <xdr:col>8</xdr:col>
      <xdr:colOff>404192</xdr:colOff>
      <xdr:row>49</xdr:row>
      <xdr:rowOff>87630</xdr:rowOff>
    </xdr:to>
    <xdr:graphicFrame macro="">
      <xdr:nvGraphicFramePr>
        <xdr:cNvPr id="4" name="グラフ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121920</xdr:colOff>
      <xdr:row>50</xdr:row>
      <xdr:rowOff>68580</xdr:rowOff>
    </xdr:from>
    <xdr:to>
      <xdr:col>8</xdr:col>
      <xdr:colOff>390939</xdr:colOff>
      <xdr:row>62</xdr:row>
      <xdr:rowOff>182880</xdr:rowOff>
    </xdr:to>
    <xdr:graphicFrame macro="">
      <xdr:nvGraphicFramePr>
        <xdr:cNvPr id="5" name="グラフ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30479</xdr:colOff>
      <xdr:row>69</xdr:row>
      <xdr:rowOff>118110</xdr:rowOff>
    </xdr:from>
    <xdr:to>
      <xdr:col>7</xdr:col>
      <xdr:colOff>556590</xdr:colOff>
      <xdr:row>81</xdr:row>
      <xdr:rowOff>118110</xdr:rowOff>
    </xdr:to>
    <xdr:graphicFrame macro="">
      <xdr:nvGraphicFramePr>
        <xdr:cNvPr id="6" name="グラフ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586740</xdr:colOff>
      <xdr:row>17</xdr:row>
      <xdr:rowOff>708660</xdr:rowOff>
    </xdr:from>
    <xdr:to>
      <xdr:col>5</xdr:col>
      <xdr:colOff>5353050</xdr:colOff>
      <xdr:row>17</xdr:row>
      <xdr:rowOff>2876550</xdr:rowOff>
    </xdr:to>
    <xdr:pic>
      <xdr:nvPicPr>
        <xdr:cNvPr id="2" name="図 1" descr="https://tenbou.nies.go.jp/science/description/images/057/057-2.jpg">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2880" y="10157460"/>
          <a:ext cx="476250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17</xdr:col>
      <xdr:colOff>552450</xdr:colOff>
      <xdr:row>5</xdr:row>
      <xdr:rowOff>88900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537700" y="469900"/>
          <a:ext cx="5219700" cy="7747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●簡易自己診断ツールでの算定は、左記の係数を用いて計算が行われます。</a:t>
          </a:r>
          <a:endParaRPr kumimoji="1" lang="en-US" altLang="ja-JP" sz="1100"/>
        </a:p>
        <a:p>
          <a:endParaRPr kumimoji="1" lang="en-US" altLang="ja-JP" sz="1100"/>
        </a:p>
        <a:p>
          <a:r>
            <a:rPr kumimoji="1" lang="en-US" altLang="ja-JP" sz="1100"/>
            <a:t>※</a:t>
          </a:r>
          <a:r>
            <a:rPr kumimoji="1" lang="ja-JP" altLang="en-US" sz="1100"/>
            <a:t>係数の変更は原則認められません。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92144</xdr:colOff>
      <xdr:row>18</xdr:row>
      <xdr:rowOff>145869</xdr:rowOff>
    </xdr:from>
    <xdr:to>
      <xdr:col>13</xdr:col>
      <xdr:colOff>662364</xdr:colOff>
      <xdr:row>20</xdr:row>
      <xdr:rowOff>62049</xdr:rowOff>
    </xdr:to>
    <xdr:sp macro="" textlink="">
      <xdr:nvSpPr>
        <xdr:cNvPr id="176" name="楕円 175">
          <a:extLst>
            <a:ext uri="{FF2B5EF4-FFF2-40B4-BE49-F238E27FC236}">
              <a16:creationId xmlns:a16="http://schemas.microsoft.com/office/drawing/2014/main" id="{00000000-0008-0000-0100-0000B0000000}"/>
            </a:ext>
          </a:extLst>
        </xdr:cNvPr>
        <xdr:cNvSpPr/>
      </xdr:nvSpPr>
      <xdr:spPr>
        <a:xfrm>
          <a:off x="9350444" y="4876619"/>
          <a:ext cx="570220" cy="379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377254</xdr:colOff>
      <xdr:row>13</xdr:row>
      <xdr:rowOff>108473</xdr:rowOff>
    </xdr:from>
    <xdr:to>
      <xdr:col>13</xdr:col>
      <xdr:colOff>439944</xdr:colOff>
      <xdr:row>18</xdr:row>
      <xdr:rowOff>145869</xdr:rowOff>
    </xdr:to>
    <xdr:cxnSp macro="">
      <xdr:nvCxnSpPr>
        <xdr:cNvPr id="177" name="直線矢印コネクタ 176">
          <a:extLst>
            <a:ext uri="{FF2B5EF4-FFF2-40B4-BE49-F238E27FC236}">
              <a16:creationId xmlns:a16="http://schemas.microsoft.com/office/drawing/2014/main" id="{00000000-0008-0000-0100-0000B1000000}"/>
            </a:ext>
          </a:extLst>
        </xdr:cNvPr>
        <xdr:cNvCxnSpPr>
          <a:stCxn id="176" idx="0"/>
          <a:endCxn id="178" idx="4"/>
        </xdr:cNvCxnSpPr>
      </xdr:nvCxnSpPr>
      <xdr:spPr>
        <a:xfrm flipV="1">
          <a:off x="9635554" y="3689873"/>
          <a:ext cx="62690" cy="11867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153746</xdr:colOff>
      <xdr:row>11</xdr:row>
      <xdr:rowOff>184673</xdr:rowOff>
    </xdr:from>
    <xdr:to>
      <xdr:col>14</xdr:col>
      <xdr:colOff>8965</xdr:colOff>
      <xdr:row>13</xdr:row>
      <xdr:rowOff>108473</xdr:rowOff>
    </xdr:to>
    <xdr:sp macro="" textlink="">
      <xdr:nvSpPr>
        <xdr:cNvPr id="178" name="楕円 177">
          <a:extLst>
            <a:ext uri="{FF2B5EF4-FFF2-40B4-BE49-F238E27FC236}">
              <a16:creationId xmlns:a16="http://schemas.microsoft.com/office/drawing/2014/main" id="{00000000-0008-0000-0100-0000B2000000}"/>
            </a:ext>
          </a:extLst>
        </xdr:cNvPr>
        <xdr:cNvSpPr/>
      </xdr:nvSpPr>
      <xdr:spPr>
        <a:xfrm>
          <a:off x="9412046" y="3308873"/>
          <a:ext cx="572769"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609601</xdr:colOff>
      <xdr:row>20</xdr:row>
      <xdr:rowOff>206188</xdr:rowOff>
    </xdr:from>
    <xdr:to>
      <xdr:col>16</xdr:col>
      <xdr:colOff>28811</xdr:colOff>
      <xdr:row>28</xdr:row>
      <xdr:rowOff>59937</xdr:rowOff>
    </xdr:to>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6280151" y="5400488"/>
          <a:ext cx="5159610" cy="168254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・省エネモード、最高・最低能力等は用いないでください。</a:t>
          </a:r>
          <a:endParaRPr kumimoji="1" lang="en-US" altLang="ja-JP" sz="1100"/>
        </a:p>
        <a:p>
          <a:r>
            <a:rPr kumimoji="1" lang="ja-JP" altLang="en-US" sz="1100"/>
            <a:t>・一般的な定格電圧は</a:t>
          </a:r>
          <a:r>
            <a:rPr kumimoji="1" lang="en-US" altLang="ja-JP" sz="1100"/>
            <a:t>100V</a:t>
          </a:r>
          <a:r>
            <a:rPr kumimoji="1" lang="ja-JP" altLang="en-US" sz="1100"/>
            <a:t>ですが、工場等で</a:t>
          </a:r>
          <a:r>
            <a:rPr kumimoji="1" lang="en-US" altLang="ja-JP" sz="1100"/>
            <a:t>200V</a:t>
          </a:r>
          <a:r>
            <a:rPr kumimoji="1" lang="ja-JP" altLang="en-US" sz="1100"/>
            <a:t>等の場合は、該当する電圧の定格能力で算定してください。</a:t>
          </a:r>
          <a:endParaRPr kumimoji="1" lang="en-US" altLang="ja-JP" sz="1100"/>
        </a:p>
        <a:p>
          <a:r>
            <a:rPr kumimoji="1" lang="ja-JP" altLang="en-US" sz="1100"/>
            <a:t>・数量</a:t>
          </a:r>
          <a:r>
            <a:rPr kumimoji="1" lang="en-US" altLang="ja-JP" sz="1100"/>
            <a:t>(n)</a:t>
          </a:r>
          <a:r>
            <a:rPr kumimoji="1" lang="ja-JP" altLang="en-US" sz="1100"/>
            <a:t>の増加は原則認められません。（やむを得ない事情がある場合は特記事項へ記載してください。）</a:t>
          </a:r>
        </a:p>
      </xdr:txBody>
    </xdr:sp>
    <xdr:clientData/>
  </xdr:twoCellAnchor>
  <xdr:twoCellAnchor>
    <xdr:from>
      <xdr:col>5</xdr:col>
      <xdr:colOff>17927</xdr:colOff>
      <xdr:row>13</xdr:row>
      <xdr:rowOff>224117</xdr:rowOff>
    </xdr:from>
    <xdr:to>
      <xdr:col>10</xdr:col>
      <xdr:colOff>573741</xdr:colOff>
      <xdr:row>18</xdr:row>
      <xdr:rowOff>134470</xdr:rowOff>
    </xdr:to>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3535827" y="3805517"/>
          <a:ext cx="4143564" cy="105970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●日点灯時間及び年間使用日数は、実際に設備を点灯している時間</a:t>
          </a:r>
          <a:r>
            <a:rPr kumimoji="1" lang="ja-JP" altLang="en-US" sz="1100">
              <a:solidFill>
                <a:sysClr val="windowText" lastClr="000000"/>
              </a:solidFill>
            </a:rPr>
            <a:t>及び日数を記載してください。</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u="sng">
              <a:solidFill>
                <a:sysClr val="windowText" lastClr="000000"/>
              </a:solidFill>
            </a:rPr>
            <a:t>8</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×250</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2000</a:t>
          </a:r>
          <a:r>
            <a:rPr kumimoji="1" lang="ja-JP" altLang="en-US" sz="1100"/>
            <a:t>時間</a:t>
          </a:r>
          <a:r>
            <a:rPr kumimoji="1" lang="en-US" altLang="ja-JP" sz="1100"/>
            <a:t>/</a:t>
          </a:r>
          <a:r>
            <a:rPr kumimoji="1" lang="ja-JP" altLang="en-US" sz="1100"/>
            <a:t>年（年間点灯時間等、色なしのセルは自動計算されます。）</a:t>
          </a:r>
        </a:p>
      </xdr:txBody>
    </xdr:sp>
    <xdr:clientData/>
  </xdr:twoCellAnchor>
  <xdr:twoCellAnchor>
    <xdr:from>
      <xdr:col>6</xdr:col>
      <xdr:colOff>26671</xdr:colOff>
      <xdr:row>13</xdr:row>
      <xdr:rowOff>83820</xdr:rowOff>
    </xdr:from>
    <xdr:to>
      <xdr:col>6</xdr:col>
      <xdr:colOff>161365</xdr:colOff>
      <xdr:row>16</xdr:row>
      <xdr:rowOff>53788</xdr:rowOff>
    </xdr:to>
    <xdr:cxnSp macro="">
      <xdr:nvCxnSpPr>
        <xdr:cNvPr id="181" name="直線矢印コネクタ 180">
          <a:extLst>
            <a:ext uri="{FF2B5EF4-FFF2-40B4-BE49-F238E27FC236}">
              <a16:creationId xmlns:a16="http://schemas.microsoft.com/office/drawing/2014/main" id="{00000000-0008-0000-0100-0000B5000000}"/>
            </a:ext>
          </a:extLst>
        </xdr:cNvPr>
        <xdr:cNvCxnSpPr>
          <a:endCxn id="182" idx="4"/>
        </xdr:cNvCxnSpPr>
      </xdr:nvCxnSpPr>
      <xdr:spPr>
        <a:xfrm flipH="1" flipV="1">
          <a:off x="4262121" y="3665220"/>
          <a:ext cx="134694" cy="66211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xdr:colOff>
      <xdr:row>11</xdr:row>
      <xdr:rowOff>160020</xdr:rowOff>
    </xdr:from>
    <xdr:to>
      <xdr:col>7</xdr:col>
      <xdr:colOff>22860</xdr:colOff>
      <xdr:row>13</xdr:row>
      <xdr:rowOff>83820</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3548380" y="3284220"/>
          <a:ext cx="142748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689834</xdr:colOff>
      <xdr:row>45</xdr:row>
      <xdr:rowOff>225013</xdr:rowOff>
    </xdr:from>
    <xdr:to>
      <xdr:col>17</xdr:col>
      <xdr:colOff>439718</xdr:colOff>
      <xdr:row>49</xdr:row>
      <xdr:rowOff>225013</xdr:rowOff>
    </xdr:to>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12100784" y="12016963"/>
          <a:ext cx="467434" cy="9144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662960</xdr:colOff>
      <xdr:row>40</xdr:row>
      <xdr:rowOff>215367</xdr:rowOff>
    </xdr:from>
    <xdr:to>
      <xdr:col>21</xdr:col>
      <xdr:colOff>716215</xdr:colOff>
      <xdr:row>42</xdr:row>
      <xdr:rowOff>54002</xdr:rowOff>
    </xdr:to>
    <xdr:sp macro="" textlink="">
      <xdr:nvSpPr>
        <xdr:cNvPr id="184" name="正方形/長方形 183">
          <a:extLst>
            <a:ext uri="{FF2B5EF4-FFF2-40B4-BE49-F238E27FC236}">
              <a16:creationId xmlns:a16="http://schemas.microsoft.com/office/drawing/2014/main" id="{00000000-0008-0000-0100-0000B8000000}"/>
            </a:ext>
          </a:extLst>
        </xdr:cNvPr>
        <xdr:cNvSpPr/>
      </xdr:nvSpPr>
      <xdr:spPr>
        <a:xfrm>
          <a:off x="12791460" y="10857967"/>
          <a:ext cx="2923455" cy="29583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680870</xdr:colOff>
      <xdr:row>43</xdr:row>
      <xdr:rowOff>198119</xdr:rowOff>
    </xdr:from>
    <xdr:to>
      <xdr:col>18</xdr:col>
      <xdr:colOff>72166</xdr:colOff>
      <xdr:row>45</xdr:row>
      <xdr:rowOff>54684</xdr:rowOff>
    </xdr:to>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12091820" y="115328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653890</xdr:colOff>
      <xdr:row>40</xdr:row>
      <xdr:rowOff>215046</xdr:rowOff>
    </xdr:from>
    <xdr:to>
      <xdr:col>25</xdr:col>
      <xdr:colOff>144502</xdr:colOff>
      <xdr:row>42</xdr:row>
      <xdr:rowOff>44718</xdr:rowOff>
    </xdr:to>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16370140" y="10857646"/>
          <a:ext cx="150991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43863</xdr:colOff>
      <xdr:row>42</xdr:row>
      <xdr:rowOff>80468</xdr:rowOff>
    </xdr:from>
    <xdr:to>
      <xdr:col>18</xdr:col>
      <xdr:colOff>536922</xdr:colOff>
      <xdr:row>43</xdr:row>
      <xdr:rowOff>143221</xdr:rowOff>
    </xdr:to>
    <xdr:sp macro="" textlink="">
      <xdr:nvSpPr>
        <xdr:cNvPr id="187" name="下矢印 186">
          <a:extLst>
            <a:ext uri="{FF2B5EF4-FFF2-40B4-BE49-F238E27FC236}">
              <a16:creationId xmlns:a16="http://schemas.microsoft.com/office/drawing/2014/main" id="{00000000-0008-0000-0100-0000BB000000}"/>
            </a:ext>
          </a:extLst>
        </xdr:cNvPr>
        <xdr:cNvSpPr/>
      </xdr:nvSpPr>
      <xdr:spPr>
        <a:xfrm rot="10800000">
          <a:off x="12889913" y="11180268"/>
          <a:ext cx="493059"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647700</xdr:colOff>
      <xdr:row>50</xdr:row>
      <xdr:rowOff>8966</xdr:rowOff>
    </xdr:from>
    <xdr:to>
      <xdr:col>17</xdr:col>
      <xdr:colOff>399379</xdr:colOff>
      <xdr:row>52</xdr:row>
      <xdr:rowOff>53341</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2058650" y="12943916"/>
          <a:ext cx="469229" cy="5079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87085</xdr:colOff>
      <xdr:row>31</xdr:row>
      <xdr:rowOff>208430</xdr:rowOff>
    </xdr:from>
    <xdr:to>
      <xdr:col>23</xdr:col>
      <xdr:colOff>508960</xdr:colOff>
      <xdr:row>36</xdr:row>
      <xdr:rowOff>34792</xdr:rowOff>
    </xdr:to>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12933135" y="8057030"/>
          <a:ext cx="3965175" cy="102016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14</xdr:col>
      <xdr:colOff>0</xdr:colOff>
      <xdr:row>53</xdr:row>
      <xdr:rowOff>17929</xdr:rowOff>
    </xdr:from>
    <xdr:to>
      <xdr:col>19</xdr:col>
      <xdr:colOff>717175</xdr:colOff>
      <xdr:row>55</xdr:row>
      <xdr:rowOff>143435</xdr:rowOff>
    </xdr:to>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9975850" y="13645029"/>
          <a:ext cx="4304925" cy="582706"/>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17</xdr:col>
      <xdr:colOff>0</xdr:colOff>
      <xdr:row>52</xdr:row>
      <xdr:rowOff>53341</xdr:rowOff>
    </xdr:from>
    <xdr:to>
      <xdr:col>17</xdr:col>
      <xdr:colOff>164952</xdr:colOff>
      <xdr:row>53</xdr:row>
      <xdr:rowOff>17929</xdr:rowOff>
    </xdr:to>
    <xdr:cxnSp macro="">
      <xdr:nvCxnSpPr>
        <xdr:cNvPr id="191" name="直線矢印コネクタ 190">
          <a:extLst>
            <a:ext uri="{FF2B5EF4-FFF2-40B4-BE49-F238E27FC236}">
              <a16:creationId xmlns:a16="http://schemas.microsoft.com/office/drawing/2014/main" id="{00000000-0008-0000-0100-0000BF000000}"/>
            </a:ext>
          </a:extLst>
        </xdr:cNvPr>
        <xdr:cNvCxnSpPr>
          <a:stCxn id="190" idx="0"/>
          <a:endCxn id="188" idx="4"/>
        </xdr:cNvCxnSpPr>
      </xdr:nvCxnSpPr>
      <xdr:spPr>
        <a:xfrm flipV="1">
          <a:off x="12128500" y="13451841"/>
          <a:ext cx="164952" cy="1931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588682</xdr:colOff>
      <xdr:row>0</xdr:row>
      <xdr:rowOff>71719</xdr:rowOff>
    </xdr:from>
    <xdr:to>
      <xdr:col>8</xdr:col>
      <xdr:colOff>319741</xdr:colOff>
      <xdr:row>8</xdr:row>
      <xdr:rowOff>134471</xdr:rowOff>
    </xdr:to>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1261782" y="71719"/>
          <a:ext cx="4728509" cy="231065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●仕様書等にある、定格消費電力で算定してください。</a:t>
          </a:r>
          <a:endParaRPr kumimoji="1" lang="en-US" altLang="ja-JP" sz="1100"/>
        </a:p>
        <a:p>
          <a:endParaRPr kumimoji="1" lang="en-US" altLang="ja-JP" sz="1100"/>
        </a:p>
        <a:p>
          <a:r>
            <a:rPr kumimoji="1" lang="ja-JP" altLang="en-US" sz="1100"/>
            <a:t>・仕様書等が手元にない場合は、メーカー</a:t>
          </a:r>
          <a:r>
            <a:rPr kumimoji="1" lang="en-US" altLang="ja-JP" sz="1100"/>
            <a:t>HP</a:t>
          </a:r>
          <a:r>
            <a:rPr kumimoji="1" lang="ja-JP" altLang="en-US" sz="1100"/>
            <a:t>等から収集してください。</a:t>
          </a:r>
          <a:endParaRPr kumimoji="1" lang="en-US" altLang="ja-JP" sz="1100"/>
        </a:p>
        <a:p>
          <a:r>
            <a:rPr kumimoji="1" lang="ja-JP" altLang="en-US" sz="1100"/>
            <a:t>・仕様書等が用意できない場合は、次の方法等で確認し、根拠資料（仕様書等の代わり）を用意してください。</a:t>
          </a:r>
          <a:endParaRPr kumimoji="1" lang="en-US" altLang="ja-JP" sz="1100"/>
        </a:p>
        <a:p>
          <a:endParaRPr kumimoji="1" lang="en-US" altLang="ja-JP" sz="1100"/>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→光源（蛍光灯等）に記載のワット数から算定する（ワット数が読み取れる写真を撮影し、根拠資料として提出する。）</a:t>
          </a:r>
          <a:endParaRPr kumimoji="1" lang="en-US" altLang="ja-JP" sz="1100"/>
        </a:p>
      </xdr:txBody>
    </xdr:sp>
    <xdr:clientData/>
  </xdr:twoCellAnchor>
  <xdr:twoCellAnchor>
    <xdr:from>
      <xdr:col>3</xdr:col>
      <xdr:colOff>537885</xdr:colOff>
      <xdr:row>8</xdr:row>
      <xdr:rowOff>134471</xdr:rowOff>
    </xdr:from>
    <xdr:to>
      <xdr:col>5</xdr:col>
      <xdr:colOff>106829</xdr:colOff>
      <xdr:row>11</xdr:row>
      <xdr:rowOff>134470</xdr:rowOff>
    </xdr:to>
    <xdr:cxnSp macro="">
      <xdr:nvCxnSpPr>
        <xdr:cNvPr id="193" name="直線矢印コネクタ 192">
          <a:extLst>
            <a:ext uri="{FF2B5EF4-FFF2-40B4-BE49-F238E27FC236}">
              <a16:creationId xmlns:a16="http://schemas.microsoft.com/office/drawing/2014/main" id="{00000000-0008-0000-0100-0000C1000000}"/>
            </a:ext>
          </a:extLst>
        </xdr:cNvPr>
        <xdr:cNvCxnSpPr>
          <a:stCxn id="192" idx="2"/>
          <a:endCxn id="194" idx="0"/>
        </xdr:cNvCxnSpPr>
      </xdr:nvCxnSpPr>
      <xdr:spPr>
        <a:xfrm flipH="1">
          <a:off x="2620685" y="2382371"/>
          <a:ext cx="1004044" cy="8762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251014</xdr:colOff>
      <xdr:row>11</xdr:row>
      <xdr:rowOff>134470</xdr:rowOff>
    </xdr:from>
    <xdr:to>
      <xdr:col>4</xdr:col>
      <xdr:colOff>107578</xdr:colOff>
      <xdr:row>13</xdr:row>
      <xdr:rowOff>143436</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333814" y="3258670"/>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569259</xdr:colOff>
      <xdr:row>8</xdr:row>
      <xdr:rowOff>8964</xdr:rowOff>
    </xdr:from>
    <xdr:to>
      <xdr:col>18</xdr:col>
      <xdr:colOff>0</xdr:colOff>
      <xdr:row>10</xdr:row>
      <xdr:rowOff>0</xdr:rowOff>
    </xdr:to>
    <xdr:cxnSp macro="">
      <xdr:nvCxnSpPr>
        <xdr:cNvPr id="195" name="直線矢印コネクタ 194">
          <a:extLst>
            <a:ext uri="{FF2B5EF4-FFF2-40B4-BE49-F238E27FC236}">
              <a16:creationId xmlns:a16="http://schemas.microsoft.com/office/drawing/2014/main" id="{00000000-0008-0000-0100-0000C3000000}"/>
            </a:ext>
          </a:extLst>
        </xdr:cNvPr>
        <xdr:cNvCxnSpPr>
          <a:stCxn id="207" idx="2"/>
          <a:endCxn id="203" idx="0"/>
        </xdr:cNvCxnSpPr>
      </xdr:nvCxnSpPr>
      <xdr:spPr>
        <a:xfrm>
          <a:off x="12697759" y="2256864"/>
          <a:ext cx="148291" cy="44823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689588</xdr:colOff>
      <xdr:row>36</xdr:row>
      <xdr:rowOff>34792</xdr:rowOff>
    </xdr:from>
    <xdr:to>
      <xdr:col>20</xdr:col>
      <xdr:colOff>633665</xdr:colOff>
      <xdr:row>40</xdr:row>
      <xdr:rowOff>215367</xdr:rowOff>
    </xdr:to>
    <xdr:cxnSp macro="">
      <xdr:nvCxnSpPr>
        <xdr:cNvPr id="196" name="直線矢印コネクタ 195">
          <a:extLst>
            <a:ext uri="{FF2B5EF4-FFF2-40B4-BE49-F238E27FC236}">
              <a16:creationId xmlns:a16="http://schemas.microsoft.com/office/drawing/2014/main" id="{00000000-0008-0000-0100-0000C4000000}"/>
            </a:ext>
          </a:extLst>
        </xdr:cNvPr>
        <xdr:cNvCxnSpPr>
          <a:stCxn id="189" idx="2"/>
          <a:endCxn id="184" idx="0"/>
        </xdr:cNvCxnSpPr>
      </xdr:nvCxnSpPr>
      <xdr:spPr>
        <a:xfrm flipH="1">
          <a:off x="14253188" y="9077192"/>
          <a:ext cx="661627" cy="1780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319206</xdr:colOff>
      <xdr:row>20</xdr:row>
      <xdr:rowOff>6056</xdr:rowOff>
    </xdr:from>
    <xdr:to>
      <xdr:col>13</xdr:col>
      <xdr:colOff>175651</xdr:colOff>
      <xdr:row>20</xdr:row>
      <xdr:rowOff>206188</xdr:rowOff>
    </xdr:to>
    <xdr:cxnSp macro="">
      <xdr:nvCxnSpPr>
        <xdr:cNvPr id="197" name="直線矢印コネクタ 196">
          <a:extLst>
            <a:ext uri="{FF2B5EF4-FFF2-40B4-BE49-F238E27FC236}">
              <a16:creationId xmlns:a16="http://schemas.microsoft.com/office/drawing/2014/main" id="{00000000-0008-0000-0100-0000C5000000}"/>
            </a:ext>
          </a:extLst>
        </xdr:cNvPr>
        <xdr:cNvCxnSpPr>
          <a:stCxn id="179" idx="0"/>
          <a:endCxn id="176" idx="3"/>
        </xdr:cNvCxnSpPr>
      </xdr:nvCxnSpPr>
      <xdr:spPr>
        <a:xfrm flipV="1">
          <a:off x="8859956" y="5200356"/>
          <a:ext cx="573995" cy="2001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633665</xdr:colOff>
      <xdr:row>36</xdr:row>
      <xdr:rowOff>34792</xdr:rowOff>
    </xdr:from>
    <xdr:to>
      <xdr:col>24</xdr:col>
      <xdr:colOff>63553</xdr:colOff>
      <xdr:row>40</xdr:row>
      <xdr:rowOff>215046</xdr:rowOff>
    </xdr:to>
    <xdr:cxnSp macro="">
      <xdr:nvCxnSpPr>
        <xdr:cNvPr id="198" name="直線矢印コネクタ 197">
          <a:extLst>
            <a:ext uri="{FF2B5EF4-FFF2-40B4-BE49-F238E27FC236}">
              <a16:creationId xmlns:a16="http://schemas.microsoft.com/office/drawing/2014/main" id="{00000000-0008-0000-0100-0000C6000000}"/>
            </a:ext>
          </a:extLst>
        </xdr:cNvPr>
        <xdr:cNvCxnSpPr>
          <a:stCxn id="189" idx="2"/>
          <a:endCxn id="186" idx="0"/>
        </xdr:cNvCxnSpPr>
      </xdr:nvCxnSpPr>
      <xdr:spPr>
        <a:xfrm>
          <a:off x="14914815" y="9077192"/>
          <a:ext cx="2211188" cy="1780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286871</xdr:colOff>
      <xdr:row>29</xdr:row>
      <xdr:rowOff>80683</xdr:rowOff>
    </xdr:from>
    <xdr:to>
      <xdr:col>12</xdr:col>
      <xdr:colOff>519955</xdr:colOff>
      <xdr:row>34</xdr:row>
      <xdr:rowOff>53789</xdr:rowOff>
    </xdr:to>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2369671" y="7332383"/>
          <a:ext cx="6691034" cy="125580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a:t>
          </a:r>
          <a:r>
            <a:rPr kumimoji="1" lang="en-US" altLang="ja-JP" sz="1100"/>
            <a:t>40</a:t>
          </a:r>
          <a:r>
            <a:rPr kumimoji="1" lang="ja-JP" altLang="en-US" sz="1100"/>
            <a:t>％を参考値とします。負荷率を把握していない場合は、そのまま算定してください。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703725</xdr:colOff>
      <xdr:row>31</xdr:row>
      <xdr:rowOff>116542</xdr:rowOff>
    </xdr:from>
    <xdr:to>
      <xdr:col>3</xdr:col>
      <xdr:colOff>286871</xdr:colOff>
      <xdr:row>34</xdr:row>
      <xdr:rowOff>44225</xdr:rowOff>
    </xdr:to>
    <xdr:cxnSp macro="">
      <xdr:nvCxnSpPr>
        <xdr:cNvPr id="200" name="直線矢印コネクタ 199">
          <a:extLst>
            <a:ext uri="{FF2B5EF4-FFF2-40B4-BE49-F238E27FC236}">
              <a16:creationId xmlns:a16="http://schemas.microsoft.com/office/drawing/2014/main" id="{00000000-0008-0000-0100-0000C8000000}"/>
            </a:ext>
          </a:extLst>
        </xdr:cNvPr>
        <xdr:cNvCxnSpPr>
          <a:stCxn id="199" idx="1"/>
          <a:endCxn id="201" idx="7"/>
        </xdr:cNvCxnSpPr>
      </xdr:nvCxnSpPr>
      <xdr:spPr>
        <a:xfrm flipH="1">
          <a:off x="2068975" y="7965142"/>
          <a:ext cx="300696" cy="613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215154</xdr:colOff>
      <xdr:row>33</xdr:row>
      <xdr:rowOff>197223</xdr:rowOff>
    </xdr:from>
    <xdr:to>
      <xdr:col>3</xdr:col>
      <xdr:colOff>70373</xdr:colOff>
      <xdr:row>36</xdr:row>
      <xdr:rowOff>26895</xdr:rowOff>
    </xdr:to>
    <xdr:sp macro="" textlink="">
      <xdr:nvSpPr>
        <xdr:cNvPr id="201" name="楕円 200">
          <a:extLst>
            <a:ext uri="{FF2B5EF4-FFF2-40B4-BE49-F238E27FC236}">
              <a16:creationId xmlns:a16="http://schemas.microsoft.com/office/drawing/2014/main" id="{00000000-0008-0000-0100-0000C9000000}"/>
            </a:ext>
          </a:extLst>
        </xdr:cNvPr>
        <xdr:cNvSpPr/>
      </xdr:nvSpPr>
      <xdr:spPr>
        <a:xfrm>
          <a:off x="1580404" y="8503023"/>
          <a:ext cx="572769" cy="5662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10</xdr:row>
      <xdr:rowOff>0</xdr:rowOff>
    </xdr:from>
    <xdr:to>
      <xdr:col>9</xdr:col>
      <xdr:colOff>0</xdr:colOff>
      <xdr:row>13</xdr:row>
      <xdr:rowOff>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49530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10</xdr:row>
      <xdr:rowOff>0</xdr:rowOff>
    </xdr:from>
    <xdr:to>
      <xdr:col>19</xdr:col>
      <xdr:colOff>0</xdr:colOff>
      <xdr:row>13</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12128500" y="2705100"/>
          <a:ext cx="1435100" cy="8763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8</xdr:row>
      <xdr:rowOff>8965</xdr:rowOff>
    </xdr:from>
    <xdr:to>
      <xdr:col>11</xdr:col>
      <xdr:colOff>443753</xdr:colOff>
      <xdr:row>10</xdr:row>
      <xdr:rowOff>0</xdr:rowOff>
    </xdr:to>
    <xdr:cxnSp macro="">
      <xdr:nvCxnSpPr>
        <xdr:cNvPr id="204" name="直線矢印コネクタ 203">
          <a:extLst>
            <a:ext uri="{FF2B5EF4-FFF2-40B4-BE49-F238E27FC236}">
              <a16:creationId xmlns:a16="http://schemas.microsoft.com/office/drawing/2014/main" id="{00000000-0008-0000-0100-0000CC000000}"/>
            </a:ext>
          </a:extLst>
        </xdr:cNvPr>
        <xdr:cNvCxnSpPr>
          <a:stCxn id="206" idx="2"/>
          <a:endCxn id="202" idx="0"/>
        </xdr:cNvCxnSpPr>
      </xdr:nvCxnSpPr>
      <xdr:spPr>
        <a:xfrm flipH="1">
          <a:off x="5670551" y="2256865"/>
          <a:ext cx="2596402"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385483</xdr:colOff>
      <xdr:row>0</xdr:row>
      <xdr:rowOff>179294</xdr:rowOff>
    </xdr:from>
    <xdr:to>
      <xdr:col>20</xdr:col>
      <xdr:colOff>627529</xdr:colOff>
      <xdr:row>8</xdr:row>
      <xdr:rowOff>8965</xdr:rowOff>
    </xdr:to>
    <xdr:grpSp>
      <xdr:nvGrpSpPr>
        <xdr:cNvPr id="205" name="グループ化 204">
          <a:extLst>
            <a:ext uri="{FF2B5EF4-FFF2-40B4-BE49-F238E27FC236}">
              <a16:creationId xmlns:a16="http://schemas.microsoft.com/office/drawing/2014/main" id="{00000000-0008-0000-0100-0000CD000000}"/>
            </a:ext>
          </a:extLst>
        </xdr:cNvPr>
        <xdr:cNvGrpSpPr/>
      </xdr:nvGrpSpPr>
      <xdr:grpSpPr>
        <a:xfrm>
          <a:off x="6013892" y="179294"/>
          <a:ext cx="8762592" cy="2098353"/>
          <a:chOff x="5253318" y="385482"/>
          <a:chExt cx="8848164" cy="2097742"/>
        </a:xfrm>
      </xdr:grpSpPr>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5253318" y="385482"/>
            <a:ext cx="4419600" cy="209774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●人感センサ等が導入されている、又は更新により導入する場合</a:t>
            </a:r>
            <a:endParaRPr kumimoji="1" lang="en-US" altLang="ja-JP" sz="1100"/>
          </a:p>
          <a:p>
            <a:endParaRPr kumimoji="1" lang="en-US" altLang="ja-JP" sz="1100"/>
          </a:p>
          <a:p>
            <a:r>
              <a:rPr kumimoji="1" lang="ja-JP" altLang="en-US" sz="1100"/>
              <a:t>・人感センサの列で「○」を選択してください。</a:t>
            </a:r>
            <a:r>
              <a:rPr kumimoji="1" lang="ja-JP" altLang="ja-JP" sz="1100">
                <a:solidFill>
                  <a:schemeClr val="dk1"/>
                </a:solidFill>
                <a:effectLst/>
                <a:latin typeface="+mn-lt"/>
                <a:ea typeface="+mn-ea"/>
                <a:cs typeface="+mn-cs"/>
              </a:rPr>
              <a:t>点灯率のセルが入力色に変わります。</a:t>
            </a:r>
            <a:r>
              <a:rPr kumimoji="1" lang="ja-JP" altLang="en-US" sz="1100"/>
              <a:t>点灯率のセルに点灯率を入力してください。</a:t>
            </a:r>
            <a:endParaRPr kumimoji="1" lang="en-US" altLang="ja-JP" sz="1100"/>
          </a:p>
          <a:p>
            <a:endParaRPr kumimoji="1" lang="en-US" altLang="ja-JP" sz="1100"/>
          </a:p>
          <a:p>
            <a:r>
              <a:rPr kumimoji="1" lang="en-US" altLang="ja-JP" sz="1100"/>
              <a:t>※</a:t>
            </a:r>
            <a:r>
              <a:rPr kumimoji="1" lang="ja-JP" altLang="en-US" sz="1100"/>
              <a:t>点灯率は人感センサ等による自動制御のみ考慮します。人による運用対策（昼休み中に職員が消灯して</a:t>
            </a:r>
            <a:r>
              <a:rPr kumimoji="1" lang="en-US" altLang="ja-JP" sz="1100"/>
              <a:t>90</a:t>
            </a:r>
            <a:r>
              <a:rPr kumimoji="1" lang="ja-JP" altLang="en-US" sz="1100"/>
              <a:t>％）等は含みません。</a:t>
            </a:r>
            <a:endParaRPr kumimoji="1" lang="en-US" altLang="ja-JP" sz="1100"/>
          </a:p>
        </xdr:txBody>
      </xdr:sp>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9681882" y="385482"/>
            <a:ext cx="4419600" cy="209774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●点灯率の根拠資料について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grpSp>
    <xdr:clientData/>
  </xdr:twoCellAnchor>
  <xdr:twoCellAnchor>
    <xdr:from>
      <xdr:col>0</xdr:col>
      <xdr:colOff>636494</xdr:colOff>
      <xdr:row>43</xdr:row>
      <xdr:rowOff>152400</xdr:rowOff>
    </xdr:from>
    <xdr:to>
      <xdr:col>7</xdr:col>
      <xdr:colOff>690282</xdr:colOff>
      <xdr:row>53</xdr:row>
      <xdr:rowOff>161364</xdr:rowOff>
    </xdr:to>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636494" y="11487150"/>
          <a:ext cx="5006788" cy="230131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3</xdr:col>
      <xdr:colOff>713835</xdr:colOff>
      <xdr:row>42</xdr:row>
      <xdr:rowOff>90442</xdr:rowOff>
    </xdr:from>
    <xdr:to>
      <xdr:col>4</xdr:col>
      <xdr:colOff>340659</xdr:colOff>
      <xdr:row>43</xdr:row>
      <xdr:rowOff>152400</xdr:rowOff>
    </xdr:to>
    <xdr:cxnSp macro="">
      <xdr:nvCxnSpPr>
        <xdr:cNvPr id="209" name="直線矢印コネクタ 208">
          <a:extLst>
            <a:ext uri="{FF2B5EF4-FFF2-40B4-BE49-F238E27FC236}">
              <a16:creationId xmlns:a16="http://schemas.microsoft.com/office/drawing/2014/main" id="{00000000-0008-0000-0100-0000D1000000}"/>
            </a:ext>
          </a:extLst>
        </xdr:cNvPr>
        <xdr:cNvCxnSpPr>
          <a:stCxn id="208" idx="0"/>
          <a:endCxn id="210" idx="5"/>
        </xdr:cNvCxnSpPr>
      </xdr:nvCxnSpPr>
      <xdr:spPr>
        <a:xfrm flipH="1" flipV="1">
          <a:off x="2796635" y="11190242"/>
          <a:ext cx="344374" cy="2969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224117</xdr:colOff>
      <xdr:row>40</xdr:row>
      <xdr:rowOff>151057</xdr:rowOff>
    </xdr:from>
    <xdr:to>
      <xdr:col>4</xdr:col>
      <xdr:colOff>80681</xdr:colOff>
      <xdr:row>42</xdr:row>
      <xdr:rowOff>160023</xdr:rowOff>
    </xdr:to>
    <xdr:sp macro="" textlink="">
      <xdr:nvSpPr>
        <xdr:cNvPr id="210" name="楕円 209">
          <a:extLst>
            <a:ext uri="{FF2B5EF4-FFF2-40B4-BE49-F238E27FC236}">
              <a16:creationId xmlns:a16="http://schemas.microsoft.com/office/drawing/2014/main" id="{00000000-0008-0000-0100-0000D2000000}"/>
            </a:ext>
          </a:extLst>
        </xdr:cNvPr>
        <xdr:cNvSpPr/>
      </xdr:nvSpPr>
      <xdr:spPr>
        <a:xfrm>
          <a:off x="2306917" y="10793657"/>
          <a:ext cx="57411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71719</xdr:colOff>
      <xdr:row>40</xdr:row>
      <xdr:rowOff>116541</xdr:rowOff>
    </xdr:from>
    <xdr:to>
      <xdr:col>7</xdr:col>
      <xdr:colOff>699248</xdr:colOff>
      <xdr:row>42</xdr:row>
      <xdr:rowOff>125507</xdr:rowOff>
    </xdr:to>
    <xdr:sp macro="" textlink="">
      <xdr:nvSpPr>
        <xdr:cNvPr id="211" name="楕円 210">
          <a:extLst>
            <a:ext uri="{FF2B5EF4-FFF2-40B4-BE49-F238E27FC236}">
              <a16:creationId xmlns:a16="http://schemas.microsoft.com/office/drawing/2014/main" id="{00000000-0008-0000-0100-0000D3000000}"/>
            </a:ext>
          </a:extLst>
        </xdr:cNvPr>
        <xdr:cNvSpPr/>
      </xdr:nvSpPr>
      <xdr:spPr>
        <a:xfrm>
          <a:off x="4307169" y="10759141"/>
          <a:ext cx="1345079"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414618</xdr:colOff>
      <xdr:row>34</xdr:row>
      <xdr:rowOff>89328</xdr:rowOff>
    </xdr:from>
    <xdr:to>
      <xdr:col>17</xdr:col>
      <xdr:colOff>414618</xdr:colOff>
      <xdr:row>36</xdr:row>
      <xdr:rowOff>187940</xdr:rowOff>
    </xdr:to>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650068" y="8623728"/>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●年間冷房（暖房）時間は、</a:t>
          </a:r>
          <a:r>
            <a:rPr kumimoji="1" lang="ja-JP" altLang="en-US" sz="1100"/>
            <a:t>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976</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ysClr val="windowText" lastClr="000000"/>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a:solidFill>
                <a:sysClr val="windowText" lastClr="000000"/>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en-US" altLang="ja-JP" sz="1100" u="sng">
              <a:solidFill>
                <a:sysClr val="windowText" lastClr="000000"/>
              </a:solidFill>
              <a:effectLst/>
              <a:latin typeface="+mn-lt"/>
              <a:ea typeface="+mn-ea"/>
              <a:cs typeface="+mn-cs"/>
            </a:rPr>
            <a:t>1448</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4</xdr:col>
      <xdr:colOff>340659</xdr:colOff>
      <xdr:row>42</xdr:row>
      <xdr:rowOff>55926</xdr:rowOff>
    </xdr:from>
    <xdr:to>
      <xdr:col>6</xdr:col>
      <xdr:colOff>268647</xdr:colOff>
      <xdr:row>43</xdr:row>
      <xdr:rowOff>152400</xdr:rowOff>
    </xdr:to>
    <xdr:cxnSp macro="">
      <xdr:nvCxnSpPr>
        <xdr:cNvPr id="213" name="直線矢印コネクタ 212">
          <a:extLst>
            <a:ext uri="{FF2B5EF4-FFF2-40B4-BE49-F238E27FC236}">
              <a16:creationId xmlns:a16="http://schemas.microsoft.com/office/drawing/2014/main" id="{00000000-0008-0000-0100-0000D5000000}"/>
            </a:ext>
          </a:extLst>
        </xdr:cNvPr>
        <xdr:cNvCxnSpPr>
          <a:stCxn id="208" idx="0"/>
          <a:endCxn id="211" idx="3"/>
        </xdr:cNvCxnSpPr>
      </xdr:nvCxnSpPr>
      <xdr:spPr>
        <a:xfrm flipV="1">
          <a:off x="3141009" y="11155726"/>
          <a:ext cx="1363088" cy="3314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xdr:colOff>
      <xdr:row>20</xdr:row>
      <xdr:rowOff>226039</xdr:rowOff>
    </xdr:from>
    <xdr:to>
      <xdr:col>8</xdr:col>
      <xdr:colOff>385482</xdr:colOff>
      <xdr:row>28</xdr:row>
      <xdr:rowOff>75306</xdr:rowOff>
    </xdr:to>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705758" y="5420339"/>
          <a:ext cx="5350274" cy="1678067"/>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■対象外設備の考え方</a:t>
          </a:r>
          <a:endParaRPr kumimoji="1" lang="en-US" altLang="ja-JP" sz="1100"/>
        </a:p>
        <a:p>
          <a:endParaRPr kumimoji="1" lang="en-US" altLang="ja-JP" sz="1100"/>
        </a:p>
        <a:p>
          <a:r>
            <a:rPr kumimoji="1" lang="ja-JP" altLang="en-US" sz="1100"/>
            <a:t>・現状の台数では暗いので、台数を増やして明るくしたい→対象外（増設）</a:t>
          </a:r>
          <a:endParaRPr kumimoji="1" lang="en-US" altLang="ja-JP" sz="1100"/>
        </a:p>
        <a:p>
          <a:r>
            <a:rPr kumimoji="1" lang="ja-JP" altLang="en-US" sz="1100"/>
            <a:t>・ダウンライトから同等以下の電力の</a:t>
          </a:r>
          <a:r>
            <a:rPr kumimoji="1" lang="en-US" altLang="ja-JP" sz="1100"/>
            <a:t>LED</a:t>
          </a:r>
          <a:r>
            <a:rPr kumimoji="1" lang="ja-JP" altLang="en-US" sz="1100"/>
            <a:t>スポットライトに更新して、効率よく照らしたい（設備の種類が変わる、消費電力・数量は増加しない）→対象（可）</a:t>
          </a:r>
          <a:endParaRPr kumimoji="1" lang="en-US" altLang="ja-JP" sz="1100"/>
        </a:p>
        <a:p>
          <a:r>
            <a:rPr kumimoji="1" lang="ja-JP" altLang="en-US" sz="1100"/>
            <a:t>・設備ごと交換ができない箇所をバイパス工事で</a:t>
          </a:r>
          <a:r>
            <a:rPr kumimoji="1" lang="en-US" altLang="ja-JP" sz="1100"/>
            <a:t>LED</a:t>
          </a:r>
          <a:r>
            <a:rPr kumimoji="1" lang="ja-JP" altLang="en-US" sz="1100"/>
            <a:t>へ光源交換したい→対象外（光源のみの交換）</a:t>
          </a:r>
          <a:endParaRPr kumimoji="1" lang="en-US" altLang="ja-JP" sz="1100"/>
        </a:p>
      </xdr:txBody>
    </xdr:sp>
    <xdr:clientData/>
  </xdr:twoCellAnchor>
  <xdr:twoCellAnchor>
    <xdr:from>
      <xdr:col>8</xdr:col>
      <xdr:colOff>645459</xdr:colOff>
      <xdr:row>36</xdr:row>
      <xdr:rowOff>98612</xdr:rowOff>
    </xdr:from>
    <xdr:to>
      <xdr:col>9</xdr:col>
      <xdr:colOff>193382</xdr:colOff>
      <xdr:row>40</xdr:row>
      <xdr:rowOff>152400</xdr:rowOff>
    </xdr:to>
    <xdr:cxnSp macro="">
      <xdr:nvCxnSpPr>
        <xdr:cNvPr id="215" name="直線矢印コネクタ 214">
          <a:extLst>
            <a:ext uri="{FF2B5EF4-FFF2-40B4-BE49-F238E27FC236}">
              <a16:creationId xmlns:a16="http://schemas.microsoft.com/office/drawing/2014/main" id="{00000000-0008-0000-0100-0000D7000000}"/>
            </a:ext>
          </a:extLst>
        </xdr:cNvPr>
        <xdr:cNvCxnSpPr>
          <a:endCxn id="216" idx="0"/>
        </xdr:cNvCxnSpPr>
      </xdr:nvCxnSpPr>
      <xdr:spPr>
        <a:xfrm>
          <a:off x="6316009" y="9141012"/>
          <a:ext cx="265473" cy="165398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277907</xdr:colOff>
      <xdr:row>40</xdr:row>
      <xdr:rowOff>152400</xdr:rowOff>
    </xdr:from>
    <xdr:to>
      <xdr:col>10</xdr:col>
      <xdr:colOff>108857</xdr:colOff>
      <xdr:row>42</xdr:row>
      <xdr:rowOff>76200</xdr:rowOff>
    </xdr:to>
    <xdr:sp macro="" textlink="">
      <xdr:nvSpPr>
        <xdr:cNvPr id="216" name="楕円 215">
          <a:extLst>
            <a:ext uri="{FF2B5EF4-FFF2-40B4-BE49-F238E27FC236}">
              <a16:creationId xmlns:a16="http://schemas.microsoft.com/office/drawing/2014/main" id="{00000000-0008-0000-0100-0000D8000000}"/>
            </a:ext>
          </a:extLst>
        </xdr:cNvPr>
        <xdr:cNvSpPr/>
      </xdr:nvSpPr>
      <xdr:spPr>
        <a:xfrm>
          <a:off x="5948457" y="10795000"/>
          <a:ext cx="1266050"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277799</xdr:colOff>
      <xdr:row>40</xdr:row>
      <xdr:rowOff>143435</xdr:rowOff>
    </xdr:from>
    <xdr:to>
      <xdr:col>15</xdr:col>
      <xdr:colOff>145143</xdr:colOff>
      <xdr:row>42</xdr:row>
      <xdr:rowOff>67235</xdr:rowOff>
    </xdr:to>
    <xdr:sp macro="" textlink="">
      <xdr:nvSpPr>
        <xdr:cNvPr id="217" name="楕円 216">
          <a:extLst>
            <a:ext uri="{FF2B5EF4-FFF2-40B4-BE49-F238E27FC236}">
              <a16:creationId xmlns:a16="http://schemas.microsoft.com/office/drawing/2014/main" id="{00000000-0008-0000-0100-0000D9000000}"/>
            </a:ext>
          </a:extLst>
        </xdr:cNvPr>
        <xdr:cNvSpPr/>
      </xdr:nvSpPr>
      <xdr:spPr>
        <a:xfrm>
          <a:off x="9536099" y="10786035"/>
          <a:ext cx="1302444" cy="381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489857</xdr:colOff>
      <xdr:row>36</xdr:row>
      <xdr:rowOff>99785</xdr:rowOff>
    </xdr:from>
    <xdr:to>
      <xdr:col>14</xdr:col>
      <xdr:colOff>211471</xdr:colOff>
      <xdr:row>40</xdr:row>
      <xdr:rowOff>143435</xdr:rowOff>
    </xdr:to>
    <xdr:cxnSp macro="">
      <xdr:nvCxnSpPr>
        <xdr:cNvPr id="218" name="直線矢印コネクタ 217">
          <a:extLst>
            <a:ext uri="{FF2B5EF4-FFF2-40B4-BE49-F238E27FC236}">
              <a16:creationId xmlns:a16="http://schemas.microsoft.com/office/drawing/2014/main" id="{00000000-0008-0000-0100-0000DA000000}"/>
            </a:ext>
          </a:extLst>
        </xdr:cNvPr>
        <xdr:cNvCxnSpPr>
          <a:endCxn id="217" idx="0"/>
        </xdr:cNvCxnSpPr>
      </xdr:nvCxnSpPr>
      <xdr:spPr>
        <a:xfrm>
          <a:off x="9748157" y="9142185"/>
          <a:ext cx="439164" cy="16438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528917</xdr:colOff>
      <xdr:row>60</xdr:row>
      <xdr:rowOff>62752</xdr:rowOff>
    </xdr:from>
    <xdr:to>
      <xdr:col>15</xdr:col>
      <xdr:colOff>44825</xdr:colOff>
      <xdr:row>65</xdr:row>
      <xdr:rowOff>35859</xdr:rowOff>
    </xdr:to>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046817" y="15569452"/>
          <a:ext cx="6691408" cy="112880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a:solidFill>
                <a:sysClr val="windowText" lastClr="000000"/>
              </a:solidFill>
            </a:rPr>
            <a:t>負荷率は</a:t>
          </a:r>
          <a:r>
            <a:rPr kumimoji="1" lang="en-US" altLang="ja-JP" sz="1100" u="sng">
              <a:solidFill>
                <a:sysClr val="windowText" lastClr="000000"/>
              </a:solidFill>
            </a:rPr>
            <a:t>40</a:t>
          </a:r>
          <a:r>
            <a:rPr kumimoji="1" lang="ja-JP" altLang="en-US" sz="1100" u="sng">
              <a:solidFill>
                <a:sysClr val="windowText" lastClr="000000"/>
              </a:solidFill>
            </a:rPr>
            <a:t>％</a:t>
          </a:r>
          <a:r>
            <a:rPr kumimoji="1" lang="ja-JP" altLang="en-US" sz="1100">
              <a:solidFill>
                <a:sysClr val="windowText" lastClr="000000"/>
              </a:solidFill>
            </a:rPr>
            <a:t>を</a:t>
          </a:r>
          <a:r>
            <a:rPr kumimoji="1" lang="ja-JP" altLang="en-US" sz="1100"/>
            <a:t>参考値とします。負荷率を把握していない場合は、そのまま算定してください。</a:t>
          </a:r>
          <a:endParaRPr kumimoji="1" lang="en-US" altLang="ja-JP" sz="1100"/>
        </a:p>
        <a:p>
          <a:endParaRPr kumimoji="1" lang="en-US" altLang="ja-JP" sz="1100"/>
        </a:p>
        <a:p>
          <a:r>
            <a:rPr kumimoji="1" lang="en-US" altLang="ja-JP" sz="1100"/>
            <a:t>※</a:t>
          </a:r>
          <a:r>
            <a:rPr kumimoji="1" lang="ja-JP" altLang="en-US" sz="1100"/>
            <a:t>省エネ診断や施工事業者の測定等により負荷率を把握している場合は、その値を入力してください。</a:t>
          </a:r>
          <a:endParaRPr kumimoji="1" lang="en-US" altLang="ja-JP" sz="1100"/>
        </a:p>
        <a:p>
          <a:r>
            <a:rPr kumimoji="1" lang="ja-JP" altLang="en-US" sz="1100"/>
            <a:t>（注意メッセージをご確認の上、「はい」を選択して上書きしてください。）</a:t>
          </a:r>
          <a:endParaRPr kumimoji="1" lang="en-US" altLang="ja-JP" sz="1100"/>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把握している値が複数ある場合は、全体平均を求めるなど、一つの値に整理してください。</a:t>
          </a:r>
          <a:endParaRPr kumimoji="1" lang="en-US" altLang="ja-JP" sz="1100"/>
        </a:p>
      </xdr:txBody>
    </xdr:sp>
    <xdr:clientData/>
  </xdr:twoCellAnchor>
  <xdr:twoCellAnchor>
    <xdr:from>
      <xdr:col>2</xdr:col>
      <xdr:colOff>703724</xdr:colOff>
      <xdr:row>62</xdr:row>
      <xdr:rowOff>98612</xdr:rowOff>
    </xdr:from>
    <xdr:to>
      <xdr:col>5</xdr:col>
      <xdr:colOff>528917</xdr:colOff>
      <xdr:row>65</xdr:row>
      <xdr:rowOff>28755</xdr:rowOff>
    </xdr:to>
    <xdr:cxnSp macro="">
      <xdr:nvCxnSpPr>
        <xdr:cNvPr id="230" name="直線矢印コネクタ 229">
          <a:extLst>
            <a:ext uri="{FF2B5EF4-FFF2-40B4-BE49-F238E27FC236}">
              <a16:creationId xmlns:a16="http://schemas.microsoft.com/office/drawing/2014/main" id="{00000000-0008-0000-0100-0000E6000000}"/>
            </a:ext>
          </a:extLst>
        </xdr:cNvPr>
        <xdr:cNvCxnSpPr>
          <a:stCxn id="229" idx="1"/>
          <a:endCxn id="231" idx="7"/>
        </xdr:cNvCxnSpPr>
      </xdr:nvCxnSpPr>
      <xdr:spPr>
        <a:xfrm flipH="1">
          <a:off x="2068974" y="16075212"/>
          <a:ext cx="1977843" cy="6159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215153</xdr:colOff>
      <xdr:row>64</xdr:row>
      <xdr:rowOff>180637</xdr:rowOff>
    </xdr:from>
    <xdr:to>
      <xdr:col>3</xdr:col>
      <xdr:colOff>70372</xdr:colOff>
      <xdr:row>67</xdr:row>
      <xdr:rowOff>17929</xdr:rowOff>
    </xdr:to>
    <xdr:sp macro="" textlink="">
      <xdr:nvSpPr>
        <xdr:cNvPr id="231" name="楕円 230">
          <a:extLst>
            <a:ext uri="{FF2B5EF4-FFF2-40B4-BE49-F238E27FC236}">
              <a16:creationId xmlns:a16="http://schemas.microsoft.com/office/drawing/2014/main" id="{00000000-0008-0000-0100-0000E7000000}"/>
            </a:ext>
          </a:extLst>
        </xdr:cNvPr>
        <xdr:cNvSpPr/>
      </xdr:nvSpPr>
      <xdr:spPr>
        <a:xfrm>
          <a:off x="1580403" y="16614437"/>
          <a:ext cx="572769" cy="57389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322729</xdr:colOff>
      <xdr:row>75</xdr:row>
      <xdr:rowOff>44824</xdr:rowOff>
    </xdr:from>
    <xdr:to>
      <xdr:col>12</xdr:col>
      <xdr:colOff>304800</xdr:colOff>
      <xdr:row>85</xdr:row>
      <xdr:rowOff>53787</xdr:rowOff>
    </xdr:to>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3840629" y="19532974"/>
          <a:ext cx="5004921" cy="2294963"/>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7</xdr:col>
      <xdr:colOff>421340</xdr:colOff>
      <xdr:row>73</xdr:row>
      <xdr:rowOff>160023</xdr:rowOff>
    </xdr:from>
    <xdr:to>
      <xdr:col>8</xdr:col>
      <xdr:colOff>672353</xdr:colOff>
      <xdr:row>75</xdr:row>
      <xdr:rowOff>44824</xdr:rowOff>
    </xdr:to>
    <xdr:cxnSp macro="">
      <xdr:nvCxnSpPr>
        <xdr:cNvPr id="233" name="直線矢印コネクタ 232">
          <a:extLst>
            <a:ext uri="{FF2B5EF4-FFF2-40B4-BE49-F238E27FC236}">
              <a16:creationId xmlns:a16="http://schemas.microsoft.com/office/drawing/2014/main" id="{00000000-0008-0000-0100-0000E9000000}"/>
            </a:ext>
          </a:extLst>
        </xdr:cNvPr>
        <xdr:cNvCxnSpPr>
          <a:stCxn id="232" idx="0"/>
          <a:endCxn id="234" idx="4"/>
        </xdr:cNvCxnSpPr>
      </xdr:nvCxnSpPr>
      <xdr:spPr>
        <a:xfrm flipH="1" flipV="1">
          <a:off x="5374340" y="19184623"/>
          <a:ext cx="968563" cy="34835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206187</xdr:colOff>
      <xdr:row>71</xdr:row>
      <xdr:rowOff>151057</xdr:rowOff>
    </xdr:from>
    <xdr:to>
      <xdr:col>8</xdr:col>
      <xdr:colOff>636493</xdr:colOff>
      <xdr:row>73</xdr:row>
      <xdr:rowOff>160023</xdr:rowOff>
    </xdr:to>
    <xdr:sp macro="" textlink="">
      <xdr:nvSpPr>
        <xdr:cNvPr id="234" name="楕円 233">
          <a:extLst>
            <a:ext uri="{FF2B5EF4-FFF2-40B4-BE49-F238E27FC236}">
              <a16:creationId xmlns:a16="http://schemas.microsoft.com/office/drawing/2014/main" id="{00000000-0008-0000-0100-0000EA000000}"/>
            </a:ext>
          </a:extLst>
        </xdr:cNvPr>
        <xdr:cNvSpPr/>
      </xdr:nvSpPr>
      <xdr:spPr>
        <a:xfrm>
          <a:off x="4441637" y="18718457"/>
          <a:ext cx="1865406"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528918</xdr:colOff>
      <xdr:row>65</xdr:row>
      <xdr:rowOff>116541</xdr:rowOff>
    </xdr:from>
    <xdr:to>
      <xdr:col>16</xdr:col>
      <xdr:colOff>528918</xdr:colOff>
      <xdr:row>67</xdr:row>
      <xdr:rowOff>215153</xdr:rowOff>
    </xdr:to>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046818" y="16778941"/>
          <a:ext cx="7893050" cy="606612"/>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●年間冷房（暖房）時間は、実際に設備を稼働している時間を記載してください。（根拠資料の提出は任意です。）</a:t>
          </a:r>
          <a:endParaRPr kumimoji="1" lang="en-US" altLang="ja-JP" sz="1100"/>
        </a:p>
        <a:p>
          <a:r>
            <a:rPr kumimoji="1" lang="ja-JP" altLang="en-US" sz="1100"/>
            <a:t>例：</a:t>
          </a:r>
          <a:r>
            <a:rPr kumimoji="1" lang="en-US" altLang="ja-JP" sz="1100" u="none">
              <a:solidFill>
                <a:sysClr val="windowText" lastClr="000000"/>
              </a:solidFill>
            </a:rPr>
            <a:t>6</a:t>
          </a:r>
          <a:r>
            <a:rPr kumimoji="1" lang="ja-JP" altLang="en-US" sz="1100" u="none">
              <a:solidFill>
                <a:sysClr val="windowText" lastClr="000000"/>
              </a:solidFill>
            </a:rPr>
            <a:t>～</a:t>
          </a:r>
          <a:r>
            <a:rPr kumimoji="1" lang="en-US" altLang="ja-JP" sz="1100" u="none">
              <a:solidFill>
                <a:sysClr val="windowText" lastClr="000000"/>
              </a:solidFill>
            </a:rPr>
            <a:t>9</a:t>
          </a:r>
          <a:r>
            <a:rPr kumimoji="1" lang="ja-JP" altLang="en-US" sz="1100" u="none">
              <a:solidFill>
                <a:sysClr val="windowText" lastClr="000000"/>
              </a:solidFill>
            </a:rPr>
            <a:t>月に冷房→</a:t>
          </a:r>
          <a:r>
            <a:rPr kumimoji="1" lang="en-US" altLang="ja-JP" sz="1100" u="none">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a:t>
          </a:r>
          <a:r>
            <a:rPr kumimoji="1" lang="en-US" altLang="ja-JP" sz="1100" u="none">
              <a:solidFill>
                <a:sysClr val="windowText" lastClr="000000"/>
              </a:solidFill>
            </a:rPr>
            <a:t>122</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1220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r>
            <a:rPr kumimoji="1" lang="ja-JP" altLang="en-US" sz="1100" u="none">
              <a:solidFill>
                <a:sysClr val="windowText" lastClr="000000"/>
              </a:solidFill>
            </a:rPr>
            <a:t>、</a:t>
          </a:r>
          <a:r>
            <a:rPr kumimoji="1" lang="en-US" altLang="ja-JP" sz="1100" u="none">
              <a:solidFill>
                <a:schemeClr val="dk1"/>
              </a:solidFill>
              <a:effectLst/>
              <a:latin typeface="+mn-lt"/>
              <a:ea typeface="+mn-ea"/>
              <a:cs typeface="+mn-cs"/>
            </a:rPr>
            <a:t>11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月に</a:t>
          </a:r>
          <a:r>
            <a:rPr kumimoji="1" lang="ja-JP" altLang="en-US" sz="1100">
              <a:solidFill>
                <a:schemeClr val="dk1"/>
              </a:solidFill>
              <a:effectLst/>
              <a:latin typeface="+mn-lt"/>
              <a:ea typeface="+mn-ea"/>
              <a:cs typeface="+mn-cs"/>
            </a:rPr>
            <a:t>暖房</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時間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a:t>
          </a:r>
          <a:r>
            <a:rPr kumimoji="1" lang="en-US" altLang="ja-JP" sz="1100">
              <a:solidFill>
                <a:schemeClr val="dk1"/>
              </a:solidFill>
              <a:effectLst/>
              <a:latin typeface="+mn-lt"/>
              <a:ea typeface="+mn-ea"/>
              <a:cs typeface="+mn-cs"/>
            </a:rPr>
            <a:t>×181</a:t>
          </a:r>
          <a:r>
            <a:rPr kumimoji="1" lang="ja-JP" altLang="ja-JP" sz="1100">
              <a:solidFill>
                <a:schemeClr val="dk1"/>
              </a:solidFill>
              <a:effectLst/>
              <a:latin typeface="+mn-lt"/>
              <a:ea typeface="+mn-ea"/>
              <a:cs typeface="+mn-cs"/>
            </a:rPr>
            <a:t>日</a:t>
          </a:r>
          <a:r>
            <a:rPr kumimoji="1" lang="ja-JP" altLang="ja-JP" sz="1100">
              <a:solidFill>
                <a:sysClr val="windowText" lastClr="000000"/>
              </a:solidFill>
              <a:effectLst/>
              <a:latin typeface="+mn-lt"/>
              <a:ea typeface="+mn-ea"/>
              <a:cs typeface="+mn-cs"/>
            </a:rPr>
            <a:t>＝</a:t>
          </a:r>
          <a:r>
            <a:rPr kumimoji="1" lang="en-US" altLang="ja-JP" sz="1100" u="sng">
              <a:solidFill>
                <a:sysClr val="windowText" lastClr="000000"/>
              </a:solidFill>
              <a:effectLst/>
              <a:latin typeface="+mn-lt"/>
              <a:ea typeface="+mn-ea"/>
              <a:cs typeface="+mn-cs"/>
            </a:rPr>
            <a:t>1810</a:t>
          </a:r>
          <a:r>
            <a:rPr kumimoji="1" lang="ja-JP" altLang="ja-JP" sz="1100" u="sng">
              <a:solidFill>
                <a:sysClr val="windowText" lastClr="000000"/>
              </a:solidFill>
              <a:effectLst/>
              <a:latin typeface="+mn-lt"/>
              <a:ea typeface="+mn-ea"/>
              <a:cs typeface="+mn-cs"/>
            </a:rPr>
            <a:t>時間</a:t>
          </a:r>
          <a:r>
            <a:rPr kumimoji="1" lang="en-US" altLang="ja-JP" sz="1100" u="sng">
              <a:solidFill>
                <a:sysClr val="windowText" lastClr="000000"/>
              </a:solidFill>
              <a:effectLst/>
              <a:latin typeface="+mn-lt"/>
              <a:ea typeface="+mn-ea"/>
              <a:cs typeface="+mn-cs"/>
            </a:rPr>
            <a:t>/</a:t>
          </a:r>
          <a:r>
            <a:rPr kumimoji="1" lang="ja-JP" altLang="ja-JP" sz="1100" u="sng">
              <a:solidFill>
                <a:sysClr val="windowText" lastClr="000000"/>
              </a:solidFill>
              <a:effectLst/>
              <a:latin typeface="+mn-lt"/>
              <a:ea typeface="+mn-ea"/>
              <a:cs typeface="+mn-cs"/>
            </a:rPr>
            <a:t>年</a:t>
          </a:r>
          <a:endParaRPr kumimoji="1" lang="ja-JP" altLang="en-US" sz="1100" u="sng">
            <a:solidFill>
              <a:sysClr val="windowText" lastClr="000000"/>
            </a:solidFill>
          </a:endParaRPr>
        </a:p>
      </xdr:txBody>
    </xdr:sp>
    <xdr:clientData/>
  </xdr:twoCellAnchor>
  <xdr:twoCellAnchor>
    <xdr:from>
      <xdr:col>9</xdr:col>
      <xdr:colOff>611909</xdr:colOff>
      <xdr:row>67</xdr:row>
      <xdr:rowOff>138545</xdr:rowOff>
    </xdr:from>
    <xdr:to>
      <xdr:col>10</xdr:col>
      <xdr:colOff>184524</xdr:colOff>
      <xdr:row>71</xdr:row>
      <xdr:rowOff>134469</xdr:rowOff>
    </xdr:to>
    <xdr:cxnSp macro="">
      <xdr:nvCxnSpPr>
        <xdr:cNvPr id="236" name="直線矢印コネクタ 235">
          <a:extLst>
            <a:ext uri="{FF2B5EF4-FFF2-40B4-BE49-F238E27FC236}">
              <a16:creationId xmlns:a16="http://schemas.microsoft.com/office/drawing/2014/main" id="{00000000-0008-0000-0100-0000EC000000}"/>
            </a:ext>
          </a:extLst>
        </xdr:cNvPr>
        <xdr:cNvCxnSpPr>
          <a:endCxn id="237" idx="0"/>
        </xdr:cNvCxnSpPr>
      </xdr:nvCxnSpPr>
      <xdr:spPr>
        <a:xfrm>
          <a:off x="7000009" y="17308945"/>
          <a:ext cx="290165" cy="1392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242048</xdr:colOff>
      <xdr:row>71</xdr:row>
      <xdr:rowOff>134469</xdr:rowOff>
    </xdr:from>
    <xdr:to>
      <xdr:col>11</xdr:col>
      <xdr:colOff>127000</xdr:colOff>
      <xdr:row>73</xdr:row>
      <xdr:rowOff>57727</xdr:rowOff>
    </xdr:to>
    <xdr:sp macro="" textlink="">
      <xdr:nvSpPr>
        <xdr:cNvPr id="237" name="楕円 236">
          <a:extLst>
            <a:ext uri="{FF2B5EF4-FFF2-40B4-BE49-F238E27FC236}">
              <a16:creationId xmlns:a16="http://schemas.microsoft.com/office/drawing/2014/main" id="{00000000-0008-0000-0100-0000ED000000}"/>
            </a:ext>
          </a:extLst>
        </xdr:cNvPr>
        <xdr:cNvSpPr/>
      </xdr:nvSpPr>
      <xdr:spPr>
        <a:xfrm>
          <a:off x="6630148" y="18701869"/>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215018</xdr:colOff>
      <xdr:row>71</xdr:row>
      <xdr:rowOff>194643</xdr:rowOff>
    </xdr:from>
    <xdr:to>
      <xdr:col>15</xdr:col>
      <xdr:colOff>103909</xdr:colOff>
      <xdr:row>73</xdr:row>
      <xdr:rowOff>11546</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8755768" y="18762043"/>
          <a:ext cx="2041541" cy="27410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671673</xdr:colOff>
      <xdr:row>72</xdr:row>
      <xdr:rowOff>103094</xdr:rowOff>
    </xdr:from>
    <xdr:to>
      <xdr:col>12</xdr:col>
      <xdr:colOff>215018</xdr:colOff>
      <xdr:row>75</xdr:row>
      <xdr:rowOff>44824</xdr:rowOff>
    </xdr:to>
    <xdr:cxnSp macro="">
      <xdr:nvCxnSpPr>
        <xdr:cNvPr id="239" name="直線矢印コネクタ 238">
          <a:extLst>
            <a:ext uri="{FF2B5EF4-FFF2-40B4-BE49-F238E27FC236}">
              <a16:creationId xmlns:a16="http://schemas.microsoft.com/office/drawing/2014/main" id="{00000000-0008-0000-0100-0000EF000000}"/>
            </a:ext>
          </a:extLst>
        </xdr:cNvPr>
        <xdr:cNvCxnSpPr>
          <a:stCxn id="232" idx="0"/>
          <a:endCxn id="238" idx="2"/>
        </xdr:cNvCxnSpPr>
      </xdr:nvCxnSpPr>
      <xdr:spPr>
        <a:xfrm flipV="1">
          <a:off x="6342223" y="18899094"/>
          <a:ext cx="2413545" cy="63388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528919</xdr:colOff>
      <xdr:row>77</xdr:row>
      <xdr:rowOff>17929</xdr:rowOff>
    </xdr:from>
    <xdr:to>
      <xdr:col>16</xdr:col>
      <xdr:colOff>152401</xdr:colOff>
      <xdr:row>85</xdr:row>
      <xdr:rowOff>53787</xdr:rowOff>
    </xdr:to>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069669" y="19963279"/>
          <a:ext cx="2493682" cy="18646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●定格能力・消費電力を記入して、算定してください。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・定格能力の合計</a:t>
          </a:r>
          <a:r>
            <a:rPr kumimoji="1" lang="en-US" altLang="ja-JP" sz="1100"/>
            <a:t>(kW)</a:t>
          </a:r>
          <a:r>
            <a:rPr kumimoji="1" lang="ja-JP" altLang="en-US" sz="1100"/>
            <a:t>の増加は原則認められません。</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20</xdr:col>
      <xdr:colOff>685119</xdr:colOff>
      <xdr:row>71</xdr:row>
      <xdr:rowOff>206188</xdr:rowOff>
    </xdr:from>
    <xdr:to>
      <xdr:col>26</xdr:col>
      <xdr:colOff>69272</xdr:colOff>
      <xdr:row>73</xdr:row>
      <xdr:rowOff>57726</xdr:rowOff>
    </xdr:to>
    <xdr:sp macro="" textlink="">
      <xdr:nvSpPr>
        <xdr:cNvPr id="241" name="正方形/長方形 240">
          <a:extLst>
            <a:ext uri="{FF2B5EF4-FFF2-40B4-BE49-F238E27FC236}">
              <a16:creationId xmlns:a16="http://schemas.microsoft.com/office/drawing/2014/main" id="{00000000-0008-0000-0100-0000F1000000}"/>
            </a:ext>
          </a:extLst>
        </xdr:cNvPr>
        <xdr:cNvSpPr/>
      </xdr:nvSpPr>
      <xdr:spPr>
        <a:xfrm>
          <a:off x="14966269" y="18773588"/>
          <a:ext cx="3511653" cy="308738"/>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22005</xdr:colOff>
      <xdr:row>71</xdr:row>
      <xdr:rowOff>215153</xdr:rowOff>
    </xdr:from>
    <xdr:to>
      <xdr:col>30</xdr:col>
      <xdr:colOff>91007</xdr:colOff>
      <xdr:row>73</xdr:row>
      <xdr:rowOff>44825</xdr:rowOff>
    </xdr:to>
    <xdr:sp macro="" textlink="">
      <xdr:nvSpPr>
        <xdr:cNvPr id="242" name="正方形/長方形 241">
          <a:extLst>
            <a:ext uri="{FF2B5EF4-FFF2-40B4-BE49-F238E27FC236}">
              <a16:creationId xmlns:a16="http://schemas.microsoft.com/office/drawing/2014/main" id="{00000000-0008-0000-0100-0000F2000000}"/>
            </a:ext>
          </a:extLst>
        </xdr:cNvPr>
        <xdr:cNvSpPr/>
      </xdr:nvSpPr>
      <xdr:spPr>
        <a:xfrm>
          <a:off x="19103755" y="18782553"/>
          <a:ext cx="2088302" cy="28687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152401</xdr:colOff>
      <xdr:row>78</xdr:row>
      <xdr:rowOff>116541</xdr:rowOff>
    </xdr:from>
    <xdr:to>
      <xdr:col>17</xdr:col>
      <xdr:colOff>1</xdr:colOff>
      <xdr:row>81</xdr:row>
      <xdr:rowOff>35858</xdr:rowOff>
    </xdr:to>
    <xdr:cxnSp macro="">
      <xdr:nvCxnSpPr>
        <xdr:cNvPr id="243" name="直線矢印コネクタ 242">
          <a:extLst>
            <a:ext uri="{FF2B5EF4-FFF2-40B4-BE49-F238E27FC236}">
              <a16:creationId xmlns:a16="http://schemas.microsoft.com/office/drawing/2014/main" id="{00000000-0008-0000-0100-0000F3000000}"/>
            </a:ext>
          </a:extLst>
        </xdr:cNvPr>
        <xdr:cNvCxnSpPr>
          <a:stCxn id="240" idx="3"/>
          <a:endCxn id="255" idx="1"/>
        </xdr:cNvCxnSpPr>
      </xdr:nvCxnSpPr>
      <xdr:spPr>
        <a:xfrm flipV="1">
          <a:off x="11563351" y="20290491"/>
          <a:ext cx="565150" cy="6051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152401</xdr:colOff>
      <xdr:row>81</xdr:row>
      <xdr:rowOff>35858</xdr:rowOff>
    </xdr:from>
    <xdr:to>
      <xdr:col>17</xdr:col>
      <xdr:colOff>0</xdr:colOff>
      <xdr:row>84</xdr:row>
      <xdr:rowOff>116541</xdr:rowOff>
    </xdr:to>
    <xdr:cxnSp macro="">
      <xdr:nvCxnSpPr>
        <xdr:cNvPr id="244" name="直線矢印コネクタ 243">
          <a:extLst>
            <a:ext uri="{FF2B5EF4-FFF2-40B4-BE49-F238E27FC236}">
              <a16:creationId xmlns:a16="http://schemas.microsoft.com/office/drawing/2014/main" id="{00000000-0008-0000-0100-0000F4000000}"/>
            </a:ext>
          </a:extLst>
        </xdr:cNvPr>
        <xdr:cNvCxnSpPr>
          <a:stCxn id="240" idx="3"/>
          <a:endCxn id="256" idx="1"/>
        </xdr:cNvCxnSpPr>
      </xdr:nvCxnSpPr>
      <xdr:spPr>
        <a:xfrm>
          <a:off x="11563351" y="20895608"/>
          <a:ext cx="565149" cy="7664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680870</xdr:colOff>
      <xdr:row>74</xdr:row>
      <xdr:rowOff>198119</xdr:rowOff>
    </xdr:from>
    <xdr:to>
      <xdr:col>21</xdr:col>
      <xdr:colOff>72166</xdr:colOff>
      <xdr:row>76</xdr:row>
      <xdr:rowOff>54684</xdr:rowOff>
    </xdr:to>
    <xdr:sp macro="" textlink="">
      <xdr:nvSpPr>
        <xdr:cNvPr id="250" name="正方形/長方形 249">
          <a:extLst>
            <a:ext uri="{FF2B5EF4-FFF2-40B4-BE49-F238E27FC236}">
              <a16:creationId xmlns:a16="http://schemas.microsoft.com/office/drawing/2014/main" id="{00000000-0008-0000-0100-0000FA000000}"/>
            </a:ext>
          </a:extLst>
        </xdr:cNvPr>
        <xdr:cNvSpPr/>
      </xdr:nvSpPr>
      <xdr:spPr>
        <a:xfrm>
          <a:off x="14244470" y="19457669"/>
          <a:ext cx="826396" cy="31376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679688</xdr:colOff>
      <xdr:row>73</xdr:row>
      <xdr:rowOff>98611</xdr:rowOff>
    </xdr:from>
    <xdr:to>
      <xdr:col>21</xdr:col>
      <xdr:colOff>456929</xdr:colOff>
      <xdr:row>74</xdr:row>
      <xdr:rowOff>161364</xdr:rowOff>
    </xdr:to>
    <xdr:sp macro="" textlink="">
      <xdr:nvSpPr>
        <xdr:cNvPr id="251" name="下矢印 250">
          <a:extLst>
            <a:ext uri="{FF2B5EF4-FFF2-40B4-BE49-F238E27FC236}">
              <a16:creationId xmlns:a16="http://schemas.microsoft.com/office/drawing/2014/main" id="{00000000-0008-0000-0100-0000FB000000}"/>
            </a:ext>
          </a:extLst>
        </xdr:cNvPr>
        <xdr:cNvSpPr/>
      </xdr:nvSpPr>
      <xdr:spPr>
        <a:xfrm rot="10800000">
          <a:off x="14960838" y="19123211"/>
          <a:ext cx="494791" cy="297703"/>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367552</xdr:colOff>
      <xdr:row>89</xdr:row>
      <xdr:rowOff>53787</xdr:rowOff>
    </xdr:from>
    <xdr:to>
      <xdr:col>16</xdr:col>
      <xdr:colOff>295835</xdr:colOff>
      <xdr:row>91</xdr:row>
      <xdr:rowOff>224117</xdr:rowOff>
    </xdr:to>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8190752" y="22742337"/>
          <a:ext cx="3516033" cy="62753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●最大・中間・最低能力、低温能力など、定格以外の能力では算定しないでください。</a:t>
          </a:r>
          <a:endParaRPr kumimoji="1" lang="en-US" altLang="ja-JP" sz="1100"/>
        </a:p>
      </xdr:txBody>
    </xdr:sp>
    <xdr:clientData/>
  </xdr:twoCellAnchor>
  <xdr:twoCellAnchor>
    <xdr:from>
      <xdr:col>16</xdr:col>
      <xdr:colOff>295835</xdr:colOff>
      <xdr:row>87</xdr:row>
      <xdr:rowOff>111834</xdr:rowOff>
    </xdr:from>
    <xdr:to>
      <xdr:col>17</xdr:col>
      <xdr:colOff>26894</xdr:colOff>
      <xdr:row>90</xdr:row>
      <xdr:rowOff>138952</xdr:rowOff>
    </xdr:to>
    <xdr:cxnSp macro="">
      <xdr:nvCxnSpPr>
        <xdr:cNvPr id="253" name="直線矢印コネクタ 252">
          <a:extLst>
            <a:ext uri="{FF2B5EF4-FFF2-40B4-BE49-F238E27FC236}">
              <a16:creationId xmlns:a16="http://schemas.microsoft.com/office/drawing/2014/main" id="{00000000-0008-0000-0100-0000FD000000}"/>
            </a:ext>
          </a:extLst>
        </xdr:cNvPr>
        <xdr:cNvCxnSpPr>
          <a:stCxn id="252" idx="3"/>
          <a:endCxn id="257" idx="2"/>
        </xdr:cNvCxnSpPr>
      </xdr:nvCxnSpPr>
      <xdr:spPr>
        <a:xfrm flipV="1">
          <a:off x="11706785" y="22343184"/>
          <a:ext cx="448609" cy="7129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20171</xdr:colOff>
      <xdr:row>80</xdr:row>
      <xdr:rowOff>98613</xdr:rowOff>
    </xdr:from>
    <xdr:to>
      <xdr:col>17</xdr:col>
      <xdr:colOff>699247</xdr:colOff>
      <xdr:row>82</xdr:row>
      <xdr:rowOff>142988</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12148671" y="20729763"/>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77</xdr:row>
      <xdr:rowOff>0</xdr:rowOff>
    </xdr:from>
    <xdr:to>
      <xdr:col>21</xdr:col>
      <xdr:colOff>1</xdr:colOff>
      <xdr:row>80</xdr:row>
      <xdr:rowOff>1</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12128501" y="199453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21</xdr:col>
      <xdr:colOff>0</xdr:colOff>
      <xdr:row>86</xdr:row>
      <xdr:rowOff>1</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2128500" y="21316950"/>
          <a:ext cx="2870200" cy="68580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86</xdr:row>
      <xdr:rowOff>89647</xdr:rowOff>
    </xdr:from>
    <xdr:to>
      <xdr:col>17</xdr:col>
      <xdr:colOff>705970</xdr:colOff>
      <xdr:row>88</xdr:row>
      <xdr:rowOff>134022</xdr:rowOff>
    </xdr:to>
    <xdr:sp macro="" textlink="">
      <xdr:nvSpPr>
        <xdr:cNvPr id="257" name="楕円 256">
          <a:extLst>
            <a:ext uri="{FF2B5EF4-FFF2-40B4-BE49-F238E27FC236}">
              <a16:creationId xmlns:a16="http://schemas.microsoft.com/office/drawing/2014/main" id="{00000000-0008-0000-0100-000001010000}"/>
            </a:ext>
          </a:extLst>
        </xdr:cNvPr>
        <xdr:cNvSpPr/>
      </xdr:nvSpPr>
      <xdr:spPr>
        <a:xfrm>
          <a:off x="12155394" y="22092397"/>
          <a:ext cx="679076" cy="5015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26894</xdr:colOff>
      <xdr:row>89</xdr:row>
      <xdr:rowOff>89647</xdr:rowOff>
    </xdr:from>
    <xdr:to>
      <xdr:col>17</xdr:col>
      <xdr:colOff>705970</xdr:colOff>
      <xdr:row>91</xdr:row>
      <xdr:rowOff>134023</xdr:rowOff>
    </xdr:to>
    <xdr:sp macro="" textlink="">
      <xdr:nvSpPr>
        <xdr:cNvPr id="258" name="楕円 257">
          <a:extLst>
            <a:ext uri="{FF2B5EF4-FFF2-40B4-BE49-F238E27FC236}">
              <a16:creationId xmlns:a16="http://schemas.microsoft.com/office/drawing/2014/main" id="{00000000-0008-0000-0100-000002010000}"/>
            </a:ext>
          </a:extLst>
        </xdr:cNvPr>
        <xdr:cNvSpPr/>
      </xdr:nvSpPr>
      <xdr:spPr>
        <a:xfrm>
          <a:off x="12155394" y="22778197"/>
          <a:ext cx="679076" cy="501576"/>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295835</xdr:colOff>
      <xdr:row>82</xdr:row>
      <xdr:rowOff>68221</xdr:rowOff>
    </xdr:from>
    <xdr:to>
      <xdr:col>17</xdr:col>
      <xdr:colOff>119619</xdr:colOff>
      <xdr:row>90</xdr:row>
      <xdr:rowOff>138952</xdr:rowOff>
    </xdr:to>
    <xdr:cxnSp macro="">
      <xdr:nvCxnSpPr>
        <xdr:cNvPr id="259" name="直線矢印コネクタ 258">
          <a:extLst>
            <a:ext uri="{FF2B5EF4-FFF2-40B4-BE49-F238E27FC236}">
              <a16:creationId xmlns:a16="http://schemas.microsoft.com/office/drawing/2014/main" id="{00000000-0008-0000-0100-000003010000}"/>
            </a:ext>
          </a:extLst>
        </xdr:cNvPr>
        <xdr:cNvCxnSpPr>
          <a:stCxn id="252" idx="3"/>
          <a:endCxn id="254" idx="3"/>
        </xdr:cNvCxnSpPr>
      </xdr:nvCxnSpPr>
      <xdr:spPr>
        <a:xfrm flipV="1">
          <a:off x="11706785" y="21156571"/>
          <a:ext cx="541334" cy="18995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295835</xdr:colOff>
      <xdr:row>90</xdr:row>
      <xdr:rowOff>111835</xdr:rowOff>
    </xdr:from>
    <xdr:to>
      <xdr:col>17</xdr:col>
      <xdr:colOff>26894</xdr:colOff>
      <xdr:row>90</xdr:row>
      <xdr:rowOff>138952</xdr:rowOff>
    </xdr:to>
    <xdr:cxnSp macro="">
      <xdr:nvCxnSpPr>
        <xdr:cNvPr id="260" name="直線矢印コネクタ 259">
          <a:extLst>
            <a:ext uri="{FF2B5EF4-FFF2-40B4-BE49-F238E27FC236}">
              <a16:creationId xmlns:a16="http://schemas.microsoft.com/office/drawing/2014/main" id="{00000000-0008-0000-0100-000004010000}"/>
            </a:ext>
          </a:extLst>
        </xdr:cNvPr>
        <xdr:cNvCxnSpPr>
          <a:stCxn id="252" idx="3"/>
          <a:endCxn id="258" idx="2"/>
        </xdr:cNvCxnSpPr>
      </xdr:nvCxnSpPr>
      <xdr:spPr>
        <a:xfrm flipV="1">
          <a:off x="11706785" y="23028985"/>
          <a:ext cx="448609" cy="2711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215153</xdr:colOff>
      <xdr:row>94</xdr:row>
      <xdr:rowOff>8963</xdr:rowOff>
    </xdr:from>
    <xdr:to>
      <xdr:col>17</xdr:col>
      <xdr:colOff>331694</xdr:colOff>
      <xdr:row>102</xdr:row>
      <xdr:rowOff>80682</xdr:rowOff>
    </xdr:to>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450603" y="23980213"/>
          <a:ext cx="8009591" cy="195131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●仕様書等にある、定格能力等で算定してください。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・仕様書等が手元にない、能力で不明点がある場合は、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a:t>
          </a:r>
          <a:r>
            <a:rPr kumimoji="1" lang="ja-JP" altLang="en-US" sz="1100">
              <a:solidFill>
                <a:schemeClr val="dk1"/>
              </a:solidFill>
              <a:effectLst/>
              <a:latin typeface="+mn-lt"/>
              <a:ea typeface="+mn-ea"/>
              <a:cs typeface="+mn-cs"/>
            </a:rPr>
            <a:t>メーカーへ</a:t>
          </a:r>
          <a:r>
            <a:rPr kumimoji="1" lang="ja-JP" altLang="ja-JP" sz="1100">
              <a:solidFill>
                <a:schemeClr val="dk1"/>
              </a:solidFill>
              <a:effectLst/>
              <a:latin typeface="+mn-lt"/>
              <a:ea typeface="+mn-ea"/>
              <a:cs typeface="+mn-cs"/>
            </a:rPr>
            <a:t>問合せ</a:t>
          </a:r>
          <a:r>
            <a:rPr kumimoji="1" lang="ja-JP" altLang="en-US" sz="1100">
              <a:solidFill>
                <a:schemeClr val="dk1"/>
              </a:solidFill>
              <a:effectLst/>
              <a:latin typeface="+mn-lt"/>
              <a:ea typeface="+mn-ea"/>
              <a:cs typeface="+mn-cs"/>
            </a:rPr>
            <a:t>て</a:t>
          </a:r>
          <a:r>
            <a:rPr kumimoji="1" lang="ja-JP" altLang="ja-JP" sz="1100">
              <a:solidFill>
                <a:schemeClr val="dk1"/>
              </a:solidFill>
              <a:effectLst/>
              <a:latin typeface="+mn-lt"/>
              <a:ea typeface="+mn-ea"/>
              <a:cs typeface="+mn-cs"/>
            </a:rPr>
            <a:t>確認してください。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11</xdr:col>
      <xdr:colOff>658905</xdr:colOff>
      <xdr:row>102</xdr:row>
      <xdr:rowOff>80682</xdr:rowOff>
    </xdr:from>
    <xdr:to>
      <xdr:col>12</xdr:col>
      <xdr:colOff>268943</xdr:colOff>
      <xdr:row>108</xdr:row>
      <xdr:rowOff>197223</xdr:rowOff>
    </xdr:to>
    <xdr:cxnSp macro="">
      <xdr:nvCxnSpPr>
        <xdr:cNvPr id="262" name="直線矢印コネクタ 261">
          <a:extLst>
            <a:ext uri="{FF2B5EF4-FFF2-40B4-BE49-F238E27FC236}">
              <a16:creationId xmlns:a16="http://schemas.microsoft.com/office/drawing/2014/main" id="{00000000-0008-0000-0100-000006010000}"/>
            </a:ext>
          </a:extLst>
        </xdr:cNvPr>
        <xdr:cNvCxnSpPr>
          <a:endCxn id="263" idx="0"/>
        </xdr:cNvCxnSpPr>
      </xdr:nvCxnSpPr>
      <xdr:spPr>
        <a:xfrm>
          <a:off x="8482105" y="25931532"/>
          <a:ext cx="327588" cy="212314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358590</xdr:colOff>
      <xdr:row>108</xdr:row>
      <xdr:rowOff>197223</xdr:rowOff>
    </xdr:from>
    <xdr:to>
      <xdr:col>14</xdr:col>
      <xdr:colOff>179295</xdr:colOff>
      <xdr:row>110</xdr:row>
      <xdr:rowOff>53787</xdr:rowOff>
    </xdr:to>
    <xdr:sp macro="" textlink="">
      <xdr:nvSpPr>
        <xdr:cNvPr id="263" name="楕円 262">
          <a:extLst>
            <a:ext uri="{FF2B5EF4-FFF2-40B4-BE49-F238E27FC236}">
              <a16:creationId xmlns:a16="http://schemas.microsoft.com/office/drawing/2014/main" id="{00000000-0008-0000-0100-000007010000}"/>
            </a:ext>
          </a:extLst>
        </xdr:cNvPr>
        <xdr:cNvSpPr/>
      </xdr:nvSpPr>
      <xdr:spPr>
        <a:xfrm>
          <a:off x="7464240" y="28054673"/>
          <a:ext cx="2690905" cy="31376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573740</xdr:colOff>
      <xdr:row>103</xdr:row>
      <xdr:rowOff>35860</xdr:rowOff>
    </xdr:from>
    <xdr:to>
      <xdr:col>21</xdr:col>
      <xdr:colOff>304800</xdr:colOff>
      <xdr:row>105</xdr:row>
      <xdr:rowOff>170331</xdr:rowOff>
    </xdr:to>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9114490" y="26121660"/>
          <a:ext cx="6189010" cy="604371"/>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●稼働時間及び年間使用日数は、実際に設備を点灯している時間及び日数を記載してください。</a:t>
          </a:r>
          <a:endParaRPr kumimoji="1" lang="en-US" altLang="ja-JP" sz="1100"/>
        </a:p>
        <a:p>
          <a:r>
            <a:rPr kumimoji="1" lang="ja-JP" altLang="en-US" sz="1100"/>
            <a:t>例：</a:t>
          </a:r>
          <a:r>
            <a:rPr kumimoji="1" lang="en-US" altLang="ja-JP" sz="1100" u="sng">
              <a:solidFill>
                <a:sysClr val="windowText" lastClr="000000"/>
              </a:solidFill>
            </a:rPr>
            <a:t>14</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日</a:t>
          </a:r>
          <a:r>
            <a:rPr kumimoji="1" lang="en-US" altLang="ja-JP" sz="1100" u="sng">
              <a:solidFill>
                <a:sysClr val="windowText" lastClr="000000"/>
              </a:solidFill>
            </a:rPr>
            <a:t>×365</a:t>
          </a:r>
          <a:r>
            <a:rPr kumimoji="1" lang="ja-JP" altLang="en-US" sz="1100" u="sng">
              <a:solidFill>
                <a:sysClr val="windowText" lastClr="000000"/>
              </a:solidFill>
            </a:rPr>
            <a:t>日</a:t>
          </a:r>
          <a:r>
            <a:rPr kumimoji="1" lang="ja-JP" altLang="en-US" sz="1100">
              <a:solidFill>
                <a:sysClr val="windowText" lastClr="000000"/>
              </a:solidFill>
            </a:rPr>
            <a:t>＝</a:t>
          </a:r>
          <a:r>
            <a:rPr kumimoji="1" lang="en-US" altLang="ja-JP" sz="1100">
              <a:solidFill>
                <a:sysClr val="windowText" lastClr="000000"/>
              </a:solidFill>
            </a:rPr>
            <a:t>5110</a:t>
          </a:r>
          <a:r>
            <a:rPr kumimoji="1" lang="ja-JP" altLang="en-US" sz="1100"/>
            <a:t>時間</a:t>
          </a:r>
          <a:r>
            <a:rPr kumimoji="1" lang="en-US" altLang="ja-JP" sz="1100"/>
            <a:t>/</a:t>
          </a:r>
          <a:r>
            <a:rPr kumimoji="1" lang="ja-JP" altLang="en-US" sz="1100"/>
            <a:t>年（年間稼働時間等、色なしのセルは自動計算されます。）</a:t>
          </a:r>
        </a:p>
      </xdr:txBody>
    </xdr:sp>
    <xdr:clientData/>
  </xdr:twoCellAnchor>
  <xdr:twoCellAnchor>
    <xdr:from>
      <xdr:col>15</xdr:col>
      <xdr:colOff>322731</xdr:colOff>
      <xdr:row>108</xdr:row>
      <xdr:rowOff>179294</xdr:rowOff>
    </xdr:from>
    <xdr:to>
      <xdr:col>17</xdr:col>
      <xdr:colOff>134472</xdr:colOff>
      <xdr:row>110</xdr:row>
      <xdr:rowOff>44824</xdr:rowOff>
    </xdr:to>
    <xdr:sp macro="" textlink="">
      <xdr:nvSpPr>
        <xdr:cNvPr id="265" name="楕円 264">
          <a:extLst>
            <a:ext uri="{FF2B5EF4-FFF2-40B4-BE49-F238E27FC236}">
              <a16:creationId xmlns:a16="http://schemas.microsoft.com/office/drawing/2014/main" id="{00000000-0008-0000-0100-000009010000}"/>
            </a:ext>
          </a:extLst>
        </xdr:cNvPr>
        <xdr:cNvSpPr/>
      </xdr:nvSpPr>
      <xdr:spPr>
        <a:xfrm>
          <a:off x="11016131" y="28036744"/>
          <a:ext cx="1246841"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228601</xdr:colOff>
      <xdr:row>105</xdr:row>
      <xdr:rowOff>170331</xdr:rowOff>
    </xdr:from>
    <xdr:to>
      <xdr:col>17</xdr:col>
      <xdr:colOff>80682</xdr:colOff>
      <xdr:row>108</xdr:row>
      <xdr:rowOff>179294</xdr:rowOff>
    </xdr:to>
    <xdr:cxnSp macro="">
      <xdr:nvCxnSpPr>
        <xdr:cNvPr id="266" name="直線矢印コネクタ 265">
          <a:extLst>
            <a:ext uri="{FF2B5EF4-FFF2-40B4-BE49-F238E27FC236}">
              <a16:creationId xmlns:a16="http://schemas.microsoft.com/office/drawing/2014/main" id="{00000000-0008-0000-0100-00000A010000}"/>
            </a:ext>
          </a:extLst>
        </xdr:cNvPr>
        <xdr:cNvCxnSpPr>
          <a:stCxn id="264" idx="2"/>
          <a:endCxn id="265" idx="0"/>
        </xdr:cNvCxnSpPr>
      </xdr:nvCxnSpPr>
      <xdr:spPr>
        <a:xfrm flipH="1">
          <a:off x="11639551" y="26726031"/>
          <a:ext cx="569631" cy="13107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573742</xdr:colOff>
      <xdr:row>126</xdr:row>
      <xdr:rowOff>80681</xdr:rowOff>
    </xdr:from>
    <xdr:to>
      <xdr:col>8</xdr:col>
      <xdr:colOff>484095</xdr:colOff>
      <xdr:row>137</xdr:row>
      <xdr:rowOff>134470</xdr:rowOff>
    </xdr:to>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1246842" y="32192631"/>
          <a:ext cx="4907803" cy="256838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●仕様書等にある、定格出力等で算定してください。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5</xdr:col>
      <xdr:colOff>183777</xdr:colOff>
      <xdr:row>137</xdr:row>
      <xdr:rowOff>134470</xdr:rowOff>
    </xdr:from>
    <xdr:to>
      <xdr:col>7</xdr:col>
      <xdr:colOff>708212</xdr:colOff>
      <xdr:row>141</xdr:row>
      <xdr:rowOff>197223</xdr:rowOff>
    </xdr:to>
    <xdr:cxnSp macro="">
      <xdr:nvCxnSpPr>
        <xdr:cNvPr id="273" name="直線矢印コネクタ 272">
          <a:extLst>
            <a:ext uri="{FF2B5EF4-FFF2-40B4-BE49-F238E27FC236}">
              <a16:creationId xmlns:a16="http://schemas.microsoft.com/office/drawing/2014/main" id="{00000000-0008-0000-0100-000011010000}"/>
            </a:ext>
          </a:extLst>
        </xdr:cNvPr>
        <xdr:cNvCxnSpPr>
          <a:stCxn id="272" idx="2"/>
          <a:endCxn id="274" idx="0"/>
        </xdr:cNvCxnSpPr>
      </xdr:nvCxnSpPr>
      <xdr:spPr>
        <a:xfrm>
          <a:off x="3701677" y="34761020"/>
          <a:ext cx="1959535" cy="14343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690283</xdr:colOff>
      <xdr:row>141</xdr:row>
      <xdr:rowOff>197223</xdr:rowOff>
    </xdr:from>
    <xdr:to>
      <xdr:col>9</xdr:col>
      <xdr:colOff>8964</xdr:colOff>
      <xdr:row>143</xdr:row>
      <xdr:rowOff>71717</xdr:rowOff>
    </xdr:to>
    <xdr:sp macro="" textlink="">
      <xdr:nvSpPr>
        <xdr:cNvPr id="274" name="楕円 273">
          <a:extLst>
            <a:ext uri="{FF2B5EF4-FFF2-40B4-BE49-F238E27FC236}">
              <a16:creationId xmlns:a16="http://schemas.microsoft.com/office/drawing/2014/main" id="{00000000-0008-0000-0100-000012010000}"/>
            </a:ext>
          </a:extLst>
        </xdr:cNvPr>
        <xdr:cNvSpPr/>
      </xdr:nvSpPr>
      <xdr:spPr>
        <a:xfrm>
          <a:off x="4925733" y="36195373"/>
          <a:ext cx="1471331"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663387</xdr:colOff>
      <xdr:row>141</xdr:row>
      <xdr:rowOff>188259</xdr:rowOff>
    </xdr:from>
    <xdr:to>
      <xdr:col>5</xdr:col>
      <xdr:colOff>134470</xdr:colOff>
      <xdr:row>143</xdr:row>
      <xdr:rowOff>62753</xdr:rowOff>
    </xdr:to>
    <xdr:sp macro="" textlink="">
      <xdr:nvSpPr>
        <xdr:cNvPr id="275" name="楕円 274">
          <a:extLst>
            <a:ext uri="{FF2B5EF4-FFF2-40B4-BE49-F238E27FC236}">
              <a16:creationId xmlns:a16="http://schemas.microsoft.com/office/drawing/2014/main" id="{00000000-0008-0000-0100-000013010000}"/>
            </a:ext>
          </a:extLst>
        </xdr:cNvPr>
        <xdr:cNvSpPr/>
      </xdr:nvSpPr>
      <xdr:spPr>
        <a:xfrm>
          <a:off x="1336487" y="36186409"/>
          <a:ext cx="2315883" cy="33169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412376</xdr:colOff>
      <xdr:row>137</xdr:row>
      <xdr:rowOff>134470</xdr:rowOff>
    </xdr:from>
    <xdr:to>
      <xdr:col>5</xdr:col>
      <xdr:colOff>183777</xdr:colOff>
      <xdr:row>141</xdr:row>
      <xdr:rowOff>188259</xdr:rowOff>
    </xdr:to>
    <xdr:cxnSp macro="">
      <xdr:nvCxnSpPr>
        <xdr:cNvPr id="276" name="直線矢印コネクタ 275">
          <a:extLst>
            <a:ext uri="{FF2B5EF4-FFF2-40B4-BE49-F238E27FC236}">
              <a16:creationId xmlns:a16="http://schemas.microsoft.com/office/drawing/2014/main" id="{00000000-0008-0000-0100-000014010000}"/>
            </a:ext>
          </a:extLst>
        </xdr:cNvPr>
        <xdr:cNvCxnSpPr>
          <a:stCxn id="272" idx="2"/>
          <a:endCxn id="275" idx="0"/>
        </xdr:cNvCxnSpPr>
      </xdr:nvCxnSpPr>
      <xdr:spPr>
        <a:xfrm flipH="1">
          <a:off x="2495176" y="34761020"/>
          <a:ext cx="1206501" cy="14253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299357</xdr:colOff>
      <xdr:row>141</xdr:row>
      <xdr:rowOff>136070</xdr:rowOff>
    </xdr:from>
    <xdr:to>
      <xdr:col>12</xdr:col>
      <xdr:colOff>18143</xdr:colOff>
      <xdr:row>143</xdr:row>
      <xdr:rowOff>117928</xdr:rowOff>
    </xdr:to>
    <xdr:sp macro="" textlink="">
      <xdr:nvSpPr>
        <xdr:cNvPr id="277" name="楕円 276">
          <a:extLst>
            <a:ext uri="{FF2B5EF4-FFF2-40B4-BE49-F238E27FC236}">
              <a16:creationId xmlns:a16="http://schemas.microsoft.com/office/drawing/2014/main" id="{00000000-0008-0000-0100-000015010000}"/>
            </a:ext>
          </a:extLst>
        </xdr:cNvPr>
        <xdr:cNvSpPr/>
      </xdr:nvSpPr>
      <xdr:spPr>
        <a:xfrm>
          <a:off x="8122557" y="36134220"/>
          <a:ext cx="436336" cy="4390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690283</xdr:colOff>
      <xdr:row>126</xdr:row>
      <xdr:rowOff>80682</xdr:rowOff>
    </xdr:from>
    <xdr:to>
      <xdr:col>15</xdr:col>
      <xdr:colOff>89648</xdr:colOff>
      <xdr:row>135</xdr:row>
      <xdr:rowOff>125506</xdr:rowOff>
    </xdr:to>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6360833" y="32192632"/>
          <a:ext cx="4422215" cy="2102224"/>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●負荷率の根拠資料について</a:t>
          </a:r>
          <a:endParaRPr kumimoji="1" lang="en-US" altLang="ja-JP" sz="1100"/>
        </a:p>
        <a:p>
          <a:endParaRPr kumimoji="1" lang="en-US" altLang="ja-JP" sz="1100"/>
        </a:p>
        <a:p>
          <a:r>
            <a:rPr kumimoji="1" lang="ja-JP" altLang="en-US" sz="1100"/>
            <a:t>・次の方法等で確認し、根拠資料を用意してください。</a:t>
          </a:r>
          <a:endParaRPr kumimoji="1" lang="en-US" altLang="ja-JP" sz="1100"/>
        </a:p>
        <a:p>
          <a:endParaRPr kumimoji="1" lang="en-US" altLang="ja-JP" sz="1100"/>
        </a:p>
        <a:p>
          <a:r>
            <a:rPr kumimoji="1" lang="ja-JP" altLang="en-US" sz="1100"/>
            <a:t>→管理システム等で把握している（記録を提出する）</a:t>
          </a:r>
          <a:endParaRPr kumimoji="1" lang="en-US" altLang="ja-JP" sz="1100"/>
        </a:p>
        <a:p>
          <a:r>
            <a:rPr kumimoji="1" lang="ja-JP" altLang="ja-JP" sz="1100">
              <a:solidFill>
                <a:schemeClr val="dk1"/>
              </a:solidFill>
              <a:effectLst/>
              <a:latin typeface="+mn-lt"/>
              <a:ea typeface="+mn-ea"/>
              <a:cs typeface="+mn-cs"/>
            </a:rPr>
            <a:t>→省エネ診断を受診する（診断結果報告書を提出する。）</a:t>
          </a:r>
          <a:endParaRPr lang="ja-JP" altLang="ja-JP">
            <a:effectLst/>
          </a:endParaRPr>
        </a:p>
        <a:p>
          <a:r>
            <a:rPr kumimoji="1" lang="ja-JP" altLang="ja-JP" sz="1100">
              <a:solidFill>
                <a:schemeClr val="dk1"/>
              </a:solidFill>
              <a:effectLst/>
              <a:latin typeface="+mn-lt"/>
              <a:ea typeface="+mn-ea"/>
              <a:cs typeface="+mn-cs"/>
            </a:rPr>
            <a:t>→施工事業者へ測定等を依頼する（測定結果を提出する。）</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メーカー等へ問い合わせる（回答された値の確認できるもの（メール等）を提出する。）</a:t>
          </a:r>
          <a:endParaRPr kumimoji="1" lang="en-US" altLang="ja-JP" sz="1100">
            <a:solidFill>
              <a:schemeClr val="dk1"/>
            </a:solidFill>
            <a:effectLst/>
            <a:latin typeface="+mn-lt"/>
            <a:ea typeface="+mn-ea"/>
            <a:cs typeface="+mn-cs"/>
          </a:endParaRPr>
        </a:p>
      </xdr:txBody>
    </xdr:sp>
    <xdr:clientData/>
  </xdr:twoCellAnchor>
  <xdr:twoCellAnchor>
    <xdr:from>
      <xdr:col>11</xdr:col>
      <xdr:colOff>517072</xdr:colOff>
      <xdr:row>135</xdr:row>
      <xdr:rowOff>125506</xdr:rowOff>
    </xdr:from>
    <xdr:to>
      <xdr:col>12</xdr:col>
      <xdr:colOff>31644</xdr:colOff>
      <xdr:row>141</xdr:row>
      <xdr:rowOff>136070</xdr:rowOff>
    </xdr:to>
    <xdr:cxnSp macro="">
      <xdr:nvCxnSpPr>
        <xdr:cNvPr id="279" name="直線矢印コネクタ 278">
          <a:extLst>
            <a:ext uri="{FF2B5EF4-FFF2-40B4-BE49-F238E27FC236}">
              <a16:creationId xmlns:a16="http://schemas.microsoft.com/office/drawing/2014/main" id="{00000000-0008-0000-0100-000017010000}"/>
            </a:ext>
          </a:extLst>
        </xdr:cNvPr>
        <xdr:cNvCxnSpPr>
          <a:stCxn id="278" idx="2"/>
          <a:endCxn id="277" idx="0"/>
        </xdr:cNvCxnSpPr>
      </xdr:nvCxnSpPr>
      <xdr:spPr>
        <a:xfrm flipH="1">
          <a:off x="8340272" y="34294856"/>
          <a:ext cx="232122" cy="18393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331693</xdr:colOff>
      <xdr:row>129</xdr:row>
      <xdr:rowOff>89646</xdr:rowOff>
    </xdr:from>
    <xdr:to>
      <xdr:col>23</xdr:col>
      <xdr:colOff>8963</xdr:colOff>
      <xdr:row>133</xdr:row>
      <xdr:rowOff>125506</xdr:rowOff>
    </xdr:to>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742643" y="32887396"/>
          <a:ext cx="4655670" cy="95026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●インバーターが導入されている、又は更新により導入する場合</a:t>
          </a:r>
          <a:endParaRPr kumimoji="1" lang="en-US" altLang="ja-JP" sz="1100"/>
        </a:p>
        <a:p>
          <a:endParaRPr kumimoji="1" lang="en-US" altLang="ja-JP" sz="1100"/>
        </a:p>
        <a:p>
          <a:r>
            <a:rPr kumimoji="1" lang="ja-JP" altLang="en-US" sz="1100"/>
            <a:t>・インバーターの列で「○」を選択してください。</a:t>
          </a:r>
          <a:endParaRPr kumimoji="1" lang="en-US" altLang="ja-JP" sz="1100"/>
        </a:p>
        <a:p>
          <a:r>
            <a:rPr kumimoji="1" lang="ja-JP" altLang="en-US" sz="1100"/>
            <a:t>（インバーターの負荷率制御を考慮した算定へ自動計算されます。）</a:t>
          </a:r>
          <a:endParaRPr kumimoji="1" lang="en-US" altLang="ja-JP" sz="1100"/>
        </a:p>
      </xdr:txBody>
    </xdr:sp>
    <xdr:clientData/>
  </xdr:twoCellAnchor>
  <xdr:twoCellAnchor>
    <xdr:from>
      <xdr:col>28</xdr:col>
      <xdr:colOff>125399</xdr:colOff>
      <xdr:row>141</xdr:row>
      <xdr:rowOff>143116</xdr:rowOff>
    </xdr:from>
    <xdr:to>
      <xdr:col>28</xdr:col>
      <xdr:colOff>573635</xdr:colOff>
      <xdr:row>143</xdr:row>
      <xdr:rowOff>117929</xdr:rowOff>
    </xdr:to>
    <xdr:sp macro="" textlink="">
      <xdr:nvSpPr>
        <xdr:cNvPr id="281" name="楕円 280">
          <a:extLst>
            <a:ext uri="{FF2B5EF4-FFF2-40B4-BE49-F238E27FC236}">
              <a16:creationId xmlns:a16="http://schemas.microsoft.com/office/drawing/2014/main" id="{00000000-0008-0000-0100-000019010000}"/>
            </a:ext>
          </a:extLst>
        </xdr:cNvPr>
        <xdr:cNvSpPr/>
      </xdr:nvSpPr>
      <xdr:spPr>
        <a:xfrm>
          <a:off x="19880249" y="36141266"/>
          <a:ext cx="448236" cy="43201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161898</xdr:colOff>
      <xdr:row>141</xdr:row>
      <xdr:rowOff>115901</xdr:rowOff>
    </xdr:from>
    <xdr:to>
      <xdr:col>12</xdr:col>
      <xdr:colOff>610134</xdr:colOff>
      <xdr:row>143</xdr:row>
      <xdr:rowOff>99786</xdr:rowOff>
    </xdr:to>
    <xdr:sp macro="" textlink="">
      <xdr:nvSpPr>
        <xdr:cNvPr id="282" name="楕円 281">
          <a:extLst>
            <a:ext uri="{FF2B5EF4-FFF2-40B4-BE49-F238E27FC236}">
              <a16:creationId xmlns:a16="http://schemas.microsoft.com/office/drawing/2014/main" id="{00000000-0008-0000-0100-00001A010000}"/>
            </a:ext>
          </a:extLst>
        </xdr:cNvPr>
        <xdr:cNvSpPr/>
      </xdr:nvSpPr>
      <xdr:spPr>
        <a:xfrm>
          <a:off x="8702648" y="36114051"/>
          <a:ext cx="448236" cy="44108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544491</xdr:colOff>
      <xdr:row>131</xdr:row>
      <xdr:rowOff>107576</xdr:rowOff>
    </xdr:from>
    <xdr:to>
      <xdr:col>16</xdr:col>
      <xdr:colOff>331693</xdr:colOff>
      <xdr:row>141</xdr:row>
      <xdr:rowOff>179965</xdr:rowOff>
    </xdr:to>
    <xdr:cxnSp macro="">
      <xdr:nvCxnSpPr>
        <xdr:cNvPr id="283" name="直線矢印コネクタ 282">
          <a:extLst>
            <a:ext uri="{FF2B5EF4-FFF2-40B4-BE49-F238E27FC236}">
              <a16:creationId xmlns:a16="http://schemas.microsoft.com/office/drawing/2014/main" id="{00000000-0008-0000-0100-00001B010000}"/>
            </a:ext>
          </a:extLst>
        </xdr:cNvPr>
        <xdr:cNvCxnSpPr>
          <a:stCxn id="280" idx="1"/>
          <a:endCxn id="282" idx="7"/>
        </xdr:cNvCxnSpPr>
      </xdr:nvCxnSpPr>
      <xdr:spPr>
        <a:xfrm flipH="1">
          <a:off x="9085241" y="33362526"/>
          <a:ext cx="2657402" cy="281558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8963</xdr:colOff>
      <xdr:row>131</xdr:row>
      <xdr:rowOff>107576</xdr:rowOff>
    </xdr:from>
    <xdr:to>
      <xdr:col>28</xdr:col>
      <xdr:colOff>191042</xdr:colOff>
      <xdr:row>141</xdr:row>
      <xdr:rowOff>205851</xdr:rowOff>
    </xdr:to>
    <xdr:cxnSp macro="">
      <xdr:nvCxnSpPr>
        <xdr:cNvPr id="284" name="直線矢印コネクタ 283">
          <a:extLst>
            <a:ext uri="{FF2B5EF4-FFF2-40B4-BE49-F238E27FC236}">
              <a16:creationId xmlns:a16="http://schemas.microsoft.com/office/drawing/2014/main" id="{00000000-0008-0000-0100-00001C010000}"/>
            </a:ext>
          </a:extLst>
        </xdr:cNvPr>
        <xdr:cNvCxnSpPr>
          <a:stCxn id="280" idx="3"/>
          <a:endCxn id="281" idx="1"/>
        </xdr:cNvCxnSpPr>
      </xdr:nvCxnSpPr>
      <xdr:spPr>
        <a:xfrm>
          <a:off x="16398313" y="33362526"/>
          <a:ext cx="3547579" cy="2841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574191</xdr:colOff>
      <xdr:row>98</xdr:row>
      <xdr:rowOff>143434</xdr:rowOff>
    </xdr:from>
    <xdr:to>
      <xdr:col>29</xdr:col>
      <xdr:colOff>578226</xdr:colOff>
      <xdr:row>100</xdr:row>
      <xdr:rowOff>216048</xdr:rowOff>
    </xdr:to>
    <xdr:cxnSp macro="">
      <xdr:nvCxnSpPr>
        <xdr:cNvPr id="285" name="直線矢印コネクタ 284">
          <a:extLst>
            <a:ext uri="{FF2B5EF4-FFF2-40B4-BE49-F238E27FC236}">
              <a16:creationId xmlns:a16="http://schemas.microsoft.com/office/drawing/2014/main" id="{00000000-0008-0000-0100-00001D010000}"/>
            </a:ext>
          </a:extLst>
        </xdr:cNvPr>
        <xdr:cNvCxnSpPr>
          <a:stCxn id="296" idx="2"/>
          <a:endCxn id="335" idx="0"/>
        </xdr:cNvCxnSpPr>
      </xdr:nvCxnSpPr>
      <xdr:spPr>
        <a:xfrm flipH="1">
          <a:off x="19655941" y="25054484"/>
          <a:ext cx="1350235" cy="54251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330840</xdr:colOff>
      <xdr:row>145</xdr:row>
      <xdr:rowOff>98717</xdr:rowOff>
    </xdr:from>
    <xdr:to>
      <xdr:col>23</xdr:col>
      <xdr:colOff>384626</xdr:colOff>
      <xdr:row>149</xdr:row>
      <xdr:rowOff>206295</xdr:rowOff>
    </xdr:to>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12459340" y="37011267"/>
          <a:ext cx="4314636" cy="102197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●更新後の規格・出力等を記入して、算定してください。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21</xdr:col>
      <xdr:colOff>349624</xdr:colOff>
      <xdr:row>141</xdr:row>
      <xdr:rowOff>125506</xdr:rowOff>
    </xdr:from>
    <xdr:to>
      <xdr:col>22</xdr:col>
      <xdr:colOff>627529</xdr:colOff>
      <xdr:row>143</xdr:row>
      <xdr:rowOff>44824</xdr:rowOff>
    </xdr:to>
    <xdr:sp macro="" textlink="">
      <xdr:nvSpPr>
        <xdr:cNvPr id="287" name="楕円 286">
          <a:extLst>
            <a:ext uri="{FF2B5EF4-FFF2-40B4-BE49-F238E27FC236}">
              <a16:creationId xmlns:a16="http://schemas.microsoft.com/office/drawing/2014/main" id="{00000000-0008-0000-0100-00001F010000}"/>
            </a:ext>
          </a:extLst>
        </xdr:cNvPr>
        <xdr:cNvSpPr/>
      </xdr:nvSpPr>
      <xdr:spPr>
        <a:xfrm>
          <a:off x="15348324" y="36123656"/>
          <a:ext cx="995455" cy="3765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335054</xdr:colOff>
      <xdr:row>143</xdr:row>
      <xdr:rowOff>44824</xdr:rowOff>
    </xdr:from>
    <xdr:to>
      <xdr:col>22</xdr:col>
      <xdr:colOff>130256</xdr:colOff>
      <xdr:row>145</xdr:row>
      <xdr:rowOff>98717</xdr:rowOff>
    </xdr:to>
    <xdr:cxnSp macro="">
      <xdr:nvCxnSpPr>
        <xdr:cNvPr id="288" name="直線矢印コネクタ 287">
          <a:extLst>
            <a:ext uri="{FF2B5EF4-FFF2-40B4-BE49-F238E27FC236}">
              <a16:creationId xmlns:a16="http://schemas.microsoft.com/office/drawing/2014/main" id="{00000000-0008-0000-0100-000020010000}"/>
            </a:ext>
          </a:extLst>
        </xdr:cNvPr>
        <xdr:cNvCxnSpPr>
          <a:stCxn id="286" idx="0"/>
          <a:endCxn id="287" idx="4"/>
        </xdr:cNvCxnSpPr>
      </xdr:nvCxnSpPr>
      <xdr:spPr>
        <a:xfrm flipV="1">
          <a:off x="14616204" y="36500174"/>
          <a:ext cx="1230302" cy="5110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142</xdr:row>
      <xdr:rowOff>1</xdr:rowOff>
    </xdr:from>
    <xdr:to>
      <xdr:col>18</xdr:col>
      <xdr:colOff>708212</xdr:colOff>
      <xdr:row>143</xdr:row>
      <xdr:rowOff>53789</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12846050" y="36226751"/>
          <a:ext cx="708212" cy="28238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604497</xdr:colOff>
      <xdr:row>143</xdr:row>
      <xdr:rowOff>12700</xdr:rowOff>
    </xdr:from>
    <xdr:to>
      <xdr:col>20</xdr:col>
      <xdr:colOff>335054</xdr:colOff>
      <xdr:row>145</xdr:row>
      <xdr:rowOff>98717</xdr:rowOff>
    </xdr:to>
    <xdr:cxnSp macro="">
      <xdr:nvCxnSpPr>
        <xdr:cNvPr id="295" name="直線矢印コネクタ 294">
          <a:extLst>
            <a:ext uri="{FF2B5EF4-FFF2-40B4-BE49-F238E27FC236}">
              <a16:creationId xmlns:a16="http://schemas.microsoft.com/office/drawing/2014/main" id="{00000000-0008-0000-0100-000027010000}"/>
            </a:ext>
          </a:extLst>
        </xdr:cNvPr>
        <xdr:cNvCxnSpPr>
          <a:stCxn id="286" idx="0"/>
          <a:endCxn id="294" idx="5"/>
        </xdr:cNvCxnSpPr>
      </xdr:nvCxnSpPr>
      <xdr:spPr>
        <a:xfrm flipH="1" flipV="1">
          <a:off x="13450547" y="36468050"/>
          <a:ext cx="1165657" cy="5432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80686</xdr:colOff>
      <xdr:row>93</xdr:row>
      <xdr:rowOff>322731</xdr:rowOff>
    </xdr:from>
    <xdr:to>
      <xdr:col>33</xdr:col>
      <xdr:colOff>403412</xdr:colOff>
      <xdr:row>98</xdr:row>
      <xdr:rowOff>143434</xdr:rowOff>
    </xdr:to>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18489336" y="23925681"/>
          <a:ext cx="5034426" cy="112880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●定格（標準）加熱能力・相当蒸発量等を記入して、算定してください。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・能力の合計の増加は原則認められません。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8</xdr:col>
      <xdr:colOff>610024</xdr:colOff>
      <xdr:row>111</xdr:row>
      <xdr:rowOff>187936</xdr:rowOff>
    </xdr:from>
    <xdr:to>
      <xdr:col>15</xdr:col>
      <xdr:colOff>305227</xdr:colOff>
      <xdr:row>117</xdr:row>
      <xdr:rowOff>136071</xdr:rowOff>
    </xdr:to>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6280574" y="28731186"/>
          <a:ext cx="4718053" cy="1319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●ボイラー・給湯器の効率について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・蒸気・温水の発生効率を指し、仕様書等に記載されている能力です。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u="sng"/>
            <a:t>給湯器（</a:t>
          </a:r>
          <a:r>
            <a:rPr kumimoji="1" lang="en-US" altLang="ja-JP" sz="1100" u="sng"/>
            <a:t>HP</a:t>
          </a:r>
          <a:r>
            <a:rPr kumimoji="1" lang="ja-JP" altLang="en-US" sz="1100" u="sng"/>
            <a:t>）</a:t>
          </a:r>
          <a:r>
            <a:rPr kumimoji="1" lang="ja-JP" altLang="en-US" sz="1100"/>
            <a:t>の場合「加熱能力</a:t>
          </a:r>
          <a:r>
            <a:rPr kumimoji="1" lang="en-US" altLang="ja-JP" sz="1100"/>
            <a:t>÷</a:t>
          </a:r>
          <a:r>
            <a:rPr kumimoji="1" lang="ja-JP" altLang="en-US" sz="1100"/>
            <a:t>消費電力」のため、効率が</a:t>
          </a:r>
          <a:r>
            <a:rPr kumimoji="1" lang="en-US" altLang="ja-JP" sz="1100">
              <a:solidFill>
                <a:sysClr val="windowText" lastClr="000000"/>
              </a:solidFill>
            </a:rPr>
            <a:t>100</a:t>
          </a:r>
          <a:r>
            <a:rPr kumimoji="1" lang="ja-JP" altLang="en-US" sz="1100">
              <a:solidFill>
                <a:sysClr val="windowText" lastClr="000000"/>
              </a:solidFill>
            </a:rPr>
            <a:t>％を</a:t>
          </a:r>
          <a:r>
            <a:rPr kumimoji="1" lang="ja-JP" altLang="en-US" sz="1100"/>
            <a:t>超える場合があります。</a:t>
          </a:r>
          <a:endParaRPr kumimoji="1" lang="en-US" altLang="ja-JP" sz="1100"/>
        </a:p>
      </xdr:txBody>
    </xdr:sp>
    <xdr:clientData/>
  </xdr:twoCellAnchor>
  <xdr:twoCellAnchor>
    <xdr:from>
      <xdr:col>0</xdr:col>
      <xdr:colOff>654422</xdr:colOff>
      <xdr:row>151</xdr:row>
      <xdr:rowOff>358589</xdr:rowOff>
    </xdr:from>
    <xdr:to>
      <xdr:col>9</xdr:col>
      <xdr:colOff>71717</xdr:colOff>
      <xdr:row>164</xdr:row>
      <xdr:rowOff>179295</xdr:rowOff>
    </xdr:to>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654422" y="40928739"/>
          <a:ext cx="5805395" cy="2932206"/>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●仕様書等にある、能力等で算定してください。</a:t>
          </a:r>
          <a:endParaRPr kumimoji="1" lang="en-US" altLang="ja-JP" sz="1100"/>
        </a:p>
        <a:p>
          <a:endParaRPr kumimoji="1" lang="en-US" altLang="ja-JP" sz="1100"/>
        </a:p>
        <a:p>
          <a:r>
            <a:rPr kumimoji="1" lang="ja-JP" altLang="en-US" sz="1100"/>
            <a:t>・動力・電灯など種別は分けて記載してください。（把握しやすい様に。）</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a:t>
          </a:r>
          <a:r>
            <a:rPr kumimoji="1" lang="ja-JP" altLang="en-US" sz="1100">
              <a:solidFill>
                <a:schemeClr val="dk1"/>
              </a:solidFill>
              <a:effectLst/>
              <a:latin typeface="+mn-lt"/>
              <a:ea typeface="+mn-ea"/>
              <a:cs typeface="+mn-cs"/>
            </a:rPr>
            <a:t>、能力で不明点がある</a:t>
          </a:r>
          <a:r>
            <a:rPr kumimoji="1" lang="ja-JP" altLang="ja-JP" sz="1100">
              <a:solidFill>
                <a:schemeClr val="dk1"/>
              </a:solidFill>
              <a:effectLst/>
              <a:latin typeface="+mn-lt"/>
              <a:ea typeface="+mn-ea"/>
              <a:cs typeface="+mn-cs"/>
            </a:rPr>
            <a:t>場合は、</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等から収集したり、メーカーへ問合せて</a:t>
          </a:r>
          <a:r>
            <a:rPr kumimoji="1" lang="ja-JP" altLang="en-US" sz="1100">
              <a:solidFill>
                <a:schemeClr val="dk1"/>
              </a:solidFill>
              <a:effectLst/>
              <a:latin typeface="+mn-lt"/>
              <a:ea typeface="+mn-ea"/>
              <a:cs typeface="+mn-cs"/>
            </a:rPr>
            <a:t>確認してください</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→本体の銘板や仕様表等から読み取る（能力等が読み取れる写真を撮影し、根拠資料として提出する。）</a:t>
          </a:r>
          <a:endParaRPr kumimoji="1" lang="en-US" altLang="ja-JP" sz="1100"/>
        </a:p>
      </xdr:txBody>
    </xdr:sp>
    <xdr:clientData/>
  </xdr:twoCellAnchor>
  <xdr:twoCellAnchor>
    <xdr:from>
      <xdr:col>16</xdr:col>
      <xdr:colOff>331695</xdr:colOff>
      <xdr:row>135</xdr:row>
      <xdr:rowOff>35859</xdr:rowOff>
    </xdr:from>
    <xdr:to>
      <xdr:col>23</xdr:col>
      <xdr:colOff>26895</xdr:colOff>
      <xdr:row>137</xdr:row>
      <xdr:rowOff>170329</xdr:rowOff>
    </xdr:to>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1742645" y="34205209"/>
          <a:ext cx="4673600" cy="5916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8</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×320</a:t>
          </a:r>
          <a:r>
            <a:rPr kumimoji="1" lang="ja-JP" altLang="en-US" sz="1100" u="none">
              <a:solidFill>
                <a:sysClr val="windowText" lastClr="000000"/>
              </a:solidFill>
            </a:rPr>
            <a:t>日</a:t>
          </a:r>
          <a:r>
            <a:rPr kumimoji="1" lang="ja-JP" altLang="en-US" sz="1100"/>
            <a:t>＝</a:t>
          </a:r>
          <a:r>
            <a:rPr kumimoji="1" lang="en-US" altLang="ja-JP" sz="1100" u="sng">
              <a:solidFill>
                <a:sysClr val="windowText" lastClr="000000"/>
              </a:solidFill>
            </a:rPr>
            <a:t>2560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13</xdr:col>
      <xdr:colOff>206142</xdr:colOff>
      <xdr:row>141</xdr:row>
      <xdr:rowOff>197224</xdr:rowOff>
    </xdr:from>
    <xdr:to>
      <xdr:col>15</xdr:col>
      <xdr:colOff>99786</xdr:colOff>
      <xdr:row>143</xdr:row>
      <xdr:rowOff>45357</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9464442" y="36195374"/>
          <a:ext cx="1328744" cy="3053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622104</xdr:colOff>
      <xdr:row>137</xdr:row>
      <xdr:rowOff>26894</xdr:rowOff>
    </xdr:from>
    <xdr:to>
      <xdr:col>18</xdr:col>
      <xdr:colOff>555813</xdr:colOff>
      <xdr:row>142</xdr:row>
      <xdr:rowOff>14623</xdr:rowOff>
    </xdr:to>
    <xdr:cxnSp macro="">
      <xdr:nvCxnSpPr>
        <xdr:cNvPr id="301" name="直線矢印コネクタ 300">
          <a:extLst>
            <a:ext uri="{FF2B5EF4-FFF2-40B4-BE49-F238E27FC236}">
              <a16:creationId xmlns:a16="http://schemas.microsoft.com/office/drawing/2014/main" id="{00000000-0008-0000-0100-00002D010000}"/>
            </a:ext>
          </a:extLst>
        </xdr:cNvPr>
        <xdr:cNvCxnSpPr>
          <a:endCxn id="300" idx="7"/>
        </xdr:cNvCxnSpPr>
      </xdr:nvCxnSpPr>
      <xdr:spPr>
        <a:xfrm flipH="1">
          <a:off x="10597954" y="34653444"/>
          <a:ext cx="2803909" cy="1587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663388</xdr:colOff>
      <xdr:row>168</xdr:row>
      <xdr:rowOff>179294</xdr:rowOff>
    </xdr:from>
    <xdr:to>
      <xdr:col>7</xdr:col>
      <xdr:colOff>26894</xdr:colOff>
      <xdr:row>170</xdr:row>
      <xdr:rowOff>62753</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1336488" y="44965844"/>
          <a:ext cx="3643406"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358589</xdr:colOff>
      <xdr:row>164</xdr:row>
      <xdr:rowOff>179295</xdr:rowOff>
    </xdr:from>
    <xdr:to>
      <xdr:col>5</xdr:col>
      <xdr:colOff>40340</xdr:colOff>
      <xdr:row>168</xdr:row>
      <xdr:rowOff>179294</xdr:rowOff>
    </xdr:to>
    <xdr:cxnSp macro="">
      <xdr:nvCxnSpPr>
        <xdr:cNvPr id="303" name="直線矢印コネクタ 302">
          <a:extLst>
            <a:ext uri="{FF2B5EF4-FFF2-40B4-BE49-F238E27FC236}">
              <a16:creationId xmlns:a16="http://schemas.microsoft.com/office/drawing/2014/main" id="{00000000-0008-0000-0100-00002F010000}"/>
            </a:ext>
          </a:extLst>
        </xdr:cNvPr>
        <xdr:cNvCxnSpPr>
          <a:stCxn id="298" idx="2"/>
          <a:endCxn id="302" idx="0"/>
        </xdr:cNvCxnSpPr>
      </xdr:nvCxnSpPr>
      <xdr:spPr>
        <a:xfrm flipH="1">
          <a:off x="3158939" y="43860945"/>
          <a:ext cx="399301" cy="1104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304800</xdr:colOff>
      <xdr:row>162</xdr:row>
      <xdr:rowOff>224117</xdr:rowOff>
    </xdr:from>
    <xdr:to>
      <xdr:col>15</xdr:col>
      <xdr:colOff>672354</xdr:colOff>
      <xdr:row>165</xdr:row>
      <xdr:rowOff>143435</xdr:rowOff>
    </xdr:to>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6692900" y="43448567"/>
          <a:ext cx="4672854" cy="60511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●年間稼働時間は、実際に設備を稼働している時間を記載してください。</a:t>
          </a:r>
          <a:endParaRPr kumimoji="1" lang="en-US" altLang="ja-JP" sz="1100"/>
        </a:p>
        <a:p>
          <a:r>
            <a:rPr kumimoji="1" lang="ja-JP" altLang="en-US" sz="1100"/>
            <a:t>例：</a:t>
          </a:r>
          <a:r>
            <a:rPr kumimoji="1" lang="en-US" altLang="ja-JP" sz="1100" u="none">
              <a:solidFill>
                <a:sysClr val="windowText" lastClr="000000"/>
              </a:solidFill>
            </a:rPr>
            <a:t>24</a:t>
          </a:r>
          <a:r>
            <a:rPr kumimoji="1" lang="ja-JP" altLang="en-US" sz="1100" u="none">
              <a:solidFill>
                <a:sysClr val="windowText" lastClr="000000"/>
              </a:solidFill>
            </a:rPr>
            <a:t>時間</a:t>
          </a:r>
          <a:r>
            <a:rPr kumimoji="1" lang="en-US" altLang="ja-JP" sz="1100" u="none">
              <a:solidFill>
                <a:sysClr val="windowText" lastClr="000000"/>
              </a:solidFill>
            </a:rPr>
            <a:t>/</a:t>
          </a:r>
          <a:r>
            <a:rPr kumimoji="1" lang="ja-JP" altLang="en-US" sz="1100" u="none">
              <a:solidFill>
                <a:sysClr val="windowText" lastClr="000000"/>
              </a:solidFill>
            </a:rPr>
            <a:t>日</a:t>
          </a:r>
          <a:r>
            <a:rPr kumimoji="1" lang="en-US" altLang="ja-JP" sz="1100" u="none">
              <a:solidFill>
                <a:sysClr val="windowText" lastClr="000000"/>
              </a:solidFill>
            </a:rPr>
            <a:t>×365</a:t>
          </a:r>
          <a:r>
            <a:rPr kumimoji="1" lang="ja-JP" altLang="en-US" sz="1100" u="none">
              <a:solidFill>
                <a:sysClr val="windowText" lastClr="000000"/>
              </a:solidFill>
            </a:rPr>
            <a:t>日</a:t>
          </a:r>
          <a:r>
            <a:rPr kumimoji="1" lang="ja-JP" altLang="en-US" sz="1100">
              <a:solidFill>
                <a:sysClr val="windowText" lastClr="000000"/>
              </a:solidFill>
            </a:rPr>
            <a:t>＝</a:t>
          </a:r>
          <a:r>
            <a:rPr kumimoji="1" lang="en-US" altLang="ja-JP" sz="1100" u="sng">
              <a:solidFill>
                <a:sysClr val="windowText" lastClr="000000"/>
              </a:solidFill>
            </a:rPr>
            <a:t>8760</a:t>
          </a:r>
          <a:r>
            <a:rPr kumimoji="1" lang="ja-JP" altLang="en-US" sz="1100" u="sng">
              <a:solidFill>
                <a:sysClr val="windowText" lastClr="000000"/>
              </a:solidFill>
            </a:rPr>
            <a:t>時間</a:t>
          </a:r>
          <a:r>
            <a:rPr kumimoji="1" lang="en-US" altLang="ja-JP" sz="1100" u="sng">
              <a:solidFill>
                <a:sysClr val="windowText" lastClr="000000"/>
              </a:solidFill>
            </a:rPr>
            <a:t>/</a:t>
          </a:r>
          <a:r>
            <a:rPr kumimoji="1" lang="ja-JP" altLang="en-US" sz="1100" u="sng">
              <a:solidFill>
                <a:sysClr val="windowText" lastClr="000000"/>
              </a:solidFill>
            </a:rPr>
            <a:t>年</a:t>
          </a:r>
          <a:endParaRPr kumimoji="1" lang="ja-JP" altLang="en-US" sz="1100">
            <a:solidFill>
              <a:sysClr val="windowText" lastClr="000000"/>
            </a:solidFill>
          </a:endParaRPr>
        </a:p>
      </xdr:txBody>
    </xdr:sp>
    <xdr:clientData/>
  </xdr:twoCellAnchor>
  <xdr:twoCellAnchor>
    <xdr:from>
      <xdr:col>8</xdr:col>
      <xdr:colOff>143435</xdr:colOff>
      <xdr:row>169</xdr:row>
      <xdr:rowOff>188259</xdr:rowOff>
    </xdr:from>
    <xdr:to>
      <xdr:col>9</xdr:col>
      <xdr:colOff>89693</xdr:colOff>
      <xdr:row>169</xdr:row>
      <xdr:rowOff>510989</xdr:rowOff>
    </xdr:to>
    <xdr:sp macro="" textlink="">
      <xdr:nvSpPr>
        <xdr:cNvPr id="305" name="楕円 304">
          <a:extLst>
            <a:ext uri="{FF2B5EF4-FFF2-40B4-BE49-F238E27FC236}">
              <a16:creationId xmlns:a16="http://schemas.microsoft.com/office/drawing/2014/main" id="{00000000-0008-0000-0100-000031010000}"/>
            </a:ext>
          </a:extLst>
        </xdr:cNvPr>
        <xdr:cNvSpPr/>
      </xdr:nvSpPr>
      <xdr:spPr>
        <a:xfrm>
          <a:off x="5813985" y="45203409"/>
          <a:ext cx="663808"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709712</xdr:colOff>
      <xdr:row>165</xdr:row>
      <xdr:rowOff>143435</xdr:rowOff>
    </xdr:from>
    <xdr:to>
      <xdr:col>12</xdr:col>
      <xdr:colOff>488577</xdr:colOff>
      <xdr:row>169</xdr:row>
      <xdr:rowOff>235522</xdr:rowOff>
    </xdr:to>
    <xdr:cxnSp macro="">
      <xdr:nvCxnSpPr>
        <xdr:cNvPr id="306" name="直線矢印コネクタ 305">
          <a:extLst>
            <a:ext uri="{FF2B5EF4-FFF2-40B4-BE49-F238E27FC236}">
              <a16:creationId xmlns:a16="http://schemas.microsoft.com/office/drawing/2014/main" id="{00000000-0008-0000-0100-000032010000}"/>
            </a:ext>
          </a:extLst>
        </xdr:cNvPr>
        <xdr:cNvCxnSpPr>
          <a:stCxn id="304" idx="2"/>
          <a:endCxn id="305" idx="7"/>
        </xdr:cNvCxnSpPr>
      </xdr:nvCxnSpPr>
      <xdr:spPr>
        <a:xfrm flipH="1">
          <a:off x="6380262" y="44053685"/>
          <a:ext cx="2649065" cy="119698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170330</xdr:colOff>
      <xdr:row>161</xdr:row>
      <xdr:rowOff>17929</xdr:rowOff>
    </xdr:from>
    <xdr:to>
      <xdr:col>22</xdr:col>
      <xdr:colOff>179293</xdr:colOff>
      <xdr:row>165</xdr:row>
      <xdr:rowOff>125506</xdr:rowOff>
    </xdr:to>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11581280" y="43013779"/>
          <a:ext cx="4314263" cy="102197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・能力の増加は原則認められません。</a:t>
          </a:r>
          <a:r>
            <a:rPr kumimoji="1" lang="ja-JP" altLang="ja-JP" sz="1100">
              <a:solidFill>
                <a:schemeClr val="dk1"/>
              </a:solidFill>
              <a:effectLst/>
              <a:latin typeface="+mn-lt"/>
              <a:ea typeface="+mn-ea"/>
              <a:cs typeface="+mn-cs"/>
            </a:rPr>
            <a:t>（やむを得ない事情がある場合は事務局へご相談ください。）</a:t>
          </a:r>
          <a:endParaRPr kumimoji="1" lang="en-US" altLang="ja-JP" sz="1100"/>
        </a:p>
      </xdr:txBody>
    </xdr:sp>
    <xdr:clientData/>
  </xdr:twoCellAnchor>
  <xdr:twoCellAnchor>
    <xdr:from>
      <xdr:col>10</xdr:col>
      <xdr:colOff>681317</xdr:colOff>
      <xdr:row>168</xdr:row>
      <xdr:rowOff>179294</xdr:rowOff>
    </xdr:from>
    <xdr:to>
      <xdr:col>16</xdr:col>
      <xdr:colOff>188258</xdr:colOff>
      <xdr:row>170</xdr:row>
      <xdr:rowOff>62753</xdr:rowOff>
    </xdr:to>
    <xdr:sp macro="" textlink="">
      <xdr:nvSpPr>
        <xdr:cNvPr id="313" name="楕円 312">
          <a:extLst>
            <a:ext uri="{FF2B5EF4-FFF2-40B4-BE49-F238E27FC236}">
              <a16:creationId xmlns:a16="http://schemas.microsoft.com/office/drawing/2014/main" id="{00000000-0008-0000-0100-000039010000}"/>
            </a:ext>
          </a:extLst>
        </xdr:cNvPr>
        <xdr:cNvSpPr/>
      </xdr:nvSpPr>
      <xdr:spPr>
        <a:xfrm>
          <a:off x="7786967" y="44965844"/>
          <a:ext cx="3812241" cy="56925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347518</xdr:colOff>
      <xdr:row>165</xdr:row>
      <xdr:rowOff>125506</xdr:rowOff>
    </xdr:from>
    <xdr:to>
      <xdr:col>19</xdr:col>
      <xdr:colOff>174812</xdr:colOff>
      <xdr:row>169</xdr:row>
      <xdr:rowOff>34060</xdr:rowOff>
    </xdr:to>
    <xdr:cxnSp macro="">
      <xdr:nvCxnSpPr>
        <xdr:cNvPr id="314" name="直線矢印コネクタ 313">
          <a:extLst>
            <a:ext uri="{FF2B5EF4-FFF2-40B4-BE49-F238E27FC236}">
              <a16:creationId xmlns:a16="http://schemas.microsoft.com/office/drawing/2014/main" id="{00000000-0008-0000-0100-00003A010000}"/>
            </a:ext>
          </a:extLst>
        </xdr:cNvPr>
        <xdr:cNvCxnSpPr>
          <a:stCxn id="312" idx="2"/>
          <a:endCxn id="313" idx="7"/>
        </xdr:cNvCxnSpPr>
      </xdr:nvCxnSpPr>
      <xdr:spPr>
        <a:xfrm flipH="1">
          <a:off x="11040918" y="44035756"/>
          <a:ext cx="2697494" cy="1013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340658</xdr:colOff>
      <xdr:row>144</xdr:row>
      <xdr:rowOff>107579</xdr:rowOff>
    </xdr:from>
    <xdr:to>
      <xdr:col>10</xdr:col>
      <xdr:colOff>233083</xdr:colOff>
      <xdr:row>145</xdr:row>
      <xdr:rowOff>206191</xdr:rowOff>
    </xdr:to>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2423458" y="36791529"/>
          <a:ext cx="4915275" cy="327212"/>
        </a:xfrm>
        <a:prstGeom prst="rect">
          <a:avLst/>
        </a:prstGeom>
        <a:solidFill>
          <a:srgbClr val="FBFBFB"/>
        </a:solidFill>
        <a:ln w="190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先に</a:t>
          </a:r>
          <a:r>
            <a:rPr lang="ja-JP" altLang="ja-JP" sz="1100" b="0" i="0" u="sng">
              <a:solidFill>
                <a:schemeClr val="dk1"/>
              </a:solidFill>
              <a:effectLst/>
              <a:latin typeface="+mn-lt"/>
              <a:ea typeface="+mn-ea"/>
              <a:cs typeface="+mn-cs"/>
            </a:rPr>
            <a:t>規格</a:t>
          </a:r>
          <a:r>
            <a:rPr lang="ja-JP" altLang="ja-JP" sz="1100" b="0" i="0">
              <a:solidFill>
                <a:schemeClr val="dk1"/>
              </a:solidFill>
              <a:effectLst/>
              <a:latin typeface="+mn-lt"/>
              <a:ea typeface="+mn-ea"/>
              <a:cs typeface="+mn-cs"/>
            </a:rPr>
            <a:t>を</a:t>
          </a:r>
          <a:r>
            <a:rPr lang="ja-JP" altLang="en-US" sz="1100" b="0" i="0">
              <a:solidFill>
                <a:schemeClr val="dk1"/>
              </a:solidFill>
              <a:effectLst/>
              <a:latin typeface="+mn-lt"/>
              <a:ea typeface="+mn-ea"/>
              <a:cs typeface="+mn-cs"/>
            </a:rPr>
            <a:t>プルダウンから</a:t>
          </a:r>
          <a:r>
            <a:rPr lang="ja-JP" altLang="ja-JP" sz="1100" b="0" i="0">
              <a:solidFill>
                <a:schemeClr val="dk1"/>
              </a:solidFill>
              <a:effectLst/>
              <a:latin typeface="+mn-lt"/>
              <a:ea typeface="+mn-ea"/>
              <a:cs typeface="+mn-cs"/>
            </a:rPr>
            <a:t>選ぶことで、</a:t>
          </a:r>
          <a:r>
            <a:rPr lang="ja-JP" altLang="ja-JP" sz="1100" b="0" i="0" u="sng">
              <a:solidFill>
                <a:schemeClr val="dk1"/>
              </a:solidFill>
              <a:effectLst/>
              <a:latin typeface="+mn-lt"/>
              <a:ea typeface="+mn-ea"/>
              <a:cs typeface="+mn-cs"/>
            </a:rPr>
            <a:t>定格出力</a:t>
          </a:r>
          <a:r>
            <a:rPr lang="ja-JP" altLang="ja-JP" sz="1100" b="0" i="0">
              <a:solidFill>
                <a:schemeClr val="dk1"/>
              </a:solidFill>
              <a:effectLst/>
              <a:latin typeface="+mn-lt"/>
              <a:ea typeface="+mn-ea"/>
              <a:cs typeface="+mn-cs"/>
            </a:rPr>
            <a:t>が</a:t>
          </a:r>
          <a:r>
            <a:rPr lang="ja-JP" altLang="ja-JP" sz="1100" b="0" i="0">
              <a:solidFill>
                <a:sysClr val="windowText" lastClr="000000"/>
              </a:solidFill>
              <a:effectLst/>
              <a:latin typeface="+mn-lt"/>
              <a:ea typeface="+mn-ea"/>
              <a:cs typeface="+mn-cs"/>
            </a:rPr>
            <a:t>選択可能</a:t>
          </a:r>
          <a:r>
            <a:rPr lang="ja-JP" altLang="ja-JP" sz="1100" b="0" i="0">
              <a:solidFill>
                <a:schemeClr val="dk1"/>
              </a:solidFill>
              <a:effectLst/>
              <a:latin typeface="+mn-lt"/>
              <a:ea typeface="+mn-ea"/>
              <a:cs typeface="+mn-cs"/>
            </a:rPr>
            <a:t>になります。</a:t>
          </a:r>
          <a:endParaRPr lang="ja-JP" altLang="ja-JP">
            <a:effectLst/>
          </a:endParaRPr>
        </a:p>
      </xdr:txBody>
    </xdr:sp>
    <xdr:clientData/>
  </xdr:twoCellAnchor>
  <xdr:twoCellAnchor>
    <xdr:from>
      <xdr:col>4</xdr:col>
      <xdr:colOff>143435</xdr:colOff>
      <xdr:row>141</xdr:row>
      <xdr:rowOff>152400</xdr:rowOff>
    </xdr:from>
    <xdr:to>
      <xdr:col>4</xdr:col>
      <xdr:colOff>591671</xdr:colOff>
      <xdr:row>143</xdr:row>
      <xdr:rowOff>71718</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2943785" y="36150550"/>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125505</xdr:colOff>
      <xdr:row>141</xdr:row>
      <xdr:rowOff>134471</xdr:rowOff>
    </xdr:from>
    <xdr:to>
      <xdr:col>7</xdr:col>
      <xdr:colOff>573741</xdr:colOff>
      <xdr:row>143</xdr:row>
      <xdr:rowOff>53789</xdr:rowOff>
    </xdr:to>
    <xdr:sp macro="" textlink="">
      <xdr:nvSpPr>
        <xdr:cNvPr id="317" name="楕円 316">
          <a:extLst>
            <a:ext uri="{FF2B5EF4-FFF2-40B4-BE49-F238E27FC236}">
              <a16:creationId xmlns:a16="http://schemas.microsoft.com/office/drawing/2014/main" id="{00000000-0008-0000-0100-00003D010000}"/>
            </a:ext>
          </a:extLst>
        </xdr:cNvPr>
        <xdr:cNvSpPr/>
      </xdr:nvSpPr>
      <xdr:spPr>
        <a:xfrm>
          <a:off x="5078505" y="36132621"/>
          <a:ext cx="448236" cy="376518"/>
        </a:xfrm>
        <a:prstGeom prst="ellipse">
          <a:avLst/>
        </a:prstGeom>
        <a:no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526028</xdr:colOff>
      <xdr:row>143</xdr:row>
      <xdr:rowOff>15265</xdr:rowOff>
    </xdr:from>
    <xdr:to>
      <xdr:col>6</xdr:col>
      <xdr:colOff>645459</xdr:colOff>
      <xdr:row>144</xdr:row>
      <xdr:rowOff>107579</xdr:rowOff>
    </xdr:to>
    <xdr:cxnSp macro="">
      <xdr:nvCxnSpPr>
        <xdr:cNvPr id="318" name="直線矢印コネクタ 317">
          <a:extLst>
            <a:ext uri="{FF2B5EF4-FFF2-40B4-BE49-F238E27FC236}">
              <a16:creationId xmlns:a16="http://schemas.microsoft.com/office/drawing/2014/main" id="{00000000-0008-0000-0100-00003E010000}"/>
            </a:ext>
          </a:extLst>
        </xdr:cNvPr>
        <xdr:cNvCxnSpPr>
          <a:stCxn id="315" idx="0"/>
          <a:endCxn id="316" idx="5"/>
        </xdr:cNvCxnSpPr>
      </xdr:nvCxnSpPr>
      <xdr:spPr>
        <a:xfrm flipH="1" flipV="1">
          <a:off x="3326378" y="36470615"/>
          <a:ext cx="1554531" cy="320914"/>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645459</xdr:colOff>
      <xdr:row>143</xdr:row>
      <xdr:rowOff>53789</xdr:rowOff>
    </xdr:from>
    <xdr:to>
      <xdr:col>7</xdr:col>
      <xdr:colOff>349623</xdr:colOff>
      <xdr:row>144</xdr:row>
      <xdr:rowOff>107579</xdr:rowOff>
    </xdr:to>
    <xdr:cxnSp macro="">
      <xdr:nvCxnSpPr>
        <xdr:cNvPr id="319" name="直線矢印コネクタ 318">
          <a:extLst>
            <a:ext uri="{FF2B5EF4-FFF2-40B4-BE49-F238E27FC236}">
              <a16:creationId xmlns:a16="http://schemas.microsoft.com/office/drawing/2014/main" id="{00000000-0008-0000-0100-00003F010000}"/>
            </a:ext>
          </a:extLst>
        </xdr:cNvPr>
        <xdr:cNvCxnSpPr>
          <a:stCxn id="315" idx="0"/>
          <a:endCxn id="317" idx="4"/>
        </xdr:cNvCxnSpPr>
      </xdr:nvCxnSpPr>
      <xdr:spPr>
        <a:xfrm flipV="1">
          <a:off x="4880909" y="36509139"/>
          <a:ext cx="421714" cy="282390"/>
        </a:xfrm>
        <a:prstGeom prst="straightConnector1">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251118</xdr:colOff>
      <xdr:row>108</xdr:row>
      <xdr:rowOff>108858</xdr:rowOff>
    </xdr:from>
    <xdr:to>
      <xdr:col>13</xdr:col>
      <xdr:colOff>80790</xdr:colOff>
      <xdr:row>110</xdr:row>
      <xdr:rowOff>172356</xdr:rowOff>
    </xdr:to>
    <xdr:sp macro="" textlink="">
      <xdr:nvSpPr>
        <xdr:cNvPr id="320" name="楕円 319">
          <a:extLst>
            <a:ext uri="{FF2B5EF4-FFF2-40B4-BE49-F238E27FC236}">
              <a16:creationId xmlns:a16="http://schemas.microsoft.com/office/drawing/2014/main" id="{00000000-0008-0000-0100-000040010000}"/>
            </a:ext>
          </a:extLst>
        </xdr:cNvPr>
        <xdr:cNvSpPr/>
      </xdr:nvSpPr>
      <xdr:spPr>
        <a:xfrm>
          <a:off x="8791868" y="27966308"/>
          <a:ext cx="547222" cy="52069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99304</xdr:colOff>
      <xdr:row>110</xdr:row>
      <xdr:rowOff>96633</xdr:rowOff>
    </xdr:from>
    <xdr:to>
      <xdr:col>12</xdr:col>
      <xdr:colOff>331124</xdr:colOff>
      <xdr:row>111</xdr:row>
      <xdr:rowOff>187936</xdr:rowOff>
    </xdr:to>
    <xdr:cxnSp macro="">
      <xdr:nvCxnSpPr>
        <xdr:cNvPr id="321" name="直線矢印コネクタ 320">
          <a:extLst>
            <a:ext uri="{FF2B5EF4-FFF2-40B4-BE49-F238E27FC236}">
              <a16:creationId xmlns:a16="http://schemas.microsoft.com/office/drawing/2014/main" id="{00000000-0008-0000-0100-000041010000}"/>
            </a:ext>
          </a:extLst>
        </xdr:cNvPr>
        <xdr:cNvCxnSpPr>
          <a:stCxn id="297" idx="0"/>
          <a:endCxn id="320" idx="3"/>
        </xdr:cNvCxnSpPr>
      </xdr:nvCxnSpPr>
      <xdr:spPr>
        <a:xfrm flipV="1">
          <a:off x="8640054" y="28411283"/>
          <a:ext cx="231820" cy="3199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448238</xdr:colOff>
      <xdr:row>111</xdr:row>
      <xdr:rowOff>224116</xdr:rowOff>
    </xdr:from>
    <xdr:to>
      <xdr:col>6</xdr:col>
      <xdr:colOff>259978</xdr:colOff>
      <xdr:row>124</xdr:row>
      <xdr:rowOff>174172</xdr:rowOff>
    </xdr:to>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121338" y="28767366"/>
          <a:ext cx="3374090" cy="29218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を導入する場合</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・設備種類にて「給湯器（</a:t>
          </a:r>
          <a:r>
            <a:rPr kumimoji="1" lang="en-US" altLang="ja-JP" sz="1100"/>
            <a:t>HP</a:t>
          </a:r>
          <a:r>
            <a:rPr kumimoji="1" lang="ja-JP" altLang="en-US" sz="1100"/>
            <a:t>）」をプルダウンから選択すると、導入年度の行が入力色になります。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・導入年度を入力すると、</a:t>
          </a:r>
          <a:r>
            <a:rPr kumimoji="1" lang="ja-JP" altLang="en-US" sz="1100" u="sng">
              <a:solidFill>
                <a:sysClr val="windowText" lastClr="000000"/>
              </a:solidFill>
            </a:rPr>
            <a:t>ヒートポンプの劣化率</a:t>
          </a:r>
          <a:r>
            <a:rPr kumimoji="1" lang="ja-JP" altLang="en-US" sz="1100">
              <a:solidFill>
                <a:sysClr val="windowText" lastClr="000000"/>
              </a:solidFill>
            </a:rPr>
            <a:t>が自動計算されます。</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省エネ診断や施工事業者の測定等により劣化率等を把握しており、そちらの値を用いたい場合は事務局へご相談ください。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給湯器（</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以外の場合は、導入年度は記入不要です。</a:t>
          </a:r>
          <a:endParaRPr kumimoji="1" lang="en-US" altLang="ja-JP" sz="1100">
            <a:solidFill>
              <a:schemeClr val="dk1"/>
            </a:solidFill>
            <a:effectLst/>
            <a:latin typeface="+mn-lt"/>
            <a:ea typeface="+mn-ea"/>
            <a:cs typeface="+mn-cs"/>
          </a:endParaRPr>
        </a:p>
      </xdr:txBody>
    </xdr:sp>
    <xdr:clientData/>
  </xdr:twoCellAnchor>
  <xdr:twoCellAnchor>
    <xdr:from>
      <xdr:col>2</xdr:col>
      <xdr:colOff>708211</xdr:colOff>
      <xdr:row>108</xdr:row>
      <xdr:rowOff>161365</xdr:rowOff>
    </xdr:from>
    <xdr:to>
      <xdr:col>5</xdr:col>
      <xdr:colOff>71716</xdr:colOff>
      <xdr:row>110</xdr:row>
      <xdr:rowOff>26895</xdr:rowOff>
    </xdr:to>
    <xdr:sp macro="" textlink="">
      <xdr:nvSpPr>
        <xdr:cNvPr id="323" name="楕円 322">
          <a:extLst>
            <a:ext uri="{FF2B5EF4-FFF2-40B4-BE49-F238E27FC236}">
              <a16:creationId xmlns:a16="http://schemas.microsoft.com/office/drawing/2014/main" id="{00000000-0008-0000-0100-000043010000}"/>
            </a:ext>
          </a:extLst>
        </xdr:cNvPr>
        <xdr:cNvSpPr/>
      </xdr:nvSpPr>
      <xdr:spPr>
        <a:xfrm>
          <a:off x="2073461" y="28018815"/>
          <a:ext cx="1516155"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5766</xdr:colOff>
      <xdr:row>110</xdr:row>
      <xdr:rowOff>26895</xdr:rowOff>
    </xdr:from>
    <xdr:to>
      <xdr:col>4</xdr:col>
      <xdr:colOff>30735</xdr:colOff>
      <xdr:row>111</xdr:row>
      <xdr:rowOff>224116</xdr:rowOff>
    </xdr:to>
    <xdr:cxnSp macro="">
      <xdr:nvCxnSpPr>
        <xdr:cNvPr id="324" name="直線矢印コネクタ 323">
          <a:extLst>
            <a:ext uri="{FF2B5EF4-FFF2-40B4-BE49-F238E27FC236}">
              <a16:creationId xmlns:a16="http://schemas.microsoft.com/office/drawing/2014/main" id="{00000000-0008-0000-0100-000044010000}"/>
            </a:ext>
          </a:extLst>
        </xdr:cNvPr>
        <xdr:cNvCxnSpPr>
          <a:stCxn id="322" idx="0"/>
          <a:endCxn id="323" idx="4"/>
        </xdr:cNvCxnSpPr>
      </xdr:nvCxnSpPr>
      <xdr:spPr>
        <a:xfrm flipV="1">
          <a:off x="2806116" y="28341545"/>
          <a:ext cx="24969" cy="42582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62433</xdr:colOff>
      <xdr:row>108</xdr:row>
      <xdr:rowOff>188579</xdr:rowOff>
    </xdr:from>
    <xdr:to>
      <xdr:col>7</xdr:col>
      <xdr:colOff>672033</xdr:colOff>
      <xdr:row>110</xdr:row>
      <xdr:rowOff>54109</xdr:rowOff>
    </xdr:to>
    <xdr:sp macro="" textlink="">
      <xdr:nvSpPr>
        <xdr:cNvPr id="325" name="楕円 324">
          <a:extLst>
            <a:ext uri="{FF2B5EF4-FFF2-40B4-BE49-F238E27FC236}">
              <a16:creationId xmlns:a16="http://schemas.microsoft.com/office/drawing/2014/main" id="{00000000-0008-0000-0100-000045010000}"/>
            </a:ext>
          </a:extLst>
        </xdr:cNvPr>
        <xdr:cNvSpPr/>
      </xdr:nvSpPr>
      <xdr:spPr>
        <a:xfrm>
          <a:off x="5015433" y="28046029"/>
          <a:ext cx="609600" cy="3227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62433</xdr:colOff>
      <xdr:row>110</xdr:row>
      <xdr:rowOff>11829</xdr:rowOff>
    </xdr:from>
    <xdr:to>
      <xdr:col>7</xdr:col>
      <xdr:colOff>151707</xdr:colOff>
      <xdr:row>116</xdr:row>
      <xdr:rowOff>24545</xdr:rowOff>
    </xdr:to>
    <xdr:cxnSp macro="">
      <xdr:nvCxnSpPr>
        <xdr:cNvPr id="326" name="直線矢印コネクタ 325">
          <a:extLst>
            <a:ext uri="{FF2B5EF4-FFF2-40B4-BE49-F238E27FC236}">
              <a16:creationId xmlns:a16="http://schemas.microsoft.com/office/drawing/2014/main" id="{00000000-0008-0000-0100-000046010000}"/>
            </a:ext>
          </a:extLst>
        </xdr:cNvPr>
        <xdr:cNvCxnSpPr>
          <a:endCxn id="325" idx="3"/>
        </xdr:cNvCxnSpPr>
      </xdr:nvCxnSpPr>
      <xdr:spPr>
        <a:xfrm flipV="1">
          <a:off x="3580333" y="28326479"/>
          <a:ext cx="1524374" cy="138431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672352</xdr:colOff>
      <xdr:row>98</xdr:row>
      <xdr:rowOff>89647</xdr:rowOff>
    </xdr:from>
    <xdr:to>
      <xdr:col>5</xdr:col>
      <xdr:colOff>627529</xdr:colOff>
      <xdr:row>105</xdr:row>
      <xdr:rowOff>179294</xdr:rowOff>
    </xdr:to>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72352" y="25000697"/>
          <a:ext cx="3473077" cy="173429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a:solidFill>
                <a:sysClr val="windowText" lastClr="000000"/>
              </a:solidFill>
            </a:rPr>
            <a:t>ボイラー及び給湯器（加熱式）を導入する場合、経年劣化率は</a:t>
          </a:r>
          <a:r>
            <a:rPr kumimoji="1" lang="en-US" altLang="ja-JP" sz="1100">
              <a:solidFill>
                <a:sysClr val="windowText" lastClr="000000"/>
              </a:solidFill>
            </a:rPr>
            <a:t>10</a:t>
          </a:r>
          <a:r>
            <a:rPr kumimoji="1" lang="ja-JP" altLang="en-US" sz="1100">
              <a:solidFill>
                <a:sysClr val="windowText" lastClr="000000"/>
              </a:solidFill>
            </a:rPr>
            <a:t>％</a:t>
          </a:r>
          <a:r>
            <a:rPr kumimoji="1" lang="ja-JP" altLang="en-US" sz="1100"/>
            <a:t>を参考値とします。</a:t>
          </a:r>
          <a:r>
            <a:rPr kumimoji="1" lang="ja-JP" altLang="ja-JP" sz="1100">
              <a:solidFill>
                <a:schemeClr val="dk1"/>
              </a:solidFill>
              <a:effectLst/>
              <a:latin typeface="+mn-lt"/>
              <a:ea typeface="+mn-ea"/>
              <a:cs typeface="+mn-cs"/>
            </a:rPr>
            <a:t>経年劣化率を把握していない場合は、そのまま算定してください。</a:t>
          </a:r>
          <a:endParaRPr lang="ja-JP" altLang="ja-JP">
            <a:effectLst/>
          </a:endParaRP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a:t>
          </a:r>
          <a:r>
            <a:rPr kumimoji="1" lang="ja-JP" altLang="ja-JP" sz="1100">
              <a:solidFill>
                <a:schemeClr val="dk1"/>
              </a:solidFill>
              <a:effectLst/>
              <a:latin typeface="+mn-lt"/>
              <a:ea typeface="+mn-ea"/>
              <a:cs typeface="+mn-cs"/>
            </a:rPr>
            <a:t>を把握して</a:t>
          </a:r>
          <a:r>
            <a:rPr kumimoji="1" lang="ja-JP" altLang="en-US" sz="1100">
              <a:solidFill>
                <a:schemeClr val="dk1"/>
              </a:solidFill>
              <a:effectLst/>
              <a:latin typeface="+mn-lt"/>
              <a:ea typeface="+mn-ea"/>
              <a:cs typeface="+mn-cs"/>
            </a:rPr>
            <a:t>おり、</a:t>
          </a:r>
          <a:r>
            <a:rPr kumimoji="1" lang="ja-JP" altLang="ja-JP" sz="1100">
              <a:solidFill>
                <a:schemeClr val="dk1"/>
              </a:solidFill>
              <a:effectLst/>
              <a:latin typeface="+mn-lt"/>
              <a:ea typeface="+mn-ea"/>
              <a:cs typeface="+mn-cs"/>
            </a:rPr>
            <a:t>そちらの値を用いたい場合は事務局へご相談ください。</a:t>
          </a:r>
          <a:endParaRPr lang="ja-JP" altLang="ja-JP">
            <a:effectLst/>
          </a:endParaRPr>
        </a:p>
      </xdr:txBody>
    </xdr:sp>
    <xdr:clientData/>
  </xdr:twoCellAnchor>
  <xdr:twoCellAnchor>
    <xdr:from>
      <xdr:col>8</xdr:col>
      <xdr:colOff>61687</xdr:colOff>
      <xdr:row>108</xdr:row>
      <xdr:rowOff>170331</xdr:rowOff>
    </xdr:from>
    <xdr:to>
      <xdr:col>8</xdr:col>
      <xdr:colOff>653142</xdr:colOff>
      <xdr:row>110</xdr:row>
      <xdr:rowOff>0</xdr:rowOff>
    </xdr:to>
    <xdr:sp macro="" textlink="">
      <xdr:nvSpPr>
        <xdr:cNvPr id="328" name="楕円 327">
          <a:extLst>
            <a:ext uri="{FF2B5EF4-FFF2-40B4-BE49-F238E27FC236}">
              <a16:creationId xmlns:a16="http://schemas.microsoft.com/office/drawing/2014/main" id="{00000000-0008-0000-0100-000048010000}"/>
            </a:ext>
          </a:extLst>
        </xdr:cNvPr>
        <xdr:cNvSpPr/>
      </xdr:nvSpPr>
      <xdr:spPr>
        <a:xfrm>
          <a:off x="5732237" y="28027781"/>
          <a:ext cx="591455" cy="2868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627529</xdr:colOff>
      <xdr:row>102</xdr:row>
      <xdr:rowOff>16542</xdr:rowOff>
    </xdr:from>
    <xdr:to>
      <xdr:col>8</xdr:col>
      <xdr:colOff>148304</xdr:colOff>
      <xdr:row>108</xdr:row>
      <xdr:rowOff>211811</xdr:rowOff>
    </xdr:to>
    <xdr:cxnSp macro="">
      <xdr:nvCxnSpPr>
        <xdr:cNvPr id="329" name="直線矢印コネクタ 328">
          <a:extLst>
            <a:ext uri="{FF2B5EF4-FFF2-40B4-BE49-F238E27FC236}">
              <a16:creationId xmlns:a16="http://schemas.microsoft.com/office/drawing/2014/main" id="{00000000-0008-0000-0100-000049010000}"/>
            </a:ext>
          </a:extLst>
        </xdr:cNvPr>
        <xdr:cNvCxnSpPr>
          <a:stCxn id="327" idx="3"/>
          <a:endCxn id="328" idx="1"/>
        </xdr:cNvCxnSpPr>
      </xdr:nvCxnSpPr>
      <xdr:spPr>
        <a:xfrm>
          <a:off x="4145429" y="25867392"/>
          <a:ext cx="1673425" cy="220186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75</xdr:row>
      <xdr:rowOff>35861</xdr:rowOff>
    </xdr:from>
    <xdr:to>
      <xdr:col>5</xdr:col>
      <xdr:colOff>161364</xdr:colOff>
      <xdr:row>81</xdr:row>
      <xdr:rowOff>170331</xdr:rowOff>
    </xdr:to>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73100" y="19524011"/>
          <a:ext cx="3006164" cy="1506070"/>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94129</xdr:colOff>
      <xdr:row>73</xdr:row>
      <xdr:rowOff>43482</xdr:rowOff>
    </xdr:from>
    <xdr:to>
      <xdr:col>3</xdr:col>
      <xdr:colOff>529275</xdr:colOff>
      <xdr:row>75</xdr:row>
      <xdr:rowOff>35861</xdr:rowOff>
    </xdr:to>
    <xdr:cxnSp macro="">
      <xdr:nvCxnSpPr>
        <xdr:cNvPr id="331" name="直線矢印コネクタ 330">
          <a:extLst>
            <a:ext uri="{FF2B5EF4-FFF2-40B4-BE49-F238E27FC236}">
              <a16:creationId xmlns:a16="http://schemas.microsoft.com/office/drawing/2014/main" id="{00000000-0008-0000-0100-00004B010000}"/>
            </a:ext>
          </a:extLst>
        </xdr:cNvPr>
        <xdr:cNvCxnSpPr>
          <a:stCxn id="330" idx="0"/>
          <a:endCxn id="332" idx="4"/>
        </xdr:cNvCxnSpPr>
      </xdr:nvCxnSpPr>
      <xdr:spPr>
        <a:xfrm flipV="1">
          <a:off x="2176929" y="19068082"/>
          <a:ext cx="435146" cy="45592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305515</xdr:colOff>
      <xdr:row>71</xdr:row>
      <xdr:rowOff>34516</xdr:rowOff>
    </xdr:from>
    <xdr:to>
      <xdr:col>4</xdr:col>
      <xdr:colOff>35859</xdr:colOff>
      <xdr:row>73</xdr:row>
      <xdr:rowOff>43482</xdr:rowOff>
    </xdr:to>
    <xdr:sp macro="" textlink="">
      <xdr:nvSpPr>
        <xdr:cNvPr id="332" name="楕円 331">
          <a:extLst>
            <a:ext uri="{FF2B5EF4-FFF2-40B4-BE49-F238E27FC236}">
              <a16:creationId xmlns:a16="http://schemas.microsoft.com/office/drawing/2014/main" id="{00000000-0008-0000-0100-00004C010000}"/>
            </a:ext>
          </a:extLst>
        </xdr:cNvPr>
        <xdr:cNvSpPr/>
      </xdr:nvSpPr>
      <xdr:spPr>
        <a:xfrm>
          <a:off x="2388315" y="18601916"/>
          <a:ext cx="447894"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71</xdr:row>
      <xdr:rowOff>116541</xdr:rowOff>
    </xdr:from>
    <xdr:to>
      <xdr:col>6</xdr:col>
      <xdr:colOff>35861</xdr:colOff>
      <xdr:row>73</xdr:row>
      <xdr:rowOff>125507</xdr:rowOff>
    </xdr:to>
    <xdr:sp macro="" textlink="">
      <xdr:nvSpPr>
        <xdr:cNvPr id="333" name="楕円 332">
          <a:extLst>
            <a:ext uri="{FF2B5EF4-FFF2-40B4-BE49-F238E27FC236}">
              <a16:creationId xmlns:a16="http://schemas.microsoft.com/office/drawing/2014/main" id="{00000000-0008-0000-0100-00004D010000}"/>
            </a:ext>
          </a:extLst>
        </xdr:cNvPr>
        <xdr:cNvSpPr/>
      </xdr:nvSpPr>
      <xdr:spPr>
        <a:xfrm>
          <a:off x="3786841" y="18683941"/>
          <a:ext cx="484470" cy="46616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94129</xdr:colOff>
      <xdr:row>73</xdr:row>
      <xdr:rowOff>55926</xdr:rowOff>
    </xdr:from>
    <xdr:to>
      <xdr:col>5</xdr:col>
      <xdr:colOff>339835</xdr:colOff>
      <xdr:row>75</xdr:row>
      <xdr:rowOff>35861</xdr:rowOff>
    </xdr:to>
    <xdr:cxnSp macro="">
      <xdr:nvCxnSpPr>
        <xdr:cNvPr id="334" name="直線矢印コネクタ 333">
          <a:extLst>
            <a:ext uri="{FF2B5EF4-FFF2-40B4-BE49-F238E27FC236}">
              <a16:creationId xmlns:a16="http://schemas.microsoft.com/office/drawing/2014/main" id="{00000000-0008-0000-0100-00004E010000}"/>
            </a:ext>
          </a:extLst>
        </xdr:cNvPr>
        <xdr:cNvCxnSpPr>
          <a:stCxn id="330" idx="0"/>
          <a:endCxn id="333" idx="3"/>
        </xdr:cNvCxnSpPr>
      </xdr:nvCxnSpPr>
      <xdr:spPr>
        <a:xfrm flipV="1">
          <a:off x="2176929" y="19080526"/>
          <a:ext cx="1680806" cy="4434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637393</xdr:colOff>
      <xdr:row>100</xdr:row>
      <xdr:rowOff>216048</xdr:rowOff>
    </xdr:from>
    <xdr:to>
      <xdr:col>28</xdr:col>
      <xdr:colOff>510989</xdr:colOff>
      <xdr:row>102</xdr:row>
      <xdr:rowOff>44824</xdr:rowOff>
    </xdr:to>
    <xdr:sp macro="" textlink="">
      <xdr:nvSpPr>
        <xdr:cNvPr id="335" name="正方形/長方形 334">
          <a:extLst>
            <a:ext uri="{FF2B5EF4-FFF2-40B4-BE49-F238E27FC236}">
              <a16:creationId xmlns:a16="http://schemas.microsoft.com/office/drawing/2014/main" id="{00000000-0008-0000-0100-00004F010000}"/>
            </a:ext>
          </a:extLst>
        </xdr:cNvPr>
        <xdr:cNvSpPr/>
      </xdr:nvSpPr>
      <xdr:spPr>
        <a:xfrm>
          <a:off x="19046043" y="25596998"/>
          <a:ext cx="1219796" cy="298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564776</xdr:colOff>
      <xdr:row>102</xdr:row>
      <xdr:rowOff>224118</xdr:rowOff>
    </xdr:from>
    <xdr:to>
      <xdr:col>25</xdr:col>
      <xdr:colOff>571499</xdr:colOff>
      <xdr:row>105</xdr:row>
      <xdr:rowOff>35412</xdr:rowOff>
    </xdr:to>
    <xdr:sp macro="" textlink="">
      <xdr:nvSpPr>
        <xdr:cNvPr id="336" name="楕円 335">
          <a:extLst>
            <a:ext uri="{FF2B5EF4-FFF2-40B4-BE49-F238E27FC236}">
              <a16:creationId xmlns:a16="http://schemas.microsoft.com/office/drawing/2014/main" id="{00000000-0008-0000-0100-000050010000}"/>
            </a:ext>
          </a:extLst>
        </xdr:cNvPr>
        <xdr:cNvSpPr/>
      </xdr:nvSpPr>
      <xdr:spPr>
        <a:xfrm>
          <a:off x="17627226" y="26074968"/>
          <a:ext cx="679823" cy="516144"/>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672352</xdr:colOff>
      <xdr:row>94</xdr:row>
      <xdr:rowOff>170329</xdr:rowOff>
    </xdr:from>
    <xdr:to>
      <xdr:col>25</xdr:col>
      <xdr:colOff>618564</xdr:colOff>
      <xdr:row>98</xdr:row>
      <xdr:rowOff>125506</xdr:rowOff>
    </xdr:to>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6388602" y="24141579"/>
          <a:ext cx="1965512" cy="894977"/>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●最大・冬季能力など、定格（標準）以外の能力では算定しないでください。</a:t>
          </a:r>
          <a:endParaRPr kumimoji="1" lang="en-US" altLang="ja-JP" sz="1100"/>
        </a:p>
      </xdr:txBody>
    </xdr:sp>
    <xdr:clientData/>
  </xdr:twoCellAnchor>
  <xdr:twoCellAnchor>
    <xdr:from>
      <xdr:col>26</xdr:col>
      <xdr:colOff>650368</xdr:colOff>
      <xdr:row>108</xdr:row>
      <xdr:rowOff>197009</xdr:rowOff>
    </xdr:from>
    <xdr:to>
      <xdr:col>30</xdr:col>
      <xdr:colOff>45357</xdr:colOff>
      <xdr:row>110</xdr:row>
      <xdr:rowOff>45356</xdr:rowOff>
    </xdr:to>
    <xdr:sp macro="" textlink="">
      <xdr:nvSpPr>
        <xdr:cNvPr id="338" name="正方形/長方形 337">
          <a:extLst>
            <a:ext uri="{FF2B5EF4-FFF2-40B4-BE49-F238E27FC236}">
              <a16:creationId xmlns:a16="http://schemas.microsoft.com/office/drawing/2014/main" id="{00000000-0008-0000-0100-000052010000}"/>
            </a:ext>
          </a:extLst>
        </xdr:cNvPr>
        <xdr:cNvSpPr/>
      </xdr:nvSpPr>
      <xdr:spPr>
        <a:xfrm>
          <a:off x="19059018" y="28054459"/>
          <a:ext cx="2087389" cy="30554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574191</xdr:colOff>
      <xdr:row>102</xdr:row>
      <xdr:rowOff>44824</xdr:rowOff>
    </xdr:from>
    <xdr:to>
      <xdr:col>28</xdr:col>
      <xdr:colOff>347862</xdr:colOff>
      <xdr:row>108</xdr:row>
      <xdr:rowOff>197009</xdr:rowOff>
    </xdr:to>
    <xdr:cxnSp macro="">
      <xdr:nvCxnSpPr>
        <xdr:cNvPr id="339" name="直線矢印コネクタ 338">
          <a:extLst>
            <a:ext uri="{FF2B5EF4-FFF2-40B4-BE49-F238E27FC236}">
              <a16:creationId xmlns:a16="http://schemas.microsoft.com/office/drawing/2014/main" id="{00000000-0008-0000-0100-000053010000}"/>
            </a:ext>
          </a:extLst>
        </xdr:cNvPr>
        <xdr:cNvCxnSpPr>
          <a:stCxn id="335" idx="2"/>
          <a:endCxn id="338" idx="0"/>
        </xdr:cNvCxnSpPr>
      </xdr:nvCxnSpPr>
      <xdr:spPr>
        <a:xfrm>
          <a:off x="19655941" y="25895674"/>
          <a:ext cx="446771" cy="215878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309282</xdr:colOff>
      <xdr:row>98</xdr:row>
      <xdr:rowOff>125506</xdr:rowOff>
    </xdr:from>
    <xdr:to>
      <xdr:col>25</xdr:col>
      <xdr:colOff>107576</xdr:colOff>
      <xdr:row>103</xdr:row>
      <xdr:rowOff>44823</xdr:rowOff>
    </xdr:to>
    <xdr:cxnSp macro="">
      <xdr:nvCxnSpPr>
        <xdr:cNvPr id="340" name="直線矢印コネクタ 339">
          <a:extLst>
            <a:ext uri="{FF2B5EF4-FFF2-40B4-BE49-F238E27FC236}">
              <a16:creationId xmlns:a16="http://schemas.microsoft.com/office/drawing/2014/main" id="{00000000-0008-0000-0100-000054010000}"/>
            </a:ext>
          </a:extLst>
        </xdr:cNvPr>
        <xdr:cNvCxnSpPr>
          <a:stCxn id="337" idx="2"/>
        </xdr:cNvCxnSpPr>
      </xdr:nvCxnSpPr>
      <xdr:spPr>
        <a:xfrm>
          <a:off x="17371732" y="25036556"/>
          <a:ext cx="471394" cy="10940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98612</xdr:colOff>
      <xdr:row>100</xdr:row>
      <xdr:rowOff>134470</xdr:rowOff>
    </xdr:from>
    <xdr:to>
      <xdr:col>29</xdr:col>
      <xdr:colOff>394447</xdr:colOff>
      <xdr:row>102</xdr:row>
      <xdr:rowOff>161365</xdr:rowOff>
    </xdr:to>
    <xdr:sp macro="" textlink="">
      <xdr:nvSpPr>
        <xdr:cNvPr id="341" name="下矢印 340">
          <a:extLst>
            <a:ext uri="{FF2B5EF4-FFF2-40B4-BE49-F238E27FC236}">
              <a16:creationId xmlns:a16="http://schemas.microsoft.com/office/drawing/2014/main" id="{00000000-0008-0000-0100-000055010000}"/>
            </a:ext>
          </a:extLst>
        </xdr:cNvPr>
        <xdr:cNvSpPr/>
      </xdr:nvSpPr>
      <xdr:spPr>
        <a:xfrm rot="16200000">
          <a:off x="20426082" y="25615900"/>
          <a:ext cx="496795" cy="295835"/>
        </a:xfrm>
        <a:prstGeom prst="downArrow">
          <a:avLst/>
        </a:prstGeom>
        <a:solidFill>
          <a:srgbClr val="FF0000"/>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582706</xdr:colOff>
      <xdr:row>59</xdr:row>
      <xdr:rowOff>358588</xdr:rowOff>
    </xdr:from>
    <xdr:to>
      <xdr:col>5</xdr:col>
      <xdr:colOff>125506</xdr:colOff>
      <xdr:row>62</xdr:row>
      <xdr:rowOff>16587</xdr:rowOff>
    </xdr:to>
    <xdr:sp macro="" textlink="">
      <xdr:nvSpPr>
        <xdr:cNvPr id="342" name="楕円 341">
          <a:extLst>
            <a:ext uri="{FF2B5EF4-FFF2-40B4-BE49-F238E27FC236}">
              <a16:creationId xmlns:a16="http://schemas.microsoft.com/office/drawing/2014/main" id="{00000000-0008-0000-0100-000056010000}"/>
            </a:ext>
          </a:extLst>
        </xdr:cNvPr>
        <xdr:cNvSpPr/>
      </xdr:nvSpPr>
      <xdr:spPr>
        <a:xfrm>
          <a:off x="1947956" y="15496988"/>
          <a:ext cx="1695450" cy="49619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528917</xdr:colOff>
      <xdr:row>58</xdr:row>
      <xdr:rowOff>322730</xdr:rowOff>
    </xdr:from>
    <xdr:to>
      <xdr:col>16</xdr:col>
      <xdr:colOff>528918</xdr:colOff>
      <xdr:row>59</xdr:row>
      <xdr:rowOff>349625</xdr:rowOff>
    </xdr:to>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4046817" y="15092830"/>
          <a:ext cx="7893051" cy="39519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●燃料の種類（都市ガス </a:t>
          </a:r>
          <a:r>
            <a:rPr kumimoji="1" lang="en-US" altLang="ja-JP" sz="1100"/>
            <a:t>or </a:t>
          </a:r>
          <a:r>
            <a:rPr kumimoji="1" lang="ja-JP" altLang="en-US" sz="1100"/>
            <a:t>液化石油ガス（</a:t>
          </a:r>
          <a:r>
            <a:rPr kumimoji="1" lang="en-US" altLang="ja-JP" sz="1100"/>
            <a:t>LPG</a:t>
          </a:r>
          <a:r>
            <a:rPr kumimoji="1" lang="ja-JP" altLang="en-US" sz="1100"/>
            <a:t>））、ガスの詳細な種類（</a:t>
          </a:r>
          <a:r>
            <a:rPr kumimoji="1" lang="en-US" altLang="ja-JP" sz="1100"/>
            <a:t>A13 or A12</a:t>
          </a:r>
          <a:r>
            <a:rPr kumimoji="1" lang="ja-JP" altLang="en-US" sz="1100"/>
            <a:t>、</a:t>
          </a:r>
          <a:r>
            <a:rPr kumimoji="1" lang="en-US" altLang="ja-JP" sz="1100"/>
            <a:t>LP</a:t>
          </a:r>
          <a:r>
            <a:rPr kumimoji="1" lang="ja-JP" altLang="en-US" sz="1100"/>
            <a:t>）を選択してください</a:t>
          </a:r>
          <a:endParaRPr kumimoji="1" lang="en-US" altLang="ja-JP" sz="1100"/>
        </a:p>
      </xdr:txBody>
    </xdr:sp>
    <xdr:clientData/>
  </xdr:twoCellAnchor>
  <xdr:twoCellAnchor>
    <xdr:from>
      <xdr:col>4</xdr:col>
      <xdr:colOff>594554</xdr:colOff>
      <xdr:row>59</xdr:row>
      <xdr:rowOff>152401</xdr:rowOff>
    </xdr:from>
    <xdr:to>
      <xdr:col>5</xdr:col>
      <xdr:colOff>528917</xdr:colOff>
      <xdr:row>60</xdr:row>
      <xdr:rowOff>64358</xdr:rowOff>
    </xdr:to>
    <xdr:cxnSp macro="">
      <xdr:nvCxnSpPr>
        <xdr:cNvPr id="344" name="直線矢印コネクタ 343">
          <a:extLst>
            <a:ext uri="{FF2B5EF4-FFF2-40B4-BE49-F238E27FC236}">
              <a16:creationId xmlns:a16="http://schemas.microsoft.com/office/drawing/2014/main" id="{00000000-0008-0000-0100-000058010000}"/>
            </a:ext>
          </a:extLst>
        </xdr:cNvPr>
        <xdr:cNvCxnSpPr>
          <a:stCxn id="343" idx="1"/>
          <a:endCxn id="342" idx="7"/>
        </xdr:cNvCxnSpPr>
      </xdr:nvCxnSpPr>
      <xdr:spPr>
        <a:xfrm flipH="1">
          <a:off x="3394904" y="15290801"/>
          <a:ext cx="651913" cy="28025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134470</xdr:colOff>
      <xdr:row>169</xdr:row>
      <xdr:rowOff>188259</xdr:rowOff>
    </xdr:from>
    <xdr:to>
      <xdr:col>8</xdr:col>
      <xdr:colOff>80729</xdr:colOff>
      <xdr:row>169</xdr:row>
      <xdr:rowOff>510989</xdr:rowOff>
    </xdr:to>
    <xdr:sp macro="" textlink="">
      <xdr:nvSpPr>
        <xdr:cNvPr id="345" name="楕円 344">
          <a:extLst>
            <a:ext uri="{FF2B5EF4-FFF2-40B4-BE49-F238E27FC236}">
              <a16:creationId xmlns:a16="http://schemas.microsoft.com/office/drawing/2014/main" id="{00000000-0008-0000-0100-000059010000}"/>
            </a:ext>
          </a:extLst>
        </xdr:cNvPr>
        <xdr:cNvSpPr/>
      </xdr:nvSpPr>
      <xdr:spPr>
        <a:xfrm>
          <a:off x="5087470" y="45203409"/>
          <a:ext cx="663809" cy="27193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354106</xdr:colOff>
      <xdr:row>169</xdr:row>
      <xdr:rowOff>463726</xdr:rowOff>
    </xdr:from>
    <xdr:to>
      <xdr:col>7</xdr:col>
      <xdr:colOff>231628</xdr:colOff>
      <xdr:row>172</xdr:row>
      <xdr:rowOff>143436</xdr:rowOff>
    </xdr:to>
    <xdr:cxnSp macro="">
      <xdr:nvCxnSpPr>
        <xdr:cNvPr id="346" name="直線矢印コネクタ 345">
          <a:extLst>
            <a:ext uri="{FF2B5EF4-FFF2-40B4-BE49-F238E27FC236}">
              <a16:creationId xmlns:a16="http://schemas.microsoft.com/office/drawing/2014/main" id="{00000000-0008-0000-0100-00005A010000}"/>
            </a:ext>
          </a:extLst>
        </xdr:cNvPr>
        <xdr:cNvCxnSpPr>
          <a:stCxn id="347" idx="0"/>
          <a:endCxn id="345" idx="3"/>
        </xdr:cNvCxnSpPr>
      </xdr:nvCxnSpPr>
      <xdr:spPr>
        <a:xfrm flipV="1">
          <a:off x="3154456" y="45472526"/>
          <a:ext cx="2030172" cy="6004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53788</xdr:colOff>
      <xdr:row>172</xdr:row>
      <xdr:rowOff>143436</xdr:rowOff>
    </xdr:from>
    <xdr:to>
      <xdr:col>7</xdr:col>
      <xdr:colOff>627529</xdr:colOff>
      <xdr:row>176</xdr:row>
      <xdr:rowOff>197224</xdr:rowOff>
    </xdr:to>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726888" y="46072986"/>
          <a:ext cx="4853641" cy="968188"/>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●負荷率は、容量</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以下は</a:t>
          </a:r>
          <a:r>
            <a:rPr lang="en-US" altLang="ja-JP" sz="1100" b="0" i="0">
              <a:solidFill>
                <a:schemeClr val="dk1"/>
              </a:solidFill>
              <a:effectLst/>
              <a:latin typeface="+mn-lt"/>
              <a:ea typeface="+mn-ea"/>
              <a:cs typeface="+mn-cs"/>
            </a:rPr>
            <a:t>40%</a:t>
          </a:r>
          <a:r>
            <a:rPr lang="ja-JP" altLang="en-US"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500kVA</a:t>
          </a:r>
          <a:r>
            <a:rPr lang="ja-JP" altLang="ja-JP" sz="1100" b="0" i="0">
              <a:solidFill>
                <a:schemeClr val="dk1"/>
              </a:solidFill>
              <a:effectLst/>
              <a:latin typeface="+mn-lt"/>
              <a:ea typeface="+mn-ea"/>
              <a:cs typeface="+mn-cs"/>
            </a:rPr>
            <a:t>超は</a:t>
          </a:r>
          <a:r>
            <a:rPr lang="en-US" altLang="ja-JP" sz="1100" b="0" i="0">
              <a:solidFill>
                <a:schemeClr val="dk1"/>
              </a:solidFill>
              <a:effectLst/>
              <a:latin typeface="+mn-lt"/>
              <a:ea typeface="+mn-ea"/>
              <a:cs typeface="+mn-cs"/>
            </a:rPr>
            <a:t>50%</a:t>
          </a:r>
          <a:r>
            <a:rPr lang="ja-JP" altLang="en-US" sz="1100" b="0" i="0">
              <a:solidFill>
                <a:schemeClr val="dk1"/>
              </a:solidFill>
              <a:effectLst/>
              <a:latin typeface="+mn-lt"/>
              <a:ea typeface="+mn-ea"/>
              <a:cs typeface="+mn-cs"/>
            </a:rPr>
            <a:t>を基準値とします。</a:t>
          </a:r>
          <a:endParaRPr lang="en-US" altLang="ja-JP" sz="1100" b="0" i="0">
            <a:solidFill>
              <a:schemeClr val="dk1"/>
            </a:solidFill>
            <a:effectLst/>
            <a:latin typeface="+mn-lt"/>
            <a:ea typeface="+mn-ea"/>
            <a:cs typeface="+mn-cs"/>
          </a:endParaRPr>
        </a:p>
        <a:p>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負荷率</a:t>
          </a:r>
          <a:r>
            <a:rPr kumimoji="1" lang="ja-JP" altLang="ja-JP" sz="1100">
              <a:solidFill>
                <a:schemeClr val="dk1"/>
              </a:solidFill>
              <a:effectLst/>
              <a:latin typeface="+mn-lt"/>
              <a:ea typeface="+mn-ea"/>
              <a:cs typeface="+mn-cs"/>
            </a:rPr>
            <a:t>を把握しており、そちらの値を用いたい場合は事務局へご相談ください。</a:t>
          </a:r>
          <a:endParaRPr lang="ja-JP" altLang="ja-JP">
            <a:effectLst/>
          </a:endParaRPr>
        </a:p>
        <a:p>
          <a:endParaRPr kumimoji="1" lang="ja-JP" altLang="en-US" sz="1100">
            <a:solidFill>
              <a:sysClr val="windowText" lastClr="000000"/>
            </a:solidFill>
          </a:endParaRPr>
        </a:p>
      </xdr:txBody>
    </xdr:sp>
    <xdr:clientData/>
  </xdr:twoCellAnchor>
  <xdr:twoCellAnchor>
    <xdr:from>
      <xdr:col>4</xdr:col>
      <xdr:colOff>13980</xdr:colOff>
      <xdr:row>179</xdr:row>
      <xdr:rowOff>144715</xdr:rowOff>
    </xdr:from>
    <xdr:to>
      <xdr:col>11</xdr:col>
      <xdr:colOff>0</xdr:colOff>
      <xdr:row>190</xdr:row>
      <xdr:rowOff>0</xdr:rowOff>
    </xdr:to>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2814330" y="49414365"/>
          <a:ext cx="5008870" cy="2369885"/>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●仕様書等にある、定格消費電力等で算定してください。</a:t>
          </a:r>
          <a:endParaRPr kumimoji="1" lang="en-US" altLang="ja-JP" sz="1100"/>
        </a:p>
        <a:p>
          <a:endParaRPr kumimoji="1" lang="en-US" altLang="ja-JP" sz="1100"/>
        </a:p>
        <a:p>
          <a:r>
            <a:rPr kumimoji="1" lang="ja-JP" altLang="ja-JP" sz="1100">
              <a:solidFill>
                <a:schemeClr val="dk1"/>
              </a:solidFill>
              <a:effectLst/>
              <a:latin typeface="+mn-lt"/>
              <a:ea typeface="+mn-ea"/>
              <a:cs typeface="+mn-cs"/>
            </a:rPr>
            <a:t>・仕様書等が手元にない場合は、メーカー</a:t>
          </a:r>
          <a:r>
            <a:rPr kumimoji="1" lang="en-US" altLang="ja-JP" sz="1100">
              <a:solidFill>
                <a:schemeClr val="dk1"/>
              </a:solidFill>
              <a:effectLst/>
              <a:latin typeface="+mn-lt"/>
              <a:ea typeface="+mn-ea"/>
              <a:cs typeface="+mn-cs"/>
            </a:rPr>
            <a:t>HP</a:t>
          </a:r>
          <a:r>
            <a:rPr kumimoji="1" lang="ja-JP" altLang="ja-JP" sz="1100">
              <a:solidFill>
                <a:schemeClr val="dk1"/>
              </a:solidFill>
              <a:effectLst/>
              <a:latin typeface="+mn-lt"/>
              <a:ea typeface="+mn-ea"/>
              <a:cs typeface="+mn-cs"/>
            </a:rPr>
            <a:t>等から収集してください。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・更新前設備の仕様書等が用意できない場合は、次の方法等で確認し、根拠資料（仕様書等の代わり）を用意してください。</a:t>
          </a:r>
          <a:endParaRPr lang="ja-JP" altLang="ja-JP">
            <a:effectLst/>
          </a:endParaRPr>
        </a:p>
        <a:p>
          <a:endParaRPr lang="ja-JP" altLang="ja-JP">
            <a:effectLst/>
          </a:endParaRPr>
        </a:p>
        <a:p>
          <a:r>
            <a:rPr kumimoji="1" lang="ja-JP" altLang="en-US" sz="1100"/>
            <a:t>→省エネ診断を受診する（診断結果報告書を提出する。）</a:t>
          </a:r>
          <a:endParaRPr kumimoji="1" lang="en-US" altLang="ja-JP" sz="1100"/>
        </a:p>
        <a:p>
          <a:r>
            <a:rPr kumimoji="1" lang="ja-JP" altLang="en-US" sz="1100"/>
            <a:t>→施工事業者へ測定等を依頼する（</a:t>
          </a:r>
          <a:r>
            <a:rPr kumimoji="1" lang="ja-JP" altLang="en-US" sz="1100">
              <a:solidFill>
                <a:schemeClr val="dk1"/>
              </a:solidFill>
              <a:effectLst/>
              <a:latin typeface="+mn-lt"/>
              <a:ea typeface="+mn-ea"/>
              <a:cs typeface="+mn-cs"/>
            </a:rPr>
            <a:t>測定結果</a:t>
          </a:r>
          <a:r>
            <a:rPr kumimoji="1" lang="ja-JP" altLang="ja-JP" sz="1100">
              <a:solidFill>
                <a:schemeClr val="dk1"/>
              </a:solidFill>
              <a:effectLst/>
              <a:latin typeface="+mn-lt"/>
              <a:ea typeface="+mn-ea"/>
              <a:cs typeface="+mn-cs"/>
            </a:rPr>
            <a:t>を提出する。</a:t>
          </a:r>
          <a:r>
            <a:rPr kumimoji="1" lang="ja-JP" altLang="en-US" sz="1100"/>
            <a:t>）</a:t>
          </a:r>
          <a:endParaRPr kumimoji="1" lang="en-US" altLang="ja-JP" sz="1100"/>
        </a:p>
        <a:p>
          <a:r>
            <a:rPr kumimoji="1" lang="ja-JP" altLang="en-US" sz="1100"/>
            <a:t>→本体の銘板や仕様表等から読み取る（定格能力・消費電力等が読み取れる写真を撮影し、根拠資料として提出する。）</a:t>
          </a:r>
          <a:endParaRPr kumimoji="1" lang="en-US" altLang="ja-JP" sz="1100"/>
        </a:p>
      </xdr:txBody>
    </xdr:sp>
    <xdr:clientData/>
  </xdr:twoCellAnchor>
  <xdr:twoCellAnchor>
    <xdr:from>
      <xdr:col>8</xdr:col>
      <xdr:colOff>237833</xdr:colOff>
      <xdr:row>193</xdr:row>
      <xdr:rowOff>201813</xdr:rowOff>
    </xdr:from>
    <xdr:to>
      <xdr:col>9</xdr:col>
      <xdr:colOff>29563</xdr:colOff>
      <xdr:row>195</xdr:row>
      <xdr:rowOff>92955</xdr:rowOff>
    </xdr:to>
    <xdr:sp macro="" textlink="">
      <xdr:nvSpPr>
        <xdr:cNvPr id="349" name="楕円 348">
          <a:extLst>
            <a:ext uri="{FF2B5EF4-FFF2-40B4-BE49-F238E27FC236}">
              <a16:creationId xmlns:a16="http://schemas.microsoft.com/office/drawing/2014/main" id="{00000000-0008-0000-0100-00005D010000}"/>
            </a:ext>
          </a:extLst>
        </xdr:cNvPr>
        <xdr:cNvSpPr/>
      </xdr:nvSpPr>
      <xdr:spPr>
        <a:xfrm>
          <a:off x="5908383" y="53357663"/>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365579</xdr:colOff>
      <xdr:row>190</xdr:row>
      <xdr:rowOff>0</xdr:rowOff>
    </xdr:from>
    <xdr:to>
      <xdr:col>8</xdr:col>
      <xdr:colOff>492287</xdr:colOff>
      <xdr:row>193</xdr:row>
      <xdr:rowOff>201813</xdr:rowOff>
    </xdr:to>
    <xdr:cxnSp macro="">
      <xdr:nvCxnSpPr>
        <xdr:cNvPr id="350" name="直線矢印コネクタ 349">
          <a:extLst>
            <a:ext uri="{FF2B5EF4-FFF2-40B4-BE49-F238E27FC236}">
              <a16:creationId xmlns:a16="http://schemas.microsoft.com/office/drawing/2014/main" id="{00000000-0008-0000-0100-00005E010000}"/>
            </a:ext>
          </a:extLst>
        </xdr:cNvPr>
        <xdr:cNvCxnSpPr>
          <a:stCxn id="348" idx="2"/>
          <a:endCxn id="349" idx="0"/>
        </xdr:cNvCxnSpPr>
      </xdr:nvCxnSpPr>
      <xdr:spPr>
        <a:xfrm>
          <a:off x="5318579" y="51784250"/>
          <a:ext cx="844258" cy="15734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275345</xdr:colOff>
      <xdr:row>193</xdr:row>
      <xdr:rowOff>249198</xdr:rowOff>
    </xdr:from>
    <xdr:to>
      <xdr:col>10</xdr:col>
      <xdr:colOff>57632</xdr:colOff>
      <xdr:row>195</xdr:row>
      <xdr:rowOff>94985</xdr:rowOff>
    </xdr:to>
    <xdr:sp macro="" textlink="">
      <xdr:nvSpPr>
        <xdr:cNvPr id="351" name="楕円 350">
          <a:extLst>
            <a:ext uri="{FF2B5EF4-FFF2-40B4-BE49-F238E27FC236}">
              <a16:creationId xmlns:a16="http://schemas.microsoft.com/office/drawing/2014/main" id="{00000000-0008-0000-0100-00005F010000}"/>
            </a:ext>
          </a:extLst>
        </xdr:cNvPr>
        <xdr:cNvSpPr/>
      </xdr:nvSpPr>
      <xdr:spPr>
        <a:xfrm>
          <a:off x="6663445" y="53405048"/>
          <a:ext cx="499837"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310990</xdr:colOff>
      <xdr:row>193</xdr:row>
      <xdr:rowOff>208216</xdr:rowOff>
    </xdr:from>
    <xdr:to>
      <xdr:col>8</xdr:col>
      <xdr:colOff>13448</xdr:colOff>
      <xdr:row>195</xdr:row>
      <xdr:rowOff>99358</xdr:rowOff>
    </xdr:to>
    <xdr:sp macro="" textlink="">
      <xdr:nvSpPr>
        <xdr:cNvPr id="352" name="楕円 351">
          <a:extLst>
            <a:ext uri="{FF2B5EF4-FFF2-40B4-BE49-F238E27FC236}">
              <a16:creationId xmlns:a16="http://schemas.microsoft.com/office/drawing/2014/main" id="{00000000-0008-0000-0100-000060010000}"/>
            </a:ext>
          </a:extLst>
        </xdr:cNvPr>
        <xdr:cNvSpPr/>
      </xdr:nvSpPr>
      <xdr:spPr>
        <a:xfrm>
          <a:off x="4546440" y="53364066"/>
          <a:ext cx="1137558"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564142</xdr:colOff>
      <xdr:row>195</xdr:row>
      <xdr:rowOff>34341</xdr:rowOff>
    </xdr:from>
    <xdr:to>
      <xdr:col>10</xdr:col>
      <xdr:colOff>85166</xdr:colOff>
      <xdr:row>199</xdr:row>
      <xdr:rowOff>141941</xdr:rowOff>
    </xdr:to>
    <xdr:cxnSp macro="">
      <xdr:nvCxnSpPr>
        <xdr:cNvPr id="353" name="直線矢印コネクタ 352">
          <a:extLst>
            <a:ext uri="{FF2B5EF4-FFF2-40B4-BE49-F238E27FC236}">
              <a16:creationId xmlns:a16="http://schemas.microsoft.com/office/drawing/2014/main" id="{00000000-0008-0000-0100-000061010000}"/>
            </a:ext>
          </a:extLst>
        </xdr:cNvPr>
        <xdr:cNvCxnSpPr>
          <a:stCxn id="362" idx="0"/>
          <a:endCxn id="352" idx="5"/>
        </xdr:cNvCxnSpPr>
      </xdr:nvCxnSpPr>
      <xdr:spPr>
        <a:xfrm flipH="1" flipV="1">
          <a:off x="5517142" y="53736291"/>
          <a:ext cx="1673674" cy="1022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221875</xdr:colOff>
      <xdr:row>193</xdr:row>
      <xdr:rowOff>250105</xdr:rowOff>
    </xdr:from>
    <xdr:to>
      <xdr:col>15</xdr:col>
      <xdr:colOff>12326</xdr:colOff>
      <xdr:row>195</xdr:row>
      <xdr:rowOff>95892</xdr:rowOff>
    </xdr:to>
    <xdr:sp macro="" textlink="">
      <xdr:nvSpPr>
        <xdr:cNvPr id="354" name="楕円 353">
          <a:extLst>
            <a:ext uri="{FF2B5EF4-FFF2-40B4-BE49-F238E27FC236}">
              <a16:creationId xmlns:a16="http://schemas.microsoft.com/office/drawing/2014/main" id="{00000000-0008-0000-0100-000062010000}"/>
            </a:ext>
          </a:extLst>
        </xdr:cNvPr>
        <xdr:cNvSpPr/>
      </xdr:nvSpPr>
      <xdr:spPr>
        <a:xfrm>
          <a:off x="9480175" y="53405955"/>
          <a:ext cx="1225551"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623454</xdr:colOff>
      <xdr:row>67</xdr:row>
      <xdr:rowOff>115455</xdr:rowOff>
    </xdr:from>
    <xdr:to>
      <xdr:col>15</xdr:col>
      <xdr:colOff>323273</xdr:colOff>
      <xdr:row>71</xdr:row>
      <xdr:rowOff>161637</xdr:rowOff>
    </xdr:to>
    <xdr:cxnSp macro="">
      <xdr:nvCxnSpPr>
        <xdr:cNvPr id="355" name="直線矢印コネクタ 354">
          <a:extLst>
            <a:ext uri="{FF2B5EF4-FFF2-40B4-BE49-F238E27FC236}">
              <a16:creationId xmlns:a16="http://schemas.microsoft.com/office/drawing/2014/main" id="{00000000-0008-0000-0100-000063010000}"/>
            </a:ext>
          </a:extLst>
        </xdr:cNvPr>
        <xdr:cNvCxnSpPr/>
      </xdr:nvCxnSpPr>
      <xdr:spPr>
        <a:xfrm>
          <a:off x="10599304" y="17285855"/>
          <a:ext cx="417369" cy="14431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127000</xdr:colOff>
      <xdr:row>71</xdr:row>
      <xdr:rowOff>184728</xdr:rowOff>
    </xdr:from>
    <xdr:to>
      <xdr:col>17</xdr:col>
      <xdr:colOff>11952</xdr:colOff>
      <xdr:row>73</xdr:row>
      <xdr:rowOff>107986</xdr:rowOff>
    </xdr:to>
    <xdr:sp macro="" textlink="">
      <xdr:nvSpPr>
        <xdr:cNvPr id="356" name="楕円 355">
          <a:extLst>
            <a:ext uri="{FF2B5EF4-FFF2-40B4-BE49-F238E27FC236}">
              <a16:creationId xmlns:a16="http://schemas.microsoft.com/office/drawing/2014/main" id="{00000000-0008-0000-0100-000064010000}"/>
            </a:ext>
          </a:extLst>
        </xdr:cNvPr>
        <xdr:cNvSpPr/>
      </xdr:nvSpPr>
      <xdr:spPr>
        <a:xfrm>
          <a:off x="10820400" y="18752128"/>
          <a:ext cx="1320052" cy="3804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184728</xdr:colOff>
      <xdr:row>108</xdr:row>
      <xdr:rowOff>196273</xdr:rowOff>
    </xdr:from>
    <xdr:to>
      <xdr:col>19</xdr:col>
      <xdr:colOff>92364</xdr:colOff>
      <xdr:row>110</xdr:row>
      <xdr:rowOff>46181</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3030778" y="28053723"/>
          <a:ext cx="625186" cy="30710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548077</xdr:colOff>
      <xdr:row>111</xdr:row>
      <xdr:rowOff>172357</xdr:rowOff>
    </xdr:from>
    <xdr:to>
      <xdr:col>22</xdr:col>
      <xdr:colOff>244929</xdr:colOff>
      <xdr:row>115</xdr:row>
      <xdr:rowOff>27215</xdr:rowOff>
    </xdr:to>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1241477" y="28715607"/>
          <a:ext cx="4719702" cy="76925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●ボイラー・給湯器の負荷率について</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・更新前設備の使用実績を基に記載してください。</a:t>
          </a:r>
          <a:endParaRPr kumimoji="1" lang="en-US" altLang="ja-JP" sz="1100"/>
        </a:p>
      </xdr:txBody>
    </xdr:sp>
    <xdr:clientData/>
  </xdr:twoCellAnchor>
  <xdr:twoCellAnchor>
    <xdr:from>
      <xdr:col>18</xdr:col>
      <xdr:colOff>496868</xdr:colOff>
      <xdr:row>110</xdr:row>
      <xdr:rowOff>46181</xdr:rowOff>
    </xdr:from>
    <xdr:to>
      <xdr:col>19</xdr:col>
      <xdr:colOff>38181</xdr:colOff>
      <xdr:row>111</xdr:row>
      <xdr:rowOff>172357</xdr:rowOff>
    </xdr:to>
    <xdr:cxnSp macro="">
      <xdr:nvCxnSpPr>
        <xdr:cNvPr id="359" name="直線矢印コネクタ 358">
          <a:extLst>
            <a:ext uri="{FF2B5EF4-FFF2-40B4-BE49-F238E27FC236}">
              <a16:creationId xmlns:a16="http://schemas.microsoft.com/office/drawing/2014/main" id="{00000000-0008-0000-0100-000067010000}"/>
            </a:ext>
          </a:extLst>
        </xdr:cNvPr>
        <xdr:cNvCxnSpPr>
          <a:stCxn id="358" idx="0"/>
          <a:endCxn id="357" idx="4"/>
        </xdr:cNvCxnSpPr>
      </xdr:nvCxnSpPr>
      <xdr:spPr>
        <a:xfrm flipH="1" flipV="1">
          <a:off x="13342918" y="28360831"/>
          <a:ext cx="258863" cy="3547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365579</xdr:colOff>
      <xdr:row>190</xdr:row>
      <xdr:rowOff>0</xdr:rowOff>
    </xdr:from>
    <xdr:to>
      <xdr:col>9</xdr:col>
      <xdr:colOff>348490</xdr:colOff>
      <xdr:row>194</xdr:row>
      <xdr:rowOff>31161</xdr:rowOff>
    </xdr:to>
    <xdr:cxnSp macro="">
      <xdr:nvCxnSpPr>
        <xdr:cNvPr id="360" name="直線矢印コネクタ 359">
          <a:extLst>
            <a:ext uri="{FF2B5EF4-FFF2-40B4-BE49-F238E27FC236}">
              <a16:creationId xmlns:a16="http://schemas.microsoft.com/office/drawing/2014/main" id="{00000000-0008-0000-0100-000068010000}"/>
            </a:ext>
          </a:extLst>
        </xdr:cNvPr>
        <xdr:cNvCxnSpPr>
          <a:stCxn id="348" idx="2"/>
          <a:endCxn id="351" idx="1"/>
        </xdr:cNvCxnSpPr>
      </xdr:nvCxnSpPr>
      <xdr:spPr>
        <a:xfrm>
          <a:off x="5318579" y="51784250"/>
          <a:ext cx="1418011" cy="167581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197</xdr:row>
      <xdr:rowOff>12701</xdr:rowOff>
    </xdr:from>
    <xdr:to>
      <xdr:col>20</xdr:col>
      <xdr:colOff>8963</xdr:colOff>
      <xdr:row>199</xdr:row>
      <xdr:rowOff>0</xdr:rowOff>
    </xdr:to>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975850" y="54171851"/>
          <a:ext cx="4314263" cy="4444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●更新後の能力等を記入して、算定してください。</a:t>
          </a:r>
          <a:endParaRPr kumimoji="1" lang="en-US" altLang="ja-JP" sz="1100"/>
        </a:p>
      </xdr:txBody>
    </xdr:sp>
    <xdr:clientData/>
  </xdr:twoCellAnchor>
  <xdr:twoCellAnchor>
    <xdr:from>
      <xdr:col>7</xdr:col>
      <xdr:colOff>80684</xdr:colOff>
      <xdr:row>199</xdr:row>
      <xdr:rowOff>141941</xdr:rowOff>
    </xdr:from>
    <xdr:to>
      <xdr:col>13</xdr:col>
      <xdr:colOff>89647</xdr:colOff>
      <xdr:row>202</xdr:row>
      <xdr:rowOff>104589</xdr:rowOff>
    </xdr:to>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5033684" y="54758291"/>
          <a:ext cx="4314263" cy="64844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・容積の増加は原則認められません。</a:t>
          </a:r>
          <a:r>
            <a:rPr kumimoji="1" lang="ja-JP" altLang="ja-JP" sz="1100">
              <a:solidFill>
                <a:schemeClr val="dk1"/>
              </a:solidFill>
              <a:effectLst/>
              <a:latin typeface="+mn-lt"/>
              <a:ea typeface="+mn-ea"/>
              <a:cs typeface="+mn-cs"/>
            </a:rPr>
            <a:t>（やむを得ない事情がある場合は</a:t>
          </a:r>
          <a:r>
            <a:rPr kumimoji="1" lang="ja-JP" altLang="en-US" sz="1100">
              <a:solidFill>
                <a:schemeClr val="dk1"/>
              </a:solidFill>
              <a:effectLst/>
              <a:latin typeface="+mn-lt"/>
              <a:ea typeface="+mn-ea"/>
              <a:cs typeface="+mn-cs"/>
            </a:rPr>
            <a:t>特記事項へ記載してください</a:t>
          </a:r>
          <a:r>
            <a:rPr kumimoji="1" lang="ja-JP" altLang="ja-JP" sz="1100">
              <a:solidFill>
                <a:schemeClr val="dk1"/>
              </a:solidFill>
              <a:effectLst/>
              <a:latin typeface="+mn-lt"/>
              <a:ea typeface="+mn-ea"/>
              <a:cs typeface="+mn-cs"/>
            </a:rPr>
            <a:t>。）</a:t>
          </a:r>
          <a:endParaRPr kumimoji="1" lang="en-US" altLang="ja-JP" sz="1100"/>
        </a:p>
      </xdr:txBody>
    </xdr:sp>
    <xdr:clientData/>
  </xdr:twoCellAnchor>
  <xdr:twoCellAnchor>
    <xdr:from>
      <xdr:col>10</xdr:col>
      <xdr:colOff>85166</xdr:colOff>
      <xdr:row>195</xdr:row>
      <xdr:rowOff>37517</xdr:rowOff>
    </xdr:from>
    <xdr:to>
      <xdr:col>13</xdr:col>
      <xdr:colOff>401243</xdr:colOff>
      <xdr:row>199</xdr:row>
      <xdr:rowOff>141941</xdr:rowOff>
    </xdr:to>
    <xdr:cxnSp macro="">
      <xdr:nvCxnSpPr>
        <xdr:cNvPr id="363" name="直線矢印コネクタ 362">
          <a:extLst>
            <a:ext uri="{FF2B5EF4-FFF2-40B4-BE49-F238E27FC236}">
              <a16:creationId xmlns:a16="http://schemas.microsoft.com/office/drawing/2014/main" id="{00000000-0008-0000-0100-00006B010000}"/>
            </a:ext>
          </a:extLst>
        </xdr:cNvPr>
        <xdr:cNvCxnSpPr>
          <a:stCxn id="362" idx="0"/>
          <a:endCxn id="354" idx="3"/>
        </xdr:cNvCxnSpPr>
      </xdr:nvCxnSpPr>
      <xdr:spPr>
        <a:xfrm flipV="1">
          <a:off x="7190816" y="53739467"/>
          <a:ext cx="2468727" cy="10188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522782</xdr:colOff>
      <xdr:row>195</xdr:row>
      <xdr:rowOff>93437</xdr:rowOff>
    </xdr:from>
    <xdr:to>
      <xdr:col>17</xdr:col>
      <xdr:colOff>4481</xdr:colOff>
      <xdr:row>197</xdr:row>
      <xdr:rowOff>12701</xdr:rowOff>
    </xdr:to>
    <xdr:cxnSp macro="">
      <xdr:nvCxnSpPr>
        <xdr:cNvPr id="364" name="直線矢印コネクタ 363">
          <a:extLst>
            <a:ext uri="{FF2B5EF4-FFF2-40B4-BE49-F238E27FC236}">
              <a16:creationId xmlns:a16="http://schemas.microsoft.com/office/drawing/2014/main" id="{00000000-0008-0000-0100-00006C010000}"/>
            </a:ext>
          </a:extLst>
        </xdr:cNvPr>
        <xdr:cNvCxnSpPr>
          <a:stCxn id="361" idx="0"/>
          <a:endCxn id="366" idx="4"/>
        </xdr:cNvCxnSpPr>
      </xdr:nvCxnSpPr>
      <xdr:spPr>
        <a:xfrm flipH="1" flipV="1">
          <a:off x="11933732" y="53795387"/>
          <a:ext cx="199249" cy="3764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237937</xdr:colOff>
      <xdr:row>193</xdr:row>
      <xdr:rowOff>227479</xdr:rowOff>
    </xdr:from>
    <xdr:to>
      <xdr:col>16</xdr:col>
      <xdr:colOff>20223</xdr:colOff>
      <xdr:row>195</xdr:row>
      <xdr:rowOff>73266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931337" y="53383329"/>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273050</xdr:colOff>
      <xdr:row>193</xdr:row>
      <xdr:rowOff>247650</xdr:rowOff>
    </xdr:from>
    <xdr:to>
      <xdr:col>17</xdr:col>
      <xdr:colOff>55336</xdr:colOff>
      <xdr:row>195</xdr:row>
      <xdr:rowOff>93437</xdr:rowOff>
    </xdr:to>
    <xdr:sp macro="" textlink="">
      <xdr:nvSpPr>
        <xdr:cNvPr id="366" name="楕円 365">
          <a:extLst>
            <a:ext uri="{FF2B5EF4-FFF2-40B4-BE49-F238E27FC236}">
              <a16:creationId xmlns:a16="http://schemas.microsoft.com/office/drawing/2014/main" id="{00000000-0008-0000-0100-00006E010000}"/>
            </a:ext>
          </a:extLst>
        </xdr:cNvPr>
        <xdr:cNvSpPr/>
      </xdr:nvSpPr>
      <xdr:spPr>
        <a:xfrm>
          <a:off x="11684000" y="53403500"/>
          <a:ext cx="499836" cy="39188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664254</xdr:colOff>
      <xdr:row>195</xdr:row>
      <xdr:rowOff>14891</xdr:rowOff>
    </xdr:from>
    <xdr:to>
      <xdr:col>17</xdr:col>
      <xdr:colOff>4481</xdr:colOff>
      <xdr:row>197</xdr:row>
      <xdr:rowOff>12701</xdr:rowOff>
    </xdr:to>
    <xdr:cxnSp macro="">
      <xdr:nvCxnSpPr>
        <xdr:cNvPr id="367" name="直線矢印コネクタ 366">
          <a:extLst>
            <a:ext uri="{FF2B5EF4-FFF2-40B4-BE49-F238E27FC236}">
              <a16:creationId xmlns:a16="http://schemas.microsoft.com/office/drawing/2014/main" id="{00000000-0008-0000-0100-00006F010000}"/>
            </a:ext>
          </a:extLst>
        </xdr:cNvPr>
        <xdr:cNvCxnSpPr>
          <a:stCxn id="361" idx="0"/>
          <a:endCxn id="365" idx="5"/>
        </xdr:cNvCxnSpPr>
      </xdr:nvCxnSpPr>
      <xdr:spPr>
        <a:xfrm flipH="1" flipV="1">
          <a:off x="11357654" y="53716841"/>
          <a:ext cx="775327" cy="4550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xdr:colOff>
      <xdr:row>190</xdr:row>
      <xdr:rowOff>2</xdr:rowOff>
    </xdr:from>
    <xdr:to>
      <xdr:col>17</xdr:col>
      <xdr:colOff>2720</xdr:colOff>
      <xdr:row>191</xdr:row>
      <xdr:rowOff>3</xdr:rowOff>
    </xdr:to>
    <xdr:grpSp>
      <xdr:nvGrpSpPr>
        <xdr:cNvPr id="368" name="グループ化 367">
          <a:extLst>
            <a:ext uri="{FF2B5EF4-FFF2-40B4-BE49-F238E27FC236}">
              <a16:creationId xmlns:a16="http://schemas.microsoft.com/office/drawing/2014/main" id="{00000000-0008-0000-0100-000070010000}"/>
            </a:ext>
          </a:extLst>
        </xdr:cNvPr>
        <xdr:cNvGrpSpPr/>
      </xdr:nvGrpSpPr>
      <xdr:grpSpPr>
        <a:xfrm>
          <a:off x="7758548" y="50361275"/>
          <a:ext cx="4262990" cy="242455"/>
          <a:chOff x="18723429" y="2808123"/>
          <a:chExt cx="3859946" cy="193156"/>
        </a:xfrm>
      </xdr:grpSpPr>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xdr:colOff>
      <xdr:row>190</xdr:row>
      <xdr:rowOff>2</xdr:rowOff>
    </xdr:from>
    <xdr:to>
      <xdr:col>17</xdr:col>
      <xdr:colOff>2720</xdr:colOff>
      <xdr:row>191</xdr:row>
      <xdr:rowOff>3</xdr:rowOff>
    </xdr:to>
    <xdr:grpSp>
      <xdr:nvGrpSpPr>
        <xdr:cNvPr id="371" name="グループ化 370">
          <a:extLst>
            <a:ext uri="{FF2B5EF4-FFF2-40B4-BE49-F238E27FC236}">
              <a16:creationId xmlns:a16="http://schemas.microsoft.com/office/drawing/2014/main" id="{00000000-0008-0000-0100-000073010000}"/>
            </a:ext>
          </a:extLst>
        </xdr:cNvPr>
        <xdr:cNvGrpSpPr/>
      </xdr:nvGrpSpPr>
      <xdr:grpSpPr>
        <a:xfrm>
          <a:off x="7758548" y="50361275"/>
          <a:ext cx="4262990" cy="242455"/>
          <a:chOff x="18723429" y="2808123"/>
          <a:chExt cx="3859946" cy="193156"/>
        </a:xfrm>
      </xdr:grpSpPr>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xdr:col>
      <xdr:colOff>0</xdr:colOff>
      <xdr:row>197</xdr:row>
      <xdr:rowOff>0</xdr:rowOff>
    </xdr:from>
    <xdr:to>
      <xdr:col>5</xdr:col>
      <xdr:colOff>161364</xdr:colOff>
      <xdr:row>203</xdr:row>
      <xdr:rowOff>134469</xdr:rowOff>
    </xdr:to>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673100" y="54159150"/>
          <a:ext cx="3006164" cy="1506069"/>
        </a:xfrm>
        <a:prstGeom prst="rect">
          <a:avLst/>
        </a:prstGeom>
        <a:solidFill>
          <a:srgbClr val="FBFBFB"/>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●老朽化消費倍率は導入年度から自動計算されます。</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省エネ診断や施工事業者の測定等により</a:t>
          </a:r>
          <a:r>
            <a:rPr kumimoji="1" lang="ja-JP" altLang="en-US" sz="1100">
              <a:solidFill>
                <a:schemeClr val="dk1"/>
              </a:solidFill>
              <a:effectLst/>
              <a:latin typeface="+mn-lt"/>
              <a:ea typeface="+mn-ea"/>
              <a:cs typeface="+mn-cs"/>
            </a:rPr>
            <a:t>劣化率等を把握しており、そちらの値を用いたい場合は事務局へご相談ください。</a:t>
          </a:r>
          <a:endParaRPr kumimoji="1" lang="en-US" altLang="ja-JP" sz="1100"/>
        </a:p>
      </xdr:txBody>
    </xdr:sp>
    <xdr:clientData/>
  </xdr:twoCellAnchor>
  <xdr:twoCellAnchor>
    <xdr:from>
      <xdr:col>3</xdr:col>
      <xdr:colOff>261472</xdr:colOff>
      <xdr:row>193</xdr:row>
      <xdr:rowOff>209177</xdr:rowOff>
    </xdr:from>
    <xdr:to>
      <xdr:col>4</xdr:col>
      <xdr:colOff>53202</xdr:colOff>
      <xdr:row>195</xdr:row>
      <xdr:rowOff>100319</xdr:rowOff>
    </xdr:to>
    <xdr:sp macro="" textlink="">
      <xdr:nvSpPr>
        <xdr:cNvPr id="375" name="楕円 374">
          <a:extLst>
            <a:ext uri="{FF2B5EF4-FFF2-40B4-BE49-F238E27FC236}">
              <a16:creationId xmlns:a16="http://schemas.microsoft.com/office/drawing/2014/main" id="{00000000-0008-0000-0100-000077010000}"/>
            </a:ext>
          </a:extLst>
        </xdr:cNvPr>
        <xdr:cNvSpPr/>
      </xdr:nvSpPr>
      <xdr:spPr>
        <a:xfrm>
          <a:off x="2344272" y="5336502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239059</xdr:colOff>
      <xdr:row>193</xdr:row>
      <xdr:rowOff>216647</xdr:rowOff>
    </xdr:from>
    <xdr:to>
      <xdr:col>6</xdr:col>
      <xdr:colOff>30789</xdr:colOff>
      <xdr:row>195</xdr:row>
      <xdr:rowOff>107789</xdr:rowOff>
    </xdr:to>
    <xdr:sp macro="" textlink="">
      <xdr:nvSpPr>
        <xdr:cNvPr id="376" name="楕円 375">
          <a:extLst>
            <a:ext uri="{FF2B5EF4-FFF2-40B4-BE49-F238E27FC236}">
              <a16:creationId xmlns:a16="http://schemas.microsoft.com/office/drawing/2014/main" id="{00000000-0008-0000-0100-000078010000}"/>
            </a:ext>
          </a:extLst>
        </xdr:cNvPr>
        <xdr:cNvSpPr/>
      </xdr:nvSpPr>
      <xdr:spPr>
        <a:xfrm>
          <a:off x="3756959" y="53372497"/>
          <a:ext cx="509280" cy="43724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91888</xdr:colOff>
      <xdr:row>195</xdr:row>
      <xdr:rowOff>35302</xdr:rowOff>
    </xdr:from>
    <xdr:to>
      <xdr:col>3</xdr:col>
      <xdr:colOff>336000</xdr:colOff>
      <xdr:row>197</xdr:row>
      <xdr:rowOff>0</xdr:rowOff>
    </xdr:to>
    <xdr:cxnSp macro="">
      <xdr:nvCxnSpPr>
        <xdr:cNvPr id="377" name="直線矢印コネクタ 376">
          <a:extLst>
            <a:ext uri="{FF2B5EF4-FFF2-40B4-BE49-F238E27FC236}">
              <a16:creationId xmlns:a16="http://schemas.microsoft.com/office/drawing/2014/main" id="{00000000-0008-0000-0100-000079010000}"/>
            </a:ext>
          </a:extLst>
        </xdr:cNvPr>
        <xdr:cNvCxnSpPr>
          <a:stCxn id="374" idx="0"/>
          <a:endCxn id="375" idx="3"/>
        </xdr:cNvCxnSpPr>
      </xdr:nvCxnSpPr>
      <xdr:spPr>
        <a:xfrm flipV="1">
          <a:off x="2174688" y="53737252"/>
          <a:ext cx="244112" cy="42189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91888</xdr:colOff>
      <xdr:row>194</xdr:row>
      <xdr:rowOff>162218</xdr:rowOff>
    </xdr:from>
    <xdr:to>
      <xdr:col>5</xdr:col>
      <xdr:colOff>239059</xdr:colOff>
      <xdr:row>197</xdr:row>
      <xdr:rowOff>0</xdr:rowOff>
    </xdr:to>
    <xdr:cxnSp macro="">
      <xdr:nvCxnSpPr>
        <xdr:cNvPr id="378" name="直線矢印コネクタ 377">
          <a:extLst>
            <a:ext uri="{FF2B5EF4-FFF2-40B4-BE49-F238E27FC236}">
              <a16:creationId xmlns:a16="http://schemas.microsoft.com/office/drawing/2014/main" id="{00000000-0008-0000-0100-00007A010000}"/>
            </a:ext>
          </a:extLst>
        </xdr:cNvPr>
        <xdr:cNvCxnSpPr>
          <a:stCxn id="374" idx="0"/>
          <a:endCxn id="376" idx="2"/>
        </xdr:cNvCxnSpPr>
      </xdr:nvCxnSpPr>
      <xdr:spPr>
        <a:xfrm flipV="1">
          <a:off x="2174688" y="53591118"/>
          <a:ext cx="1582271" cy="56803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8</xdr:row>
      <xdr:rowOff>0</xdr:rowOff>
    </xdr:from>
    <xdr:to>
      <xdr:col>11</xdr:col>
      <xdr:colOff>510988</xdr:colOff>
      <xdr:row>10</xdr:row>
      <xdr:rowOff>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781050" y="2197100"/>
          <a:ext cx="6930838" cy="4572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12</xdr:col>
      <xdr:colOff>-1</xdr:colOff>
      <xdr:row>7</xdr:row>
      <xdr:rowOff>0</xdr:rowOff>
    </xdr:from>
    <xdr:to>
      <xdr:col>16</xdr:col>
      <xdr:colOff>63499</xdr:colOff>
      <xdr:row>8</xdr:row>
      <xdr:rowOff>27214</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7969249" y="1968500"/>
          <a:ext cx="2984500" cy="25581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数量（</a:t>
          </a:r>
          <a:r>
            <a:rPr lang="en-US" altLang="ja-JP" sz="1100" b="0" i="0" u="none" strike="noStrike">
              <a:solidFill>
                <a:sysClr val="windowText" lastClr="000000"/>
              </a:solidFill>
              <a:effectLst/>
              <a:latin typeface="+mn-lt"/>
              <a:ea typeface="+mn-ea"/>
              <a:cs typeface="+mn-cs"/>
            </a:rPr>
            <a:t>n</a:t>
          </a:r>
          <a:r>
            <a:rPr lang="ja-JP" altLang="en-US" sz="1100" b="0" i="0" u="none" strike="noStrike">
              <a:solidFill>
                <a:sysClr val="windowText" lastClr="000000"/>
              </a:solidFill>
              <a:effectLst/>
              <a:latin typeface="+mn-lt"/>
              <a:ea typeface="+mn-ea"/>
              <a:cs typeface="+mn-cs"/>
            </a:rPr>
            <a:t>）の増加は原則認められません。</a:t>
          </a:r>
          <a:endParaRPr lang="en-US" altLang="ja-JP">
            <a:solidFill>
              <a:sysClr val="windowText" lastClr="000000"/>
            </a:solidFill>
          </a:endParaRPr>
        </a:p>
      </xdr:txBody>
    </xdr:sp>
    <xdr:clientData/>
  </xdr:twoCellAnchor>
  <xdr:twoCellAnchor>
    <xdr:from>
      <xdr:col>15</xdr:col>
      <xdr:colOff>341430</xdr:colOff>
      <xdr:row>9</xdr:row>
      <xdr:rowOff>0</xdr:rowOff>
    </xdr:from>
    <xdr:to>
      <xdr:col>22</xdr:col>
      <xdr:colOff>0</xdr:colOff>
      <xdr:row>12</xdr:row>
      <xdr:rowOff>2</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10900573" y="2503714"/>
          <a:ext cx="4407463" cy="734788"/>
          <a:chOff x="18723428" y="2294325"/>
          <a:chExt cx="4503275" cy="706953"/>
        </a:xfrm>
      </xdr:grpSpPr>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8723429" y="2294325"/>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(b=t×d×r1)</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0779338" y="2294327"/>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年間点灯時間</a:t>
            </a:r>
            <a:r>
              <a:rPr lang="en-US" altLang="ja-JP" sz="1100" b="0" i="0" u="none" strike="noStrike">
                <a:solidFill>
                  <a:sysClr val="windowText" lastClr="000000"/>
                </a:solidFill>
                <a:effectLst/>
                <a:latin typeface="+mn-ea"/>
                <a:ea typeface="+mn-ea"/>
                <a:cs typeface="+mn-cs"/>
              </a:rPr>
              <a:t>(b'=t'×d'×r2)</a:t>
            </a:r>
            <a:endParaRPr lang="en-US" altLang="ja-JP">
              <a:solidFill>
                <a:sysClr val="windowText" lastClr="000000"/>
              </a:solidFill>
              <a:latin typeface="+mn-ea"/>
              <a:ea typeface="+mn-ea"/>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8723429" y="2529976"/>
            <a:ext cx="2055910" cy="235648"/>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20779338" y="2529978"/>
            <a:ext cx="2447365"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(E'=a'×n'×b'/1000)</a:t>
            </a:r>
            <a:endParaRPr lang="en-US" altLang="ja-JP">
              <a:solidFill>
                <a:sysClr val="windowText" lastClr="000000"/>
              </a:solidFill>
              <a:latin typeface="+mn-ea"/>
              <a:ea typeface="+mn-ea"/>
            </a:endParaRPr>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8723428" y="2765626"/>
            <a:ext cx="2055912" cy="2356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20779338" y="2765627"/>
            <a:ext cx="2447365" cy="23565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12</xdr:col>
      <xdr:colOff>1</xdr:colOff>
      <xdr:row>9</xdr:row>
      <xdr:rowOff>0</xdr:rowOff>
    </xdr:from>
    <xdr:to>
      <xdr:col>15</xdr:col>
      <xdr:colOff>17931</xdr:colOff>
      <xdr:row>12</xdr:row>
      <xdr:rowOff>0</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8041822" y="2503714"/>
          <a:ext cx="2535252" cy="734786"/>
          <a:chOff x="7808260" y="2447365"/>
          <a:chExt cx="2805953" cy="699247"/>
        </a:xfrm>
      </xdr:grpSpPr>
      <xdr:grpSp>
        <xdr:nvGrpSpPr>
          <xdr:cNvPr id="27" name="グループ化 26">
            <a:extLst>
              <a:ext uri="{FF2B5EF4-FFF2-40B4-BE49-F238E27FC236}">
                <a16:creationId xmlns:a16="http://schemas.microsoft.com/office/drawing/2014/main" id="{00000000-0008-0000-0300-00001B000000}"/>
              </a:ext>
            </a:extLst>
          </xdr:cNvPr>
          <xdr:cNvGrpSpPr/>
        </xdr:nvGrpSpPr>
        <xdr:grpSpPr>
          <a:xfrm>
            <a:off x="7808260" y="2447365"/>
            <a:ext cx="2805953" cy="699247"/>
            <a:chOff x="17123227" y="2906486"/>
            <a:chExt cx="2816043" cy="685800"/>
          </a:xfrm>
        </xdr:grpSpPr>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7244793" y="3167743"/>
              <a:ext cx="839401" cy="28738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入力セル</a:t>
              </a:r>
            </a:p>
          </xdr:txBody>
        </xdr:sp>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8139754" y="3167744"/>
              <a:ext cx="839401" cy="28738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選択セル</a:t>
              </a:r>
            </a:p>
          </xdr:txBody>
        </xdr:sp>
      </xdr:grpSp>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9701934" y="2716306"/>
            <a:ext cx="836393" cy="2930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入力不可</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8</xdr:row>
      <xdr:rowOff>1</xdr:rowOff>
    </xdr:from>
    <xdr:to>
      <xdr:col>15</xdr:col>
      <xdr:colOff>497774</xdr:colOff>
      <xdr:row>9</xdr:row>
      <xdr:rowOff>1</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0166350" y="2044701"/>
          <a:ext cx="30758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定格能力の増加は原則認められません</a:t>
          </a:r>
          <a:endParaRPr lang="en-US" altLang="ja-JP">
            <a:solidFill>
              <a:sysClr val="windowText" lastClr="000000"/>
            </a:solidFill>
            <a:latin typeface="+mn-ea"/>
            <a:ea typeface="+mn-ea"/>
          </a:endParaRPr>
        </a:p>
      </xdr:txBody>
    </xdr:sp>
    <xdr:clientData/>
  </xdr:twoCellAnchor>
  <xdr:twoCellAnchor>
    <xdr:from>
      <xdr:col>17</xdr:col>
      <xdr:colOff>401781</xdr:colOff>
      <xdr:row>11</xdr:row>
      <xdr:rowOff>0</xdr:rowOff>
    </xdr:from>
    <xdr:to>
      <xdr:col>26</xdr:col>
      <xdr:colOff>0</xdr:colOff>
      <xdr:row>13</xdr:row>
      <xdr:rowOff>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14897099" y="2753591"/>
          <a:ext cx="6871856" cy="450273"/>
          <a:chOff x="11843657" y="2754086"/>
          <a:chExt cx="6868886" cy="457200"/>
        </a:xfrm>
      </xdr:grpSpPr>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1843657" y="27540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5272657" y="2754087"/>
            <a:ext cx="3439886" cy="22859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(E'=a'1p'n'd'1R1+a'2p'n'd'2R2)</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1843657" y="2982686"/>
            <a:ext cx="34290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5272657" y="2982686"/>
            <a:ext cx="343988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9</xdr:row>
      <xdr:rowOff>215153</xdr:rowOff>
    </xdr:from>
    <xdr:to>
      <xdr:col>15</xdr:col>
      <xdr:colOff>236924</xdr:colOff>
      <xdr:row>13</xdr:row>
      <xdr:rowOff>0</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10200409" y="2518471"/>
          <a:ext cx="2817333" cy="685393"/>
          <a:chOff x="7808260" y="2447365"/>
          <a:chExt cx="2805953" cy="699247"/>
        </a:xfrm>
      </xdr:grpSpPr>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228600</xdr:colOff>
      <xdr:row>8</xdr:row>
      <xdr:rowOff>108857</xdr:rowOff>
    </xdr:from>
    <xdr:to>
      <xdr:col>11</xdr:col>
      <xdr:colOff>117181</xdr:colOff>
      <xdr:row>10</xdr:row>
      <xdr:rowOff>56747</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2622550" y="2153557"/>
          <a:ext cx="6797381"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8</xdr:row>
      <xdr:rowOff>0</xdr:rowOff>
    </xdr:from>
    <xdr:to>
      <xdr:col>15</xdr:col>
      <xdr:colOff>850899</xdr:colOff>
      <xdr:row>9</xdr:row>
      <xdr:rowOff>0</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0179050" y="2070100"/>
          <a:ext cx="3435349"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17</xdr:col>
      <xdr:colOff>0</xdr:colOff>
      <xdr:row>13</xdr:row>
      <xdr:rowOff>0</xdr:rowOff>
    </xdr:from>
    <xdr:to>
      <xdr:col>27</xdr:col>
      <xdr:colOff>58058</xdr:colOff>
      <xdr:row>15</xdr:row>
      <xdr:rowOff>205015</xdr:rowOff>
    </xdr:to>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14512636" y="3359727"/>
          <a:ext cx="8699831" cy="724561"/>
          <a:chOff x="18723428" y="2307773"/>
          <a:chExt cx="8643258" cy="685800"/>
        </a:xfrm>
      </xdr:grpSpPr>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18723429" y="23077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(E=p×n×{a1×d1×R1+a2×d2×R2})</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23023286" y="2307774"/>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年間電力消費量</a:t>
            </a:r>
            <a:r>
              <a:rPr lang="en-US" altLang="ja-JP" sz="1100" b="0" i="0" u="none" strike="noStrike">
                <a:solidFill>
                  <a:sysClr val="windowText" lastClr="000000"/>
                </a:solidFill>
                <a:effectLst/>
                <a:latin typeface="+mn-ea"/>
                <a:ea typeface="+mn-ea"/>
                <a:cs typeface="+mn-cs"/>
              </a:rPr>
              <a:t>(E'=n'×{a'1×d'1×R1+a'2×d'2×R2})</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18723428" y="25363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(F=p×n×{b1×d1×R1+b2×d2×R2}×860÷K)</a:t>
            </a:r>
            <a:endParaRPr lang="en-US" altLang="ja-JP">
              <a:solidFill>
                <a:sysClr val="windowText" lastClr="000000"/>
              </a:solidFill>
              <a:latin typeface="+mn-ea"/>
              <a:ea typeface="+mn-ea"/>
            </a:endParaRPr>
          </a:p>
        </xdr:txBody>
      </xdr:sp>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23023286" y="25363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年間消費ガス量</a:t>
            </a:r>
            <a:r>
              <a:rPr lang="en-US" altLang="ja-JP" sz="1100" b="0" i="0" u="none" strike="noStrike">
                <a:solidFill>
                  <a:sysClr val="windowText" lastClr="000000"/>
                </a:solidFill>
                <a:effectLst/>
                <a:latin typeface="+mn-ea"/>
                <a:ea typeface="+mn-ea"/>
                <a:cs typeface="+mn-cs"/>
              </a:rPr>
              <a:t>(F'=n'×{b'1×d'1×R1+b'2×d'2×R2}×860÷K)</a:t>
            </a:r>
            <a:endParaRPr lang="en-US" altLang="ja-JP">
              <a:solidFill>
                <a:sysClr val="windowText" lastClr="000000"/>
              </a:solidFill>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18723428" y="2764973"/>
            <a:ext cx="429985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(C1=E1×0.000457+F×)</a:t>
            </a:r>
            <a:endParaRPr lang="en-US" altLang="ja-JP">
              <a:solidFill>
                <a:sysClr val="windowText" lastClr="000000"/>
              </a:solidFill>
              <a:latin typeface="+mn-ea"/>
              <a:ea typeface="+mn-ea"/>
            </a:endParaRPr>
          </a:p>
        </xdr:txBody>
      </xdr:sp>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23023286" y="2764973"/>
            <a:ext cx="43434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(C'2=E'2×0.000457)</a:t>
            </a:r>
            <a:endParaRPr lang="en-US" altLang="ja-JP">
              <a:solidFill>
                <a:sysClr val="windowText" lastClr="000000"/>
              </a:solidFill>
              <a:latin typeface="+mn-ea"/>
              <a:ea typeface="+mn-ea"/>
            </a:endParaRPr>
          </a:p>
        </xdr:txBody>
      </xdr:sp>
    </xdr:grpSp>
    <xdr:clientData/>
  </xdr:twoCellAnchor>
  <xdr:twoCellAnchor>
    <xdr:from>
      <xdr:col>12</xdr:col>
      <xdr:colOff>0</xdr:colOff>
      <xdr:row>13</xdr:row>
      <xdr:rowOff>11953</xdr:rowOff>
    </xdr:from>
    <xdr:to>
      <xdr:col>15</xdr:col>
      <xdr:colOff>215153</xdr:colOff>
      <xdr:row>16</xdr:row>
      <xdr:rowOff>0</xdr:rowOff>
    </xdr:to>
    <xdr:grpSp>
      <xdr:nvGrpSpPr>
        <xdr:cNvPr id="25" name="グループ化 24">
          <a:extLst>
            <a:ext uri="{FF2B5EF4-FFF2-40B4-BE49-F238E27FC236}">
              <a16:creationId xmlns:a16="http://schemas.microsoft.com/office/drawing/2014/main" id="{00000000-0008-0000-0500-000019000000}"/>
            </a:ext>
          </a:extLst>
        </xdr:cNvPr>
        <xdr:cNvGrpSpPr/>
      </xdr:nvGrpSpPr>
      <xdr:grpSpPr>
        <a:xfrm>
          <a:off x="10200409" y="3371680"/>
          <a:ext cx="2812880" cy="750047"/>
          <a:chOff x="7808260" y="2447365"/>
          <a:chExt cx="2805953" cy="699247"/>
        </a:xfrm>
      </xdr:grpSpPr>
      <xdr:grpSp>
        <xdr:nvGrpSpPr>
          <xdr:cNvPr id="26" name="グループ化 25">
            <a:extLst>
              <a:ext uri="{FF2B5EF4-FFF2-40B4-BE49-F238E27FC236}">
                <a16:creationId xmlns:a16="http://schemas.microsoft.com/office/drawing/2014/main" id="{00000000-0008-0000-0500-00001A000000}"/>
              </a:ext>
            </a:extLst>
          </xdr:cNvPr>
          <xdr:cNvGrpSpPr/>
        </xdr:nvGrpSpPr>
        <xdr:grpSpPr>
          <a:xfrm>
            <a:off x="7808260" y="2447365"/>
            <a:ext cx="2805953" cy="699247"/>
            <a:chOff x="17123227" y="2906486"/>
            <a:chExt cx="2816043" cy="685800"/>
          </a:xfrm>
        </xdr:grpSpPr>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3</xdr:col>
      <xdr:colOff>152400</xdr:colOff>
      <xdr:row>11</xdr:row>
      <xdr:rowOff>12700</xdr:rowOff>
    </xdr:from>
    <xdr:to>
      <xdr:col>11</xdr:col>
      <xdr:colOff>11953</xdr:colOff>
      <xdr:row>12</xdr:row>
      <xdr:rowOff>189190</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559050" y="2768600"/>
          <a:ext cx="67683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9</xdr:row>
      <xdr:rowOff>0</xdr:rowOff>
    </xdr:from>
    <xdr:to>
      <xdr:col>16</xdr:col>
      <xdr:colOff>0</xdr:colOff>
      <xdr:row>10</xdr:row>
      <xdr:rowOff>0</xdr:rowOff>
    </xdr:to>
    <xdr:sp macro="" textlink="">
      <xdr:nvSpPr>
        <xdr:cNvPr id="16" name="テキスト ボックス 15">
          <a:extLst>
            <a:ext uri="{FF2B5EF4-FFF2-40B4-BE49-F238E27FC236}">
              <a16:creationId xmlns:a16="http://schemas.microsoft.com/office/drawing/2014/main" id="{00000000-0008-0000-0600-000010000000}"/>
            </a:ext>
          </a:extLst>
        </xdr:cNvPr>
        <xdr:cNvSpPr txBox="1"/>
      </xdr:nvSpPr>
      <xdr:spPr>
        <a:xfrm>
          <a:off x="8445500" y="2197100"/>
          <a:ext cx="28956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定格能力の増加は原則認められません</a:t>
          </a:r>
          <a:endParaRPr lang="en-US" altLang="ja-JP">
            <a:solidFill>
              <a:sysClr val="windowText" lastClr="000000"/>
            </a:solidFill>
          </a:endParaRPr>
        </a:p>
      </xdr:txBody>
    </xdr:sp>
    <xdr:clientData/>
  </xdr:twoCellAnchor>
  <xdr:twoCellAnchor>
    <xdr:from>
      <xdr:col>29</xdr:col>
      <xdr:colOff>3327</xdr:colOff>
      <xdr:row>10</xdr:row>
      <xdr:rowOff>226482</xdr:rowOff>
    </xdr:from>
    <xdr:to>
      <xdr:col>37</xdr:col>
      <xdr:colOff>234198</xdr:colOff>
      <xdr:row>13</xdr:row>
      <xdr:rowOff>226482</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20854418" y="2772255"/>
          <a:ext cx="5859280" cy="727363"/>
          <a:chOff x="12782869" y="2472508"/>
          <a:chExt cx="5563238" cy="717950"/>
        </a:xfrm>
      </xdr:grpSpPr>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a:xfrm>
            <a:off x="12782869" y="2472508"/>
            <a:ext cx="2940691" cy="23931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加熱式設備：年間燃料消費量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15723560" y="2472508"/>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年間燃料消費量</a:t>
            </a:r>
            <a:r>
              <a:rPr lang="en-US" altLang="ja-JP" sz="1100" b="0" i="0" u="none" strike="noStrike">
                <a:solidFill>
                  <a:sysClr val="windowText" lastClr="000000"/>
                </a:solidFill>
                <a:effectLst/>
                <a:latin typeface="+mn-ea"/>
                <a:ea typeface="+mn-ea"/>
                <a:cs typeface="+mn-cs"/>
              </a:rPr>
              <a:t>(F'=A'×n'×b')</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12782869" y="2940195"/>
            <a:ext cx="2940691" cy="25026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15723560" y="2953254"/>
            <a:ext cx="2622547" cy="23720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(C'=F'×</a:t>
            </a:r>
            <a:r>
              <a:rPr lang="ja-JP" altLang="en-US" sz="1100" b="0" i="0" u="none" strike="noStrike">
                <a:solidFill>
                  <a:sysClr val="windowText" lastClr="000000"/>
                </a:solidFill>
                <a:effectLst/>
                <a:latin typeface="+mn-ea"/>
                <a:ea typeface="+mn-ea"/>
                <a:cs typeface="+mn-cs"/>
              </a:rPr>
              <a:t>燃料毎の排出係数</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grpSp>
    <xdr:clientData/>
  </xdr:twoCellAnchor>
  <xdr:twoCellAnchor>
    <xdr:from>
      <xdr:col>12</xdr:col>
      <xdr:colOff>0</xdr:colOff>
      <xdr:row>10</xdr:row>
      <xdr:rowOff>215153</xdr:rowOff>
    </xdr:from>
    <xdr:to>
      <xdr:col>15</xdr:col>
      <xdr:colOff>617925</xdr:colOff>
      <xdr:row>14</xdr:row>
      <xdr:rowOff>0</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8468591" y="2760926"/>
          <a:ext cx="2800016" cy="754665"/>
          <a:chOff x="7808260" y="2447365"/>
          <a:chExt cx="2805953" cy="699247"/>
        </a:xfrm>
      </xdr:grpSpPr>
      <xdr:grpSp>
        <xdr:nvGrpSpPr>
          <xdr:cNvPr id="23" name="グループ化 22">
            <a:extLst>
              <a:ext uri="{FF2B5EF4-FFF2-40B4-BE49-F238E27FC236}">
                <a16:creationId xmlns:a16="http://schemas.microsoft.com/office/drawing/2014/main" id="{00000000-0008-0000-0600-000017000000}"/>
              </a:ext>
            </a:extLst>
          </xdr:cNvPr>
          <xdr:cNvGrpSpPr/>
        </xdr:nvGrpSpPr>
        <xdr:grpSpPr>
          <a:xfrm>
            <a:off x="7808260" y="2447365"/>
            <a:ext cx="2805953" cy="699247"/>
            <a:chOff x="17123227" y="2906486"/>
            <a:chExt cx="2816043" cy="685800"/>
          </a:xfrm>
        </xdr:grpSpPr>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7" name="テキスト ボックス 26">
              <a:extLst>
                <a:ext uri="{FF2B5EF4-FFF2-40B4-BE49-F238E27FC236}">
                  <a16:creationId xmlns:a16="http://schemas.microsoft.com/office/drawing/2014/main" id="{00000000-0008-0000-0600-00001B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1</xdr:col>
      <xdr:colOff>381000</xdr:colOff>
      <xdr:row>7</xdr:row>
      <xdr:rowOff>108857</xdr:rowOff>
    </xdr:from>
    <xdr:to>
      <xdr:col>11</xdr:col>
      <xdr:colOff>62753</xdr:colOff>
      <xdr:row>9</xdr:row>
      <xdr:rowOff>56747</xdr:rowOff>
    </xdr:to>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939800" y="1848757"/>
          <a:ext cx="6844553"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twoCellAnchor>
    <xdr:from>
      <xdr:col>29</xdr:col>
      <xdr:colOff>0</xdr:colOff>
      <xdr:row>12</xdr:row>
      <xdr:rowOff>0</xdr:rowOff>
    </xdr:from>
    <xdr:to>
      <xdr:col>33</xdr:col>
      <xdr:colOff>0</xdr:colOff>
      <xdr:row>13</xdr:row>
      <xdr:rowOff>0</xdr:rowOff>
    </xdr:to>
    <xdr:sp macro="" textlink="">
      <xdr:nvSpPr>
        <xdr:cNvPr id="29" name="テキスト ボックス 28">
          <a:extLst>
            <a:ext uri="{FF2B5EF4-FFF2-40B4-BE49-F238E27FC236}">
              <a16:creationId xmlns:a16="http://schemas.microsoft.com/office/drawing/2014/main" id="{00000000-0008-0000-0600-00001D000000}"/>
            </a:ext>
          </a:extLst>
        </xdr:cNvPr>
        <xdr:cNvSpPr txBox="1"/>
      </xdr:nvSpPr>
      <xdr:spPr>
        <a:xfrm>
          <a:off x="20770850" y="2882900"/>
          <a:ext cx="309880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HP</a:t>
          </a:r>
          <a:r>
            <a:rPr lang="ja-JP" altLang="en-US" sz="1100" b="0" i="0" u="none" strike="noStrike">
              <a:solidFill>
                <a:sysClr val="windowText" lastClr="000000"/>
              </a:solidFill>
              <a:effectLst/>
              <a:latin typeface="+mn-ea"/>
              <a:ea typeface="+mn-ea"/>
              <a:cs typeface="+mn-cs"/>
            </a:rPr>
            <a:t>設備：年間燃料消費量</a:t>
          </a:r>
          <a:r>
            <a:rPr lang="en-US" altLang="ja-JP" sz="1100" b="0" i="0" u="none" strike="noStrike">
              <a:solidFill>
                <a:sysClr val="windowText" lastClr="000000"/>
              </a:solidFill>
              <a:effectLst/>
              <a:latin typeface="+mn-ea"/>
              <a:ea typeface="+mn-ea"/>
              <a:cs typeface="+mn-cs"/>
            </a:rPr>
            <a:t>(F=A×n×b</a:t>
          </a:r>
          <a:r>
            <a:rPr lang="en-US" altLang="ja-JP" sz="1100" b="0" i="0">
              <a:solidFill>
                <a:schemeClr val="dk1"/>
              </a:solidFill>
              <a:effectLst/>
              <a:latin typeface="+mn-lt"/>
              <a:ea typeface="+mn-ea"/>
              <a:cs typeface="+mn-cs"/>
            </a:rPr>
            <a:t>×p</a:t>
          </a:r>
          <a:r>
            <a:rPr lang="en-US" altLang="ja-JP" sz="1100" b="0" i="0" u="none" strike="noStrike">
              <a:solidFill>
                <a:sysClr val="windowText" lastClr="000000"/>
              </a:solidFill>
              <a:effectLst/>
              <a:latin typeface="+mn-ea"/>
              <a:ea typeface="+mn-ea"/>
              <a:cs typeface="+mn-cs"/>
            </a:rPr>
            <a:t>)</a:t>
          </a:r>
          <a:endParaRPr lang="en-US" altLang="ja-JP">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7</xdr:row>
      <xdr:rowOff>0</xdr:rowOff>
    </xdr:from>
    <xdr:to>
      <xdr:col>17</xdr:col>
      <xdr:colOff>45464</xdr:colOff>
      <xdr:row>8</xdr:row>
      <xdr:rowOff>4482</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8909050" y="1739900"/>
          <a:ext cx="3080764"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定格出力の増加は原則認められません</a:t>
          </a:r>
          <a:endParaRPr lang="en-US" altLang="ja-JP">
            <a:solidFill>
              <a:sysClr val="windowText" lastClr="000000"/>
            </a:solidFill>
          </a:endParaRPr>
        </a:p>
      </xdr:txBody>
    </xdr:sp>
    <xdr:clientData/>
  </xdr:twoCellAnchor>
  <xdr:twoCellAnchor>
    <xdr:from>
      <xdr:col>25</xdr:col>
      <xdr:colOff>625929</xdr:colOff>
      <xdr:row>12</xdr:row>
      <xdr:rowOff>0</xdr:rowOff>
    </xdr:from>
    <xdr:to>
      <xdr:col>34</xdr:col>
      <xdr:colOff>0</xdr:colOff>
      <xdr:row>14</xdr:row>
      <xdr:rowOff>0</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18233572" y="3075214"/>
          <a:ext cx="4952999" cy="489857"/>
          <a:chOff x="11701839" y="2754086"/>
          <a:chExt cx="5266225" cy="457200"/>
        </a:xfrm>
      </xdr:grpSpPr>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11701839" y="2754086"/>
            <a:ext cx="2475058"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14176897" y="2754086"/>
            <a:ext cx="2791167"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(E'=b'×n'×r'×t')</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11701839" y="2982686"/>
            <a:ext cx="2475060"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14176898" y="2982686"/>
            <a:ext cx="279116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13</xdr:col>
      <xdr:colOff>0</xdr:colOff>
      <xdr:row>9</xdr:row>
      <xdr:rowOff>215153</xdr:rowOff>
    </xdr:from>
    <xdr:to>
      <xdr:col>16</xdr:col>
      <xdr:colOff>715895</xdr:colOff>
      <xdr:row>13</xdr:row>
      <xdr:rowOff>0</xdr:rowOff>
    </xdr:to>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8899071" y="2555582"/>
          <a:ext cx="2797788" cy="764561"/>
          <a:chOff x="7808260" y="2447365"/>
          <a:chExt cx="2805953" cy="699247"/>
        </a:xfrm>
      </xdr:grpSpPr>
      <xdr:grpSp>
        <xdr:nvGrpSpPr>
          <xdr:cNvPr id="22" name="グループ化 21">
            <a:extLst>
              <a:ext uri="{FF2B5EF4-FFF2-40B4-BE49-F238E27FC236}">
                <a16:creationId xmlns:a16="http://schemas.microsoft.com/office/drawing/2014/main" id="{00000000-0008-0000-07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76200</xdr:colOff>
      <xdr:row>8</xdr:row>
      <xdr:rowOff>54429</xdr:rowOff>
    </xdr:from>
    <xdr:to>
      <xdr:col>11</xdr:col>
      <xdr:colOff>574382</xdr:colOff>
      <xdr:row>10</xdr:row>
      <xdr:rowOff>2319</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1504950" y="2022929"/>
          <a:ext cx="6911682" cy="40509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7</xdr:row>
      <xdr:rowOff>0</xdr:rowOff>
    </xdr:from>
    <xdr:to>
      <xdr:col>21</xdr:col>
      <xdr:colOff>0</xdr:colOff>
      <xdr:row>8</xdr:row>
      <xdr:rowOff>0</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9715500" y="2101850"/>
          <a:ext cx="7327900" cy="23495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容量が更新前後で異なる場合は、その理由を特記事項欄に記載してください。（要根拠資料）</a:t>
          </a:r>
          <a:endParaRPr lang="en-US" altLang="ja-JP" sz="1100">
            <a:solidFill>
              <a:sysClr val="windowText" lastClr="000000"/>
            </a:solidFill>
          </a:endParaRPr>
        </a:p>
      </xdr:txBody>
    </xdr:sp>
    <xdr:clientData/>
  </xdr:twoCellAnchor>
  <xdr:twoCellAnchor>
    <xdr:from>
      <xdr:col>14</xdr:col>
      <xdr:colOff>767123</xdr:colOff>
      <xdr:row>10</xdr:row>
      <xdr:rowOff>0</xdr:rowOff>
    </xdr:from>
    <xdr:to>
      <xdr:col>22</xdr:col>
      <xdr:colOff>0</xdr:colOff>
      <xdr:row>12</xdr:row>
      <xdr:rowOff>0</xdr:rowOff>
    </xdr:to>
    <xdr:grpSp>
      <xdr:nvGrpSpPr>
        <xdr:cNvPr id="16" name="グループ化 15">
          <a:extLst>
            <a:ext uri="{FF2B5EF4-FFF2-40B4-BE49-F238E27FC236}">
              <a16:creationId xmlns:a16="http://schemas.microsoft.com/office/drawing/2014/main" id="{00000000-0008-0000-0800-000010000000}"/>
            </a:ext>
          </a:extLst>
        </xdr:cNvPr>
        <xdr:cNvGrpSpPr/>
      </xdr:nvGrpSpPr>
      <xdr:grpSpPr>
        <a:xfrm>
          <a:off x="12088266" y="2816679"/>
          <a:ext cx="5845948" cy="489857"/>
          <a:chOff x="11843657" y="2754086"/>
          <a:chExt cx="5766209" cy="466165"/>
        </a:xfrm>
      </xdr:grpSpPr>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11843657" y="2754086"/>
            <a:ext cx="2705136"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(E=(a+b×r2)×t/1000)</a:t>
            </a:r>
            <a:endParaRPr lang="en-US" altLang="ja-JP">
              <a:solidFill>
                <a:sysClr val="windowText" lastClr="000000"/>
              </a:solidFill>
              <a:latin typeface="+mn-ea"/>
              <a:ea typeface="+mn-ea"/>
            </a:endParaRPr>
          </a:p>
        </xdr:txBody>
      </xdr:sp>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14548792" y="2758568"/>
            <a:ext cx="3061074" cy="2286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年間消費電力量</a:t>
            </a:r>
            <a:r>
              <a:rPr lang="en-US" altLang="ja-JP" sz="1100" b="0" i="0" u="none" strike="noStrike">
                <a:solidFill>
                  <a:sysClr val="windowText" lastClr="000000"/>
                </a:solidFill>
                <a:effectLst/>
                <a:latin typeface="+mn-ea"/>
                <a:ea typeface="+mn-ea"/>
                <a:cs typeface="+mn-cs"/>
              </a:rPr>
              <a:t>(E'=(a'+b'×r2)×n'×t'/1000)</a:t>
            </a:r>
            <a:endParaRPr lang="en-US" altLang="ja-JP">
              <a:solidFill>
                <a:sysClr val="windowText" lastClr="000000"/>
              </a:solidFill>
              <a:latin typeface="+mn-ea"/>
              <a:ea typeface="+mn-ea"/>
            </a:endParaRPr>
          </a:p>
        </xdr:txBody>
      </xdr:sp>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11843657" y="2987168"/>
            <a:ext cx="2705136" cy="2330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4548793" y="2987168"/>
            <a:ext cx="3061073" cy="23308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11</xdr:col>
      <xdr:colOff>300210</xdr:colOff>
      <xdr:row>9</xdr:row>
      <xdr:rowOff>1</xdr:rowOff>
    </xdr:from>
    <xdr:to>
      <xdr:col>14</xdr:col>
      <xdr:colOff>381000</xdr:colOff>
      <xdr:row>12</xdr:row>
      <xdr:rowOff>1</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8886317" y="2598965"/>
          <a:ext cx="2815826" cy="707572"/>
          <a:chOff x="7808260" y="2447365"/>
          <a:chExt cx="2805953" cy="699247"/>
        </a:xfrm>
      </xdr:grpSpPr>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7808260" y="2447365"/>
            <a:ext cx="2805953" cy="699247"/>
            <a:chOff x="17123227" y="2906486"/>
            <a:chExt cx="2816043" cy="685800"/>
          </a:xfrm>
        </xdr:grpSpPr>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123227" y="2906486"/>
              <a:ext cx="2816043" cy="685800"/>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17351828" y="3167743"/>
              <a:ext cx="772886" cy="370114"/>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入力セル</a:t>
              </a:r>
            </a:p>
          </xdr:txBody>
        </xdr:sp>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8196139" y="3167744"/>
              <a:ext cx="772886" cy="370114"/>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選択セル</a:t>
              </a:r>
            </a:p>
          </xdr:txBody>
        </xdr:sp>
      </xdr:grpSp>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9717741" y="2716306"/>
            <a:ext cx="770117" cy="37737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入力不可</a:t>
            </a:r>
          </a:p>
        </xdr:txBody>
      </xdr:sp>
    </xdr:grpSp>
    <xdr:clientData/>
  </xdr:twoCellAnchor>
  <xdr:twoCellAnchor>
    <xdr:from>
      <xdr:col>2</xdr:col>
      <xdr:colOff>507254</xdr:colOff>
      <xdr:row>8</xdr:row>
      <xdr:rowOff>15688</xdr:rowOff>
    </xdr:from>
    <xdr:to>
      <xdr:col>11</xdr:col>
      <xdr:colOff>10460</xdr:colOff>
      <xdr:row>9</xdr:row>
      <xdr:rowOff>177800</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1809004" y="2352488"/>
          <a:ext cx="6735856" cy="39706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45357</xdr:rowOff>
    </xdr:from>
    <xdr:to>
      <xdr:col>9</xdr:col>
      <xdr:colOff>752927</xdr:colOff>
      <xdr:row>9</xdr:row>
      <xdr:rowOff>18143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79400" y="1912257"/>
          <a:ext cx="7274377" cy="45538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記入例シートをご覧の上、設備更新による削減量を算定してください。</a:t>
          </a:r>
          <a:endParaRPr kumimoji="1" lang="en-US" altLang="ja-JP" sz="16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a:solidFill>
              <a:sysClr val="windowText" lastClr="000000"/>
            </a:solidFill>
          </a:endParaRPr>
        </a:p>
      </xdr:txBody>
    </xdr:sp>
    <xdr:clientData/>
  </xdr:twoCellAnchor>
  <xdr:twoCellAnchor>
    <xdr:from>
      <xdr:col>11</xdr:col>
      <xdr:colOff>0</xdr:colOff>
      <xdr:row>8</xdr:row>
      <xdr:rowOff>0</xdr:rowOff>
    </xdr:from>
    <xdr:to>
      <xdr:col>16</xdr:col>
      <xdr:colOff>0</xdr:colOff>
      <xdr:row>9</xdr:row>
      <xdr:rowOff>27213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337550" y="2120900"/>
          <a:ext cx="3841750" cy="25581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容積（容量）の増加は原則認められません。</a:t>
          </a:r>
          <a:endParaRPr lang="en-US" altLang="ja-JP">
            <a:solidFill>
              <a:sysClr val="windowText" lastClr="000000"/>
            </a:solidFill>
          </a:endParaRPr>
        </a:p>
      </xdr:txBody>
    </xdr:sp>
    <xdr:clientData/>
  </xdr:twoCellAnchor>
  <xdr:twoCellAnchor>
    <xdr:from>
      <xdr:col>11</xdr:col>
      <xdr:colOff>3</xdr:colOff>
      <xdr:row>11</xdr:row>
      <xdr:rowOff>2</xdr:rowOff>
    </xdr:from>
    <xdr:to>
      <xdr:col>17</xdr:col>
      <xdr:colOff>2720</xdr:colOff>
      <xdr:row>12</xdr:row>
      <xdr:rowOff>3</xdr:rowOff>
    </xdr:to>
    <xdr:grpSp>
      <xdr:nvGrpSpPr>
        <xdr:cNvPr id="4" name="グループ化 3">
          <a:extLst>
            <a:ext uri="{FF2B5EF4-FFF2-40B4-BE49-F238E27FC236}">
              <a16:creationId xmlns:a16="http://schemas.microsoft.com/office/drawing/2014/main" id="{00000000-0008-0000-0900-000004000000}"/>
            </a:ext>
          </a:extLst>
        </xdr:cNvPr>
        <xdr:cNvGrpSpPr/>
      </xdr:nvGrpSpPr>
      <xdr:grpSpPr>
        <a:xfrm>
          <a:off x="8395610" y="2830288"/>
          <a:ext cx="4656360" cy="244929"/>
          <a:chOff x="18723429" y="2808123"/>
          <a:chExt cx="3859946" cy="193156"/>
        </a:xfrm>
      </xdr:grpSpPr>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8723429" y="2808123"/>
            <a:ext cx="1929975" cy="193153"/>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20653402" y="2808124"/>
            <a:ext cx="1929973" cy="19315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ea"/>
                <a:ea typeface="+mn-ea"/>
                <a:cs typeface="+mn-cs"/>
              </a:rPr>
              <a:t>CO2</a:t>
            </a:r>
            <a:r>
              <a:rPr lang="ja-JP" altLang="en-US" sz="1100" b="0" i="0" u="none" strike="noStrike">
                <a:solidFill>
                  <a:sysClr val="windowText" lastClr="000000"/>
                </a:solidFill>
                <a:effectLst/>
                <a:latin typeface="+mn-ea"/>
                <a:ea typeface="+mn-ea"/>
                <a:cs typeface="+mn-cs"/>
              </a:rPr>
              <a:t>排出量</a:t>
            </a:r>
            <a:r>
              <a:rPr lang="en-US" altLang="ja-JP" sz="1100" b="0" i="0" u="none" strike="noStrike">
                <a:solidFill>
                  <a:sysClr val="windowText" lastClr="000000"/>
                </a:solidFill>
                <a:effectLst/>
                <a:latin typeface="+mn-ea"/>
                <a:ea typeface="+mn-ea"/>
                <a:cs typeface="+mn-cs"/>
              </a:rPr>
              <a:t>(C'=E'×0.000457)</a:t>
            </a:r>
            <a:endParaRPr lang="en-US" altLang="ja-JP">
              <a:solidFill>
                <a:sysClr val="windowText" lastClr="000000"/>
              </a:solidFill>
              <a:latin typeface="+mn-ea"/>
              <a:ea typeface="+mn-ea"/>
            </a:endParaRPr>
          </a:p>
        </xdr:txBody>
      </xdr:sp>
    </xdr:grpSp>
    <xdr:clientData/>
  </xdr:twoCellAnchor>
  <xdr:twoCellAnchor>
    <xdr:from>
      <xdr:col>6</xdr:col>
      <xdr:colOff>36286</xdr:colOff>
      <xdr:row>9</xdr:row>
      <xdr:rowOff>117929</xdr:rowOff>
    </xdr:from>
    <xdr:to>
      <xdr:col>9</xdr:col>
      <xdr:colOff>657679</xdr:colOff>
      <xdr:row>11</xdr:row>
      <xdr:rowOff>199571</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4553857" y="2458358"/>
          <a:ext cx="2948215" cy="571499"/>
          <a:chOff x="7808260" y="2435511"/>
          <a:chExt cx="2805953" cy="711101"/>
        </a:xfrm>
      </xdr:grpSpPr>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7808260" y="2435511"/>
            <a:ext cx="2805953" cy="711101"/>
            <a:chOff x="17123227" y="2894859"/>
            <a:chExt cx="2816043" cy="697426"/>
          </a:xfrm>
        </xdr:grpSpPr>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7123227" y="2894859"/>
              <a:ext cx="2816043" cy="69742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●凡例</a:t>
              </a:r>
            </a:p>
          </xdr:txBody>
        </xdr:sp>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17351828" y="3243574"/>
              <a:ext cx="772886" cy="294283"/>
            </a:xfrm>
            <a:prstGeom prst="rect">
              <a:avLst/>
            </a:prstGeom>
            <a:solidFill>
              <a:srgbClr val="FFF2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入力セル</a:t>
              </a:r>
            </a:p>
          </xdr:txBody>
        </xdr:sp>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18196139" y="3243575"/>
              <a:ext cx="772886" cy="294283"/>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選択セル</a:t>
              </a:r>
            </a:p>
          </xdr:txBody>
        </xdr:sp>
      </xdr:grpSp>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9717741" y="2793624"/>
            <a:ext cx="770117" cy="2937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入力不可</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ndanka\&#35336;&#30011;&#26360;\&#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akakusa\&#12456;&#12492;&#12456;&#12473;&#29872;&#22659;%20Dropbox\01000_03_&#26412;&#31038;_&#25216;&#34899;&#37096;\&#25216;&#34899;&#37096;\3.&#21463;&#27880;&#26989;&#21209;&#23550;&#24540;\&#29872;&#22659;&#35336;&#30011;24-08%20&#21315;&#33865;&#30476;_R6&#26989;&#21209;&#29992;&#35373;&#20633;&#31561;&#33073;&#28845;&#32032;&#21270;&#35036;&#21161;&#37329;\04.&#20316;&#26989;&#29992;\00.&#28310;&#20633;\&#31777;&#26131;&#33258;&#24049;&#35386;&#26029;&#12484;&#12540;&#12523;\&#31777;&#26131;&#33258;&#24049;&#35386;&#26029;&#12484;&#12540;&#12523;_24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ishidate-h/AppData/Local/Microsoft/Windows/INetCache/Content.Outlook/OM8FNEAB/&#31777;&#26131;&#33258;&#24049;&#35386;&#26029;&#12484;&#12540;&#12523;_2405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モーター効率"/>
      <sheetName val="係数"/>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照明"/>
      <sheetName val="空調（電気）"/>
      <sheetName val="空調（GHP)"/>
      <sheetName val="ボイラー・給湯器"/>
      <sheetName val="コンプレッサー"/>
      <sheetName val="変圧器"/>
      <sheetName val="冷凍庫・冷蔵庫"/>
      <sheetName val="その他"/>
      <sheetName val="使用量と光熱費"/>
      <sheetName val="記入例"/>
      <sheetName val="係数"/>
      <sheetName val="モーター効率"/>
      <sheetName val="空調kcal換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C6" t="str">
            <v>電気</v>
          </cell>
          <cell r="H6">
            <v>0</v>
          </cell>
        </row>
      </sheetData>
      <sheetData sheetId="9" refreshError="1"/>
      <sheetData sheetId="10" refreshError="1">
        <row r="3">
          <cell r="B3" t="str">
            <v>原油（コンデンセートを除く。）</v>
          </cell>
        </row>
        <row r="30">
          <cell r="C30">
            <v>9.9700000000000006</v>
          </cell>
        </row>
      </sheetData>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nv.go.jp/earth/ondanka/gel/ghg-guideline/business/measures/view/17.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tabSelected="1" view="pageBreakPreview" zoomScale="55" zoomScaleNormal="20" zoomScaleSheetLayoutView="55" workbookViewId="0">
      <selection activeCell="DJ99" sqref="DJ99"/>
    </sheetView>
  </sheetViews>
  <sheetFormatPr defaultColWidth="8.625" defaultRowHeight="18.75" x14ac:dyDescent="0.4"/>
  <cols>
    <col min="1" max="1" width="8.625" style="264"/>
    <col min="2" max="2" width="22" style="264" customWidth="1"/>
    <col min="3" max="3" width="25.875" style="264" customWidth="1"/>
    <col min="4" max="4" width="33.375" style="264" customWidth="1"/>
    <col min="5" max="16384" width="8.625" style="264"/>
  </cols>
  <sheetData>
    <row r="1" spans="1:4" ht="30" x14ac:dyDescent="0.6">
      <c r="A1" s="263" t="s">
        <v>882</v>
      </c>
    </row>
    <row r="3" spans="1:4" x14ac:dyDescent="0.4">
      <c r="B3" s="190" t="s">
        <v>871</v>
      </c>
      <c r="C3" s="190" t="s">
        <v>877</v>
      </c>
      <c r="D3" s="190" t="s">
        <v>875</v>
      </c>
    </row>
    <row r="4" spans="1:4" ht="37.5" x14ac:dyDescent="0.4">
      <c r="B4" s="187" t="s">
        <v>872</v>
      </c>
      <c r="C4" s="11" t="s">
        <v>883</v>
      </c>
      <c r="D4" s="3"/>
    </row>
    <row r="5" spans="1:4" x14ac:dyDescent="0.4">
      <c r="B5" s="190" t="s">
        <v>873</v>
      </c>
      <c r="C5" s="2" t="s">
        <v>884</v>
      </c>
      <c r="D5" s="3"/>
    </row>
    <row r="6" spans="1:4" ht="75" x14ac:dyDescent="0.4">
      <c r="B6" s="187" t="s">
        <v>874</v>
      </c>
      <c r="C6" s="11" t="s">
        <v>880</v>
      </c>
      <c r="D6" s="338" t="s">
        <v>876</v>
      </c>
    </row>
    <row r="7" spans="1:4" x14ac:dyDescent="0.4">
      <c r="B7" s="337" t="s">
        <v>878</v>
      </c>
    </row>
    <row r="8" spans="1:4" x14ac:dyDescent="0.4">
      <c r="B8" s="264" t="s">
        <v>881</v>
      </c>
    </row>
    <row r="9" spans="1:4" x14ac:dyDescent="0.4">
      <c r="B9" s="264" t="s">
        <v>879</v>
      </c>
    </row>
  </sheetData>
  <sheetProtection algorithmName="SHA-512" hashValue="MCnyvF2U5vEVmC0uLgj4eGpPoT5keNS8gA8FohG/6s4jaRgYCcaNYIu3UU/sEaSKqU6dSWONi5/gCO2K+jN6aw==" saltValue="SLKl0cJ2Ri45IvBfEydEBw==" spinCount="100000" sheet="1" objects="1" scenarios="1" formatCells="0" formatColumns="0" formatRows="0"/>
  <phoneticPr fontId="5"/>
  <pageMargins left="0.31496062992125984" right="0.31496062992125984" top="0.3543307086614173" bottom="0.354330708661417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8"/>
  <sheetViews>
    <sheetView zoomScale="70" zoomScaleNormal="70" workbookViewId="0">
      <selection activeCell="X35" sqref="X35"/>
    </sheetView>
  </sheetViews>
  <sheetFormatPr defaultColWidth="8.625" defaultRowHeight="18.75" x14ac:dyDescent="0.4"/>
  <cols>
    <col min="1" max="1" width="3.625" customWidth="1"/>
    <col min="2" max="2" width="6.625" customWidth="1"/>
    <col min="3" max="3" width="18.5" customWidth="1"/>
    <col min="4" max="19" width="10.125" customWidth="1"/>
  </cols>
  <sheetData>
    <row r="1" spans="1:20" ht="30" x14ac:dyDescent="0.6">
      <c r="A1" s="95" t="s">
        <v>916</v>
      </c>
      <c r="H1" s="470"/>
      <c r="K1" s="186"/>
    </row>
    <row r="3" spans="1:20" ht="20.100000000000001" customHeight="1" x14ac:dyDescent="0.4">
      <c r="D3" s="630" t="s">
        <v>139</v>
      </c>
      <c r="E3" s="631"/>
      <c r="F3" s="187" t="s">
        <v>138</v>
      </c>
      <c r="G3" s="187" t="s">
        <v>76</v>
      </c>
      <c r="H3" s="566" t="s">
        <v>86</v>
      </c>
      <c r="I3" s="187" t="s">
        <v>183</v>
      </c>
      <c r="J3" s="571" t="s">
        <v>187</v>
      </c>
      <c r="L3" s="622" t="s">
        <v>500</v>
      </c>
      <c r="M3" s="622"/>
      <c r="N3" s="622"/>
      <c r="O3" s="622"/>
      <c r="P3" s="622"/>
      <c r="Q3" s="622"/>
      <c r="R3" s="622"/>
      <c r="S3" s="622"/>
      <c r="T3" s="622"/>
    </row>
    <row r="4" spans="1:20" ht="20.100000000000001" customHeight="1" x14ac:dyDescent="0.4">
      <c r="D4" s="603" t="s">
        <v>83</v>
      </c>
      <c r="E4" s="604"/>
      <c r="F4" s="187" t="s">
        <v>84</v>
      </c>
      <c r="G4" s="451">
        <f>$J$17</f>
        <v>0</v>
      </c>
      <c r="H4" s="567">
        <f>$Q$17</f>
        <v>0</v>
      </c>
      <c r="I4" s="452">
        <f>G4-H4</f>
        <v>0</v>
      </c>
      <c r="J4" s="572">
        <f>IF(OR(G4=0,I4=0),0,I4/G4)</f>
        <v>0</v>
      </c>
      <c r="L4" s="623"/>
      <c r="M4" s="623"/>
      <c r="N4" s="623"/>
      <c r="O4" s="623"/>
      <c r="P4" s="623"/>
      <c r="Q4" s="623"/>
      <c r="R4" s="623"/>
      <c r="S4" s="623"/>
      <c r="T4" s="623"/>
    </row>
    <row r="5" spans="1:20" ht="20.100000000000001" customHeight="1" x14ac:dyDescent="0.4">
      <c r="D5" s="603" t="s">
        <v>58</v>
      </c>
      <c r="E5" s="604"/>
      <c r="F5" s="189" t="s">
        <v>62</v>
      </c>
      <c r="G5" s="453">
        <f>$K$17</f>
        <v>0</v>
      </c>
      <c r="H5" s="568">
        <f>$R$17</f>
        <v>0</v>
      </c>
      <c r="I5" s="454">
        <f>G5-H5</f>
        <v>0</v>
      </c>
      <c r="J5" s="572">
        <f>IF(OR(G5=0,I5=0),0,I5/G5)</f>
        <v>0</v>
      </c>
      <c r="L5" s="455"/>
      <c r="M5" s="455"/>
      <c r="N5" s="455"/>
      <c r="O5" s="455"/>
      <c r="P5" s="455"/>
      <c r="Q5" s="455"/>
    </row>
    <row r="6" spans="1:20" ht="20.100000000000001" customHeight="1" x14ac:dyDescent="0.4">
      <c r="D6" s="630" t="s">
        <v>186</v>
      </c>
      <c r="E6" s="631"/>
      <c r="F6" s="187" t="s">
        <v>89</v>
      </c>
      <c r="G6" s="456" t="str">
        <f>IF(使用量と光熱費!$H$7=0,"ー",G4*使用量と光熱費!$H$6)</f>
        <v>ー</v>
      </c>
      <c r="H6" s="563" t="str">
        <f>IF(使用量と光熱費!$H$7=0,"ー",H4*使用量と光熱費!$H$6)</f>
        <v>ー</v>
      </c>
      <c r="I6" s="456" t="str">
        <f>IF(OR(G6="ー",H6="ー"),"ー",I4*使用量と光熱費!$H$6)</f>
        <v>ー</v>
      </c>
      <c r="J6" s="573" t="str">
        <f>IF(OR(G6="ー",I6="ー"),"ー",I6/G6)</f>
        <v>ー</v>
      </c>
      <c r="L6" s="622" t="s">
        <v>1026</v>
      </c>
      <c r="M6" s="622"/>
      <c r="N6" s="622"/>
      <c r="O6" s="622"/>
      <c r="P6" s="622"/>
      <c r="Q6" s="622"/>
      <c r="R6" s="622"/>
      <c r="S6" s="622"/>
      <c r="T6" s="622"/>
    </row>
    <row r="7" spans="1:20" ht="20.100000000000001" customHeight="1" x14ac:dyDescent="0.4">
      <c r="D7" s="680" t="s">
        <v>458</v>
      </c>
      <c r="E7" s="681"/>
      <c r="F7" s="190" t="s">
        <v>459</v>
      </c>
      <c r="G7" s="458">
        <f>G4*係数!$C$30*0.0000258</f>
        <v>0</v>
      </c>
      <c r="H7" s="564">
        <f>H4*係数!$C$30*0.0000258</f>
        <v>0</v>
      </c>
      <c r="I7" s="560">
        <f>G7-H7</f>
        <v>0</v>
      </c>
      <c r="J7" s="574">
        <f>IF(OR(G7=0,I7=0),0,I7/G7)</f>
        <v>0</v>
      </c>
      <c r="L7" s="190" t="s">
        <v>139</v>
      </c>
      <c r="M7" s="190" t="s">
        <v>1027</v>
      </c>
      <c r="N7" s="190" t="s">
        <v>1028</v>
      </c>
      <c r="O7" s="602" t="str">
        <f>IF(OR(OR(M8="",N8=""),AND(M8="なし",N8="なし")),"ー",IF(COUNTIF(M8:N8,"増加")&gt;0,"やむを得ず増加する場合は特記事項欄に理由を記載してください。(要根拠資料提出)","減少する理由を特記事項欄に記載してください。"))</f>
        <v>ー</v>
      </c>
      <c r="P7" s="602"/>
      <c r="Q7" s="602"/>
      <c r="R7" s="602"/>
      <c r="S7" s="602"/>
      <c r="T7" s="602"/>
    </row>
    <row r="8" spans="1:20" ht="20.100000000000001" customHeight="1" x14ac:dyDescent="0.4">
      <c r="K8" s="455"/>
      <c r="L8" s="565" t="s">
        <v>1029</v>
      </c>
      <c r="M8" s="40" t="str">
        <f>IF(AND(G17=0,N17=0),"",IF(G17=N17,"なし",IF(G17&gt;N17,"減少","増加")))</f>
        <v/>
      </c>
      <c r="N8" s="2" t="str">
        <f>IF(AND(H17=0,O17=0),"",IF(H17=O17,"なし",IF(H17&gt;O17,"減少","増加")))</f>
        <v/>
      </c>
      <c r="O8" s="602"/>
      <c r="P8" s="602"/>
      <c r="Q8" s="602"/>
      <c r="R8" s="602"/>
      <c r="S8" s="602"/>
      <c r="T8" s="602"/>
    </row>
    <row r="9" spans="1:20" x14ac:dyDescent="0.4">
      <c r="C9" s="191"/>
    </row>
    <row r="10" spans="1:20" x14ac:dyDescent="0.4">
      <c r="C10" s="192"/>
    </row>
    <row r="11" spans="1:20" x14ac:dyDescent="0.4">
      <c r="C11" s="192"/>
    </row>
    <row r="12" spans="1:20" x14ac:dyDescent="0.4">
      <c r="A12" t="s">
        <v>137</v>
      </c>
      <c r="K12" s="191"/>
    </row>
    <row r="13" spans="1:20" x14ac:dyDescent="0.4">
      <c r="B13" s="596" t="s">
        <v>139</v>
      </c>
      <c r="C13" s="193" t="s">
        <v>76</v>
      </c>
      <c r="D13" s="193"/>
      <c r="E13" s="193"/>
      <c r="F13" s="193"/>
      <c r="G13" s="193"/>
      <c r="H13" s="193"/>
      <c r="I13" s="193"/>
      <c r="J13" s="193"/>
      <c r="K13" s="193"/>
      <c r="L13" s="193" t="s">
        <v>86</v>
      </c>
      <c r="M13" s="193"/>
      <c r="N13" s="193"/>
      <c r="O13" s="193"/>
      <c r="P13" s="193"/>
      <c r="Q13" s="193"/>
      <c r="R13" s="193"/>
      <c r="S13" s="193" t="s">
        <v>93</v>
      </c>
      <c r="T13" s="193"/>
    </row>
    <row r="14" spans="1:20" ht="33" customHeight="1" x14ac:dyDescent="0.4">
      <c r="B14" s="597"/>
      <c r="C14" s="343" t="s">
        <v>165</v>
      </c>
      <c r="D14" s="372" t="s">
        <v>891</v>
      </c>
      <c r="E14" s="343" t="s">
        <v>85</v>
      </c>
      <c r="F14" s="372" t="s">
        <v>515</v>
      </c>
      <c r="G14" s="416" t="s">
        <v>917</v>
      </c>
      <c r="H14" s="416" t="s">
        <v>918</v>
      </c>
      <c r="I14" s="343" t="s">
        <v>919</v>
      </c>
      <c r="J14" s="343" t="s">
        <v>504</v>
      </c>
      <c r="K14" s="343" t="s">
        <v>442</v>
      </c>
      <c r="L14" s="343" t="s">
        <v>165</v>
      </c>
      <c r="M14" s="343" t="s">
        <v>95</v>
      </c>
      <c r="N14" s="343" t="s">
        <v>917</v>
      </c>
      <c r="O14" s="343" t="s">
        <v>918</v>
      </c>
      <c r="P14" s="343" t="s">
        <v>920</v>
      </c>
      <c r="Q14" s="343" t="s">
        <v>505</v>
      </c>
      <c r="R14" s="343" t="s">
        <v>443</v>
      </c>
      <c r="S14" s="345" t="s">
        <v>451</v>
      </c>
      <c r="T14" s="345" t="s">
        <v>452</v>
      </c>
    </row>
    <row r="15" spans="1:20" ht="21.6" customHeight="1" x14ac:dyDescent="0.4">
      <c r="B15" s="194" t="s">
        <v>138</v>
      </c>
      <c r="C15" s="280"/>
      <c r="D15" s="194"/>
      <c r="E15" s="190" t="s">
        <v>77</v>
      </c>
      <c r="F15" s="190"/>
      <c r="G15" s="190" t="s">
        <v>921</v>
      </c>
      <c r="H15" s="194" t="s">
        <v>921</v>
      </c>
      <c r="I15" s="190" t="s">
        <v>78</v>
      </c>
      <c r="J15" s="190" t="s">
        <v>84</v>
      </c>
      <c r="K15" s="196" t="s">
        <v>62</v>
      </c>
      <c r="L15" s="281"/>
      <c r="M15" s="190" t="s">
        <v>77</v>
      </c>
      <c r="N15" s="196" t="s">
        <v>921</v>
      </c>
      <c r="O15" s="196" t="s">
        <v>921</v>
      </c>
      <c r="P15" s="190" t="s">
        <v>78</v>
      </c>
      <c r="Q15" s="190" t="s">
        <v>84</v>
      </c>
      <c r="R15" s="196" t="s">
        <v>62</v>
      </c>
      <c r="S15" s="190" t="s">
        <v>84</v>
      </c>
      <c r="T15" s="196" t="s">
        <v>62</v>
      </c>
    </row>
    <row r="16" spans="1:20" ht="21.6" customHeight="1" x14ac:dyDescent="0.4">
      <c r="B16" s="243" t="s">
        <v>506</v>
      </c>
      <c r="C16" s="197" t="s">
        <v>922</v>
      </c>
      <c r="D16" s="199">
        <v>2012</v>
      </c>
      <c r="E16" s="199">
        <v>1</v>
      </c>
      <c r="F16" s="376">
        <f>IF(D16="",1,MIN(1.5,(2024-D16)*0.05+1))</f>
        <v>1.5</v>
      </c>
      <c r="G16" s="197">
        <v>180</v>
      </c>
      <c r="H16" s="197">
        <v>600</v>
      </c>
      <c r="I16" s="575">
        <v>360</v>
      </c>
      <c r="J16" s="227">
        <v>1400</v>
      </c>
      <c r="K16" s="348">
        <f>J16*E16*F16*係数!$H$30</f>
        <v>0.95760000000000001</v>
      </c>
      <c r="L16" s="449" t="s">
        <v>923</v>
      </c>
      <c r="M16" s="199">
        <v>1</v>
      </c>
      <c r="N16" s="249">
        <v>180</v>
      </c>
      <c r="O16" s="249">
        <v>600</v>
      </c>
      <c r="P16" s="575">
        <v>320</v>
      </c>
      <c r="Q16" s="227">
        <v>1300</v>
      </c>
      <c r="R16" s="348">
        <f>Q16*M16*係数!$H$30</f>
        <v>0.59279999999999999</v>
      </c>
      <c r="S16" s="251">
        <f>J16*E16*F16-Q16*M16</f>
        <v>800</v>
      </c>
      <c r="T16" s="211">
        <f>K16-R16</f>
        <v>0.36480000000000001</v>
      </c>
    </row>
    <row r="17" spans="2:20" x14ac:dyDescent="0.4">
      <c r="B17" s="190" t="s">
        <v>60</v>
      </c>
      <c r="C17" s="203"/>
      <c r="D17" s="472"/>
      <c r="E17" s="340">
        <f>SUM(E18:E37)</f>
        <v>0</v>
      </c>
      <c r="F17" s="472"/>
      <c r="G17" s="340">
        <f>SUMPRODUCT($E18:$E$37*G$18:G$37)</f>
        <v>0</v>
      </c>
      <c r="H17" s="340">
        <f>SUMPRODUCT($E18:$E$37*H$18:H$37)</f>
        <v>0</v>
      </c>
      <c r="I17" s="576"/>
      <c r="J17" s="233">
        <f>SUMPRODUCT($E18:$E$37*J$18:J$37)</f>
        <v>0</v>
      </c>
      <c r="K17" s="208">
        <f>SUM(K18:K37)</f>
        <v>0</v>
      </c>
      <c r="L17" s="209"/>
      <c r="M17" s="340">
        <f>SUM(M18:M37)</f>
        <v>0</v>
      </c>
      <c r="N17" s="11">
        <f>SUMPRODUCT($M18:$M$37*N$18:N$37)</f>
        <v>0</v>
      </c>
      <c r="O17" s="11">
        <f>SUMPRODUCT($M18:$M$37*O$18:O$37)</f>
        <v>0</v>
      </c>
      <c r="P17" s="577"/>
      <c r="Q17" s="233">
        <f>SUMPRODUCT($E18:$E$37*Q$18:Q$37)</f>
        <v>0</v>
      </c>
      <c r="R17" s="208">
        <f>SUM(R18:R37)</f>
        <v>0</v>
      </c>
      <c r="S17" s="578">
        <f>SUM(S18:S37)</f>
        <v>0</v>
      </c>
      <c r="T17" s="211">
        <f>SUM(T18:T37)</f>
        <v>0</v>
      </c>
    </row>
    <row r="18" spans="2:20" x14ac:dyDescent="0.4">
      <c r="B18" s="194" t="s">
        <v>117</v>
      </c>
      <c r="C18" s="35"/>
      <c r="D18" s="35"/>
      <c r="E18" s="27"/>
      <c r="F18" s="231">
        <f>IF(D18="",1,MIN(1.5,(2024-D18)*0.05+1))</f>
        <v>1</v>
      </c>
      <c r="G18" s="35"/>
      <c r="H18" s="35"/>
      <c r="I18" s="561"/>
      <c r="J18" s="570"/>
      <c r="K18" s="208">
        <f>J18*E18*F18*係数!$H$30</f>
        <v>0</v>
      </c>
      <c r="L18" s="35"/>
      <c r="M18" s="27"/>
      <c r="N18" s="35"/>
      <c r="O18" s="35"/>
      <c r="P18" s="561"/>
      <c r="Q18" s="569"/>
      <c r="R18" s="208">
        <f>Q18*M18*係数!$H$30</f>
        <v>0</v>
      </c>
      <c r="S18" s="495">
        <f t="shared" ref="S18:S37" si="0">J18*E18*F18-Q18*M18</f>
        <v>0</v>
      </c>
      <c r="T18" s="211">
        <f t="shared" ref="T18:T37" si="1">K18-R18</f>
        <v>0</v>
      </c>
    </row>
    <row r="19" spans="2:20" x14ac:dyDescent="0.4">
      <c r="B19" s="194" t="s">
        <v>118</v>
      </c>
      <c r="C19" s="35"/>
      <c r="D19" s="35"/>
      <c r="E19" s="27"/>
      <c r="F19" s="231">
        <f t="shared" ref="F19:F37" si="2">IF(D19="",1,MIN(1.5,(2024-D19)*0.05+1))</f>
        <v>1</v>
      </c>
      <c r="G19" s="35"/>
      <c r="H19" s="35"/>
      <c r="I19" s="561"/>
      <c r="J19" s="570"/>
      <c r="K19" s="208">
        <f>J19*E19*F19*係数!$H$30</f>
        <v>0</v>
      </c>
      <c r="L19" s="35"/>
      <c r="M19" s="27"/>
      <c r="N19" s="35"/>
      <c r="O19" s="35"/>
      <c r="P19" s="561"/>
      <c r="Q19" s="569"/>
      <c r="R19" s="208">
        <f>Q19*M19*係数!$H$30</f>
        <v>0</v>
      </c>
      <c r="S19" s="495">
        <f t="shared" si="0"/>
        <v>0</v>
      </c>
      <c r="T19" s="211">
        <f t="shared" si="1"/>
        <v>0</v>
      </c>
    </row>
    <row r="20" spans="2:20" x14ac:dyDescent="0.4">
      <c r="B20" s="194" t="s">
        <v>119</v>
      </c>
      <c r="C20" s="35"/>
      <c r="D20" s="35"/>
      <c r="E20" s="27"/>
      <c r="F20" s="231">
        <f t="shared" si="2"/>
        <v>1</v>
      </c>
      <c r="G20" s="35"/>
      <c r="H20" s="35"/>
      <c r="I20" s="561"/>
      <c r="J20" s="570"/>
      <c r="K20" s="208">
        <f>J20*E20*F20*係数!$H$30</f>
        <v>0</v>
      </c>
      <c r="L20" s="35"/>
      <c r="M20" s="27"/>
      <c r="N20" s="35"/>
      <c r="O20" s="35"/>
      <c r="P20" s="561"/>
      <c r="Q20" s="569"/>
      <c r="R20" s="208">
        <f>Q20*M20*係数!$H$30</f>
        <v>0</v>
      </c>
      <c r="S20" s="495">
        <f t="shared" si="0"/>
        <v>0</v>
      </c>
      <c r="T20" s="211">
        <f t="shared" si="1"/>
        <v>0</v>
      </c>
    </row>
    <row r="21" spans="2:20" x14ac:dyDescent="0.4">
      <c r="B21" s="194" t="s">
        <v>120</v>
      </c>
      <c r="C21" s="35"/>
      <c r="D21" s="35"/>
      <c r="E21" s="27"/>
      <c r="F21" s="231">
        <f t="shared" si="2"/>
        <v>1</v>
      </c>
      <c r="G21" s="35"/>
      <c r="H21" s="35"/>
      <c r="I21" s="561"/>
      <c r="J21" s="570"/>
      <c r="K21" s="208">
        <f>J21*E21*F21*係数!$H$30</f>
        <v>0</v>
      </c>
      <c r="L21" s="35"/>
      <c r="M21" s="27"/>
      <c r="N21" s="35"/>
      <c r="O21" s="35"/>
      <c r="P21" s="561"/>
      <c r="Q21" s="569"/>
      <c r="R21" s="208">
        <f>Q21*M21*係数!$H$30</f>
        <v>0</v>
      </c>
      <c r="S21" s="495">
        <f t="shared" si="0"/>
        <v>0</v>
      </c>
      <c r="T21" s="211">
        <f t="shared" si="1"/>
        <v>0</v>
      </c>
    </row>
    <row r="22" spans="2:20" x14ac:dyDescent="0.4">
      <c r="B22" s="194" t="s">
        <v>121</v>
      </c>
      <c r="C22" s="35"/>
      <c r="D22" s="35"/>
      <c r="E22" s="27"/>
      <c r="F22" s="231">
        <f t="shared" si="2"/>
        <v>1</v>
      </c>
      <c r="G22" s="35"/>
      <c r="H22" s="35"/>
      <c r="I22" s="561"/>
      <c r="J22" s="570"/>
      <c r="K22" s="208">
        <f>J22*E22*F22*係数!$H$30</f>
        <v>0</v>
      </c>
      <c r="L22" s="35"/>
      <c r="M22" s="27"/>
      <c r="N22" s="35"/>
      <c r="O22" s="35"/>
      <c r="P22" s="561"/>
      <c r="Q22" s="569"/>
      <c r="R22" s="208">
        <f>Q22*M22*係数!$H$30</f>
        <v>0</v>
      </c>
      <c r="S22" s="495">
        <f t="shared" si="0"/>
        <v>0</v>
      </c>
      <c r="T22" s="211">
        <f t="shared" si="1"/>
        <v>0</v>
      </c>
    </row>
    <row r="23" spans="2:20" x14ac:dyDescent="0.4">
      <c r="B23" s="194" t="s">
        <v>122</v>
      </c>
      <c r="C23" s="35"/>
      <c r="D23" s="35"/>
      <c r="E23" s="27"/>
      <c r="F23" s="231">
        <f t="shared" si="2"/>
        <v>1</v>
      </c>
      <c r="G23" s="35"/>
      <c r="H23" s="35"/>
      <c r="I23" s="561"/>
      <c r="J23" s="570"/>
      <c r="K23" s="208">
        <f>J23*E23*F23*係数!$H$30</f>
        <v>0</v>
      </c>
      <c r="L23" s="35"/>
      <c r="M23" s="27"/>
      <c r="N23" s="35"/>
      <c r="O23" s="35"/>
      <c r="P23" s="561"/>
      <c r="Q23" s="569"/>
      <c r="R23" s="208">
        <f>Q23*M23*係数!$H$30</f>
        <v>0</v>
      </c>
      <c r="S23" s="495">
        <f t="shared" si="0"/>
        <v>0</v>
      </c>
      <c r="T23" s="211">
        <f t="shared" si="1"/>
        <v>0</v>
      </c>
    </row>
    <row r="24" spans="2:20" x14ac:dyDescent="0.4">
      <c r="B24" s="194" t="s">
        <v>123</v>
      </c>
      <c r="C24" s="35"/>
      <c r="D24" s="35"/>
      <c r="E24" s="27"/>
      <c r="F24" s="231">
        <f t="shared" si="2"/>
        <v>1</v>
      </c>
      <c r="G24" s="35"/>
      <c r="H24" s="35"/>
      <c r="I24" s="561"/>
      <c r="J24" s="570"/>
      <c r="K24" s="208">
        <f>J24*E24*F24*係数!$H$30</f>
        <v>0</v>
      </c>
      <c r="L24" s="35"/>
      <c r="M24" s="27"/>
      <c r="N24" s="35"/>
      <c r="O24" s="35"/>
      <c r="P24" s="561"/>
      <c r="Q24" s="569"/>
      <c r="R24" s="208">
        <f>Q24*M24*係数!$H$30</f>
        <v>0</v>
      </c>
      <c r="S24" s="495">
        <f t="shared" si="0"/>
        <v>0</v>
      </c>
      <c r="T24" s="211">
        <f t="shared" si="1"/>
        <v>0</v>
      </c>
    </row>
    <row r="25" spans="2:20" x14ac:dyDescent="0.4">
      <c r="B25" s="194" t="s">
        <v>124</v>
      </c>
      <c r="C25" s="35"/>
      <c r="D25" s="35"/>
      <c r="E25" s="27"/>
      <c r="F25" s="231">
        <f t="shared" si="2"/>
        <v>1</v>
      </c>
      <c r="G25" s="35"/>
      <c r="H25" s="35"/>
      <c r="I25" s="561"/>
      <c r="J25" s="570"/>
      <c r="K25" s="208">
        <f>J25*E25*F25*係数!$H$30</f>
        <v>0</v>
      </c>
      <c r="L25" s="35"/>
      <c r="M25" s="27"/>
      <c r="N25" s="35"/>
      <c r="O25" s="35"/>
      <c r="P25" s="561"/>
      <c r="Q25" s="569"/>
      <c r="R25" s="208">
        <f>Q25*M25*係数!$H$30</f>
        <v>0</v>
      </c>
      <c r="S25" s="495">
        <f t="shared" si="0"/>
        <v>0</v>
      </c>
      <c r="T25" s="211">
        <f t="shared" si="1"/>
        <v>0</v>
      </c>
    </row>
    <row r="26" spans="2:20" x14ac:dyDescent="0.4">
      <c r="B26" s="194" t="s">
        <v>125</v>
      </c>
      <c r="C26" s="35"/>
      <c r="D26" s="35"/>
      <c r="E26" s="27"/>
      <c r="F26" s="231">
        <f t="shared" si="2"/>
        <v>1</v>
      </c>
      <c r="G26" s="35"/>
      <c r="H26" s="35"/>
      <c r="I26" s="561"/>
      <c r="J26" s="570"/>
      <c r="K26" s="208">
        <f>J26*E26*F26*係数!$H$30</f>
        <v>0</v>
      </c>
      <c r="L26" s="35"/>
      <c r="M26" s="27"/>
      <c r="N26" s="35"/>
      <c r="O26" s="35"/>
      <c r="P26" s="561"/>
      <c r="Q26" s="569"/>
      <c r="R26" s="208">
        <f>Q26*M26*係数!$H$30</f>
        <v>0</v>
      </c>
      <c r="S26" s="495">
        <f t="shared" si="0"/>
        <v>0</v>
      </c>
      <c r="T26" s="211">
        <f t="shared" si="1"/>
        <v>0</v>
      </c>
    </row>
    <row r="27" spans="2:20" x14ac:dyDescent="0.4">
      <c r="B27" s="194" t="s">
        <v>126</v>
      </c>
      <c r="C27" s="35"/>
      <c r="D27" s="35"/>
      <c r="E27" s="27"/>
      <c r="F27" s="231">
        <f t="shared" si="2"/>
        <v>1</v>
      </c>
      <c r="G27" s="35"/>
      <c r="H27" s="35"/>
      <c r="I27" s="561"/>
      <c r="J27" s="570"/>
      <c r="K27" s="208">
        <f>J27*E27*F27*係数!$H$30</f>
        <v>0</v>
      </c>
      <c r="L27" s="35"/>
      <c r="M27" s="27"/>
      <c r="N27" s="35"/>
      <c r="O27" s="35"/>
      <c r="P27" s="561"/>
      <c r="Q27" s="569"/>
      <c r="R27" s="208">
        <f>Q27*M27*係数!$H$30</f>
        <v>0</v>
      </c>
      <c r="S27" s="495">
        <f t="shared" si="0"/>
        <v>0</v>
      </c>
      <c r="T27" s="211">
        <f t="shared" si="1"/>
        <v>0</v>
      </c>
    </row>
    <row r="28" spans="2:20" x14ac:dyDescent="0.4">
      <c r="B28" s="194" t="s">
        <v>127</v>
      </c>
      <c r="C28" s="35"/>
      <c r="D28" s="35"/>
      <c r="E28" s="27"/>
      <c r="F28" s="231">
        <f t="shared" si="2"/>
        <v>1</v>
      </c>
      <c r="G28" s="35"/>
      <c r="H28" s="35"/>
      <c r="I28" s="561"/>
      <c r="J28" s="570"/>
      <c r="K28" s="208">
        <f>J28*E28*F28*係数!$H$30</f>
        <v>0</v>
      </c>
      <c r="L28" s="35"/>
      <c r="M28" s="27"/>
      <c r="N28" s="35"/>
      <c r="O28" s="35"/>
      <c r="P28" s="561"/>
      <c r="Q28" s="569"/>
      <c r="R28" s="208">
        <f>Q28*M28*係数!$H$30</f>
        <v>0</v>
      </c>
      <c r="S28" s="495">
        <f t="shared" si="0"/>
        <v>0</v>
      </c>
      <c r="T28" s="211">
        <f t="shared" si="1"/>
        <v>0</v>
      </c>
    </row>
    <row r="29" spans="2:20" x14ac:dyDescent="0.4">
      <c r="B29" s="194" t="s">
        <v>128</v>
      </c>
      <c r="C29" s="35"/>
      <c r="D29" s="35"/>
      <c r="E29" s="27"/>
      <c r="F29" s="231">
        <f t="shared" si="2"/>
        <v>1</v>
      </c>
      <c r="G29" s="35"/>
      <c r="H29" s="35"/>
      <c r="I29" s="561"/>
      <c r="J29" s="570"/>
      <c r="K29" s="208">
        <f>J29*E29*F29*係数!$H$30</f>
        <v>0</v>
      </c>
      <c r="L29" s="35"/>
      <c r="M29" s="27"/>
      <c r="N29" s="35"/>
      <c r="O29" s="35"/>
      <c r="P29" s="561"/>
      <c r="Q29" s="569"/>
      <c r="R29" s="208">
        <f>Q29*M29*係数!$H$30</f>
        <v>0</v>
      </c>
      <c r="S29" s="495">
        <f t="shared" si="0"/>
        <v>0</v>
      </c>
      <c r="T29" s="211">
        <f t="shared" si="1"/>
        <v>0</v>
      </c>
    </row>
    <row r="30" spans="2:20" x14ac:dyDescent="0.4">
      <c r="B30" s="194" t="s">
        <v>129</v>
      </c>
      <c r="C30" s="35"/>
      <c r="D30" s="35"/>
      <c r="E30" s="27"/>
      <c r="F30" s="231">
        <f t="shared" si="2"/>
        <v>1</v>
      </c>
      <c r="G30" s="35"/>
      <c r="H30" s="35"/>
      <c r="I30" s="561"/>
      <c r="J30" s="570"/>
      <c r="K30" s="208">
        <f>J30*E30*F30*係数!$H$30</f>
        <v>0</v>
      </c>
      <c r="L30" s="35"/>
      <c r="M30" s="27"/>
      <c r="N30" s="35"/>
      <c r="O30" s="35"/>
      <c r="P30" s="561"/>
      <c r="Q30" s="569"/>
      <c r="R30" s="208">
        <f>Q30*M30*係数!$H$30</f>
        <v>0</v>
      </c>
      <c r="S30" s="495">
        <f t="shared" si="0"/>
        <v>0</v>
      </c>
      <c r="T30" s="211">
        <f t="shared" si="1"/>
        <v>0</v>
      </c>
    </row>
    <row r="31" spans="2:20" x14ac:dyDescent="0.4">
      <c r="B31" s="194" t="s">
        <v>130</v>
      </c>
      <c r="C31" s="35"/>
      <c r="D31" s="35"/>
      <c r="E31" s="27"/>
      <c r="F31" s="231">
        <f t="shared" si="2"/>
        <v>1</v>
      </c>
      <c r="G31" s="35"/>
      <c r="H31" s="35"/>
      <c r="I31" s="561"/>
      <c r="J31" s="570"/>
      <c r="K31" s="208">
        <f>J31*E31*F31*係数!$H$30</f>
        <v>0</v>
      </c>
      <c r="L31" s="35"/>
      <c r="M31" s="27"/>
      <c r="N31" s="35"/>
      <c r="O31" s="35"/>
      <c r="P31" s="561"/>
      <c r="Q31" s="569"/>
      <c r="R31" s="208">
        <f>Q31*M31*係数!$H$30</f>
        <v>0</v>
      </c>
      <c r="S31" s="495">
        <f t="shared" si="0"/>
        <v>0</v>
      </c>
      <c r="T31" s="211">
        <f t="shared" si="1"/>
        <v>0</v>
      </c>
    </row>
    <row r="32" spans="2:20" x14ac:dyDescent="0.4">
      <c r="B32" s="194" t="s">
        <v>131</v>
      </c>
      <c r="C32" s="35"/>
      <c r="D32" s="35"/>
      <c r="E32" s="27"/>
      <c r="F32" s="231">
        <f t="shared" si="2"/>
        <v>1</v>
      </c>
      <c r="G32" s="35"/>
      <c r="H32" s="35"/>
      <c r="I32" s="561"/>
      <c r="J32" s="570"/>
      <c r="K32" s="208">
        <f>J32*E32*F32*係数!$H$30</f>
        <v>0</v>
      </c>
      <c r="L32" s="35"/>
      <c r="M32" s="27"/>
      <c r="N32" s="35"/>
      <c r="O32" s="35"/>
      <c r="P32" s="561"/>
      <c r="Q32" s="569"/>
      <c r="R32" s="208">
        <f>Q32*M32*係数!$H$30</f>
        <v>0</v>
      </c>
      <c r="S32" s="495">
        <f t="shared" si="0"/>
        <v>0</v>
      </c>
      <c r="T32" s="211">
        <f t="shared" si="1"/>
        <v>0</v>
      </c>
    </row>
    <row r="33" spans="2:21" x14ac:dyDescent="0.4">
      <c r="B33" s="194" t="s">
        <v>132</v>
      </c>
      <c r="C33" s="35"/>
      <c r="D33" s="35"/>
      <c r="E33" s="27"/>
      <c r="F33" s="231">
        <f t="shared" si="2"/>
        <v>1</v>
      </c>
      <c r="G33" s="35"/>
      <c r="H33" s="35"/>
      <c r="I33" s="561"/>
      <c r="J33" s="570"/>
      <c r="K33" s="208">
        <f>J33*E33*F33*係数!$H$30</f>
        <v>0</v>
      </c>
      <c r="L33" s="35"/>
      <c r="M33" s="27"/>
      <c r="N33" s="35"/>
      <c r="O33" s="35"/>
      <c r="P33" s="561"/>
      <c r="Q33" s="569"/>
      <c r="R33" s="208">
        <f>Q33*M33*係数!$H$30</f>
        <v>0</v>
      </c>
      <c r="S33" s="495">
        <f t="shared" si="0"/>
        <v>0</v>
      </c>
      <c r="T33" s="211">
        <f t="shared" si="1"/>
        <v>0</v>
      </c>
    </row>
    <row r="34" spans="2:21" x14ac:dyDescent="0.4">
      <c r="B34" s="194" t="s">
        <v>133</v>
      </c>
      <c r="C34" s="35"/>
      <c r="D34" s="35"/>
      <c r="E34" s="27"/>
      <c r="F34" s="231">
        <f t="shared" si="2"/>
        <v>1</v>
      </c>
      <c r="G34" s="35"/>
      <c r="H34" s="35"/>
      <c r="I34" s="561"/>
      <c r="J34" s="570"/>
      <c r="K34" s="208">
        <f>J34*E34*F34*係数!$H$30</f>
        <v>0</v>
      </c>
      <c r="L34" s="35"/>
      <c r="M34" s="27"/>
      <c r="N34" s="35"/>
      <c r="O34" s="35"/>
      <c r="P34" s="561"/>
      <c r="Q34" s="569"/>
      <c r="R34" s="208">
        <f>Q34*M34*係数!$H$30</f>
        <v>0</v>
      </c>
      <c r="S34" s="495">
        <f t="shared" si="0"/>
        <v>0</v>
      </c>
      <c r="T34" s="211">
        <f t="shared" si="1"/>
        <v>0</v>
      </c>
    </row>
    <row r="35" spans="2:21" x14ac:dyDescent="0.4">
      <c r="B35" s="194" t="s">
        <v>134</v>
      </c>
      <c r="C35" s="35"/>
      <c r="D35" s="35"/>
      <c r="E35" s="27"/>
      <c r="F35" s="231">
        <f t="shared" si="2"/>
        <v>1</v>
      </c>
      <c r="G35" s="35"/>
      <c r="H35" s="35"/>
      <c r="I35" s="561"/>
      <c r="J35" s="570"/>
      <c r="K35" s="208">
        <f>J35*E35*F35*係数!$H$30</f>
        <v>0</v>
      </c>
      <c r="L35" s="35"/>
      <c r="M35" s="27"/>
      <c r="N35" s="35"/>
      <c r="O35" s="35"/>
      <c r="P35" s="561"/>
      <c r="Q35" s="569"/>
      <c r="R35" s="208">
        <f>Q35*M35*係数!$H$30</f>
        <v>0</v>
      </c>
      <c r="S35" s="495">
        <f t="shared" si="0"/>
        <v>0</v>
      </c>
      <c r="T35" s="211">
        <f t="shared" si="1"/>
        <v>0</v>
      </c>
    </row>
    <row r="36" spans="2:21" x14ac:dyDescent="0.4">
      <c r="B36" s="194" t="s">
        <v>135</v>
      </c>
      <c r="C36" s="35"/>
      <c r="D36" s="35"/>
      <c r="E36" s="27"/>
      <c r="F36" s="231">
        <f t="shared" si="2"/>
        <v>1</v>
      </c>
      <c r="G36" s="35"/>
      <c r="H36" s="35"/>
      <c r="I36" s="561"/>
      <c r="J36" s="570"/>
      <c r="K36" s="208">
        <f>J36*E36*F36*係数!$H$30</f>
        <v>0</v>
      </c>
      <c r="L36" s="35"/>
      <c r="M36" s="27"/>
      <c r="N36" s="35"/>
      <c r="O36" s="35"/>
      <c r="P36" s="561"/>
      <c r="Q36" s="569"/>
      <c r="R36" s="208">
        <f>Q36*M36*係数!$H$30</f>
        <v>0</v>
      </c>
      <c r="S36" s="495">
        <f t="shared" si="0"/>
        <v>0</v>
      </c>
      <c r="T36" s="211">
        <f t="shared" si="1"/>
        <v>0</v>
      </c>
    </row>
    <row r="37" spans="2:21" x14ac:dyDescent="0.4">
      <c r="B37" s="194" t="s">
        <v>136</v>
      </c>
      <c r="C37" s="35"/>
      <c r="D37" s="35"/>
      <c r="E37" s="27"/>
      <c r="F37" s="231">
        <f t="shared" si="2"/>
        <v>1</v>
      </c>
      <c r="G37" s="35"/>
      <c r="H37" s="35"/>
      <c r="I37" s="561"/>
      <c r="J37" s="570"/>
      <c r="K37" s="208">
        <f>J37*E37*F37*係数!$H$30</f>
        <v>0</v>
      </c>
      <c r="L37" s="35"/>
      <c r="M37" s="27"/>
      <c r="N37" s="35"/>
      <c r="O37" s="35"/>
      <c r="P37" s="561"/>
      <c r="Q37" s="569"/>
      <c r="R37" s="208">
        <f>Q37*M37*係数!$H$30</f>
        <v>0</v>
      </c>
      <c r="S37" s="495">
        <f t="shared" si="0"/>
        <v>0</v>
      </c>
      <c r="T37" s="211">
        <f t="shared" si="1"/>
        <v>0</v>
      </c>
      <c r="U37" s="579"/>
    </row>
    <row r="38" spans="2:21" x14ac:dyDescent="0.4">
      <c r="B38" s="58"/>
      <c r="C38" s="580"/>
      <c r="D38" s="581"/>
      <c r="E38" s="58"/>
      <c r="F38" s="582"/>
      <c r="G38" s="582"/>
      <c r="H38" s="583"/>
      <c r="I38" s="583"/>
      <c r="J38" s="584"/>
      <c r="K38" s="580"/>
      <c r="L38" s="58"/>
      <c r="M38" s="58"/>
      <c r="N38" s="585"/>
      <c r="O38" s="586"/>
      <c r="P38" s="584"/>
      <c r="Q38" s="587"/>
      <c r="R38" s="588"/>
    </row>
  </sheetData>
  <sheetProtection algorithmName="SHA-512" hashValue="FStcR5jJ6zPnl7a/GumDxjUSX9Q8lRknaheGZ5w3VN73Wbl475mok+UfoyXdyt9qjokzU5/qqK2TZ3IC82NH4Q==" saltValue="bXPQf138wpSiDZHHW2HJbQ==" spinCount="100000" sheet="1" objects="1" scenarios="1"/>
  <mergeCells count="10">
    <mergeCell ref="D7:E7"/>
    <mergeCell ref="O7:T8"/>
    <mergeCell ref="B13:B14"/>
    <mergeCell ref="D3:E3"/>
    <mergeCell ref="L3:T3"/>
    <mergeCell ref="D4:E4"/>
    <mergeCell ref="L4:T4"/>
    <mergeCell ref="D5:E5"/>
    <mergeCell ref="D6:E6"/>
    <mergeCell ref="L6:T6"/>
  </mergeCells>
  <phoneticPr fontId="5"/>
  <conditionalFormatting sqref="D18:D37 F18:F37">
    <cfRule type="expression" dxfId="18" priority="1">
      <formula>$F$1="なし"</formula>
    </cfRule>
  </conditionalFormatting>
  <conditionalFormatting sqref="G7:H7 J7">
    <cfRule type="expression" dxfId="17" priority="3">
      <formula>$G$1="なし"</formula>
    </cfRule>
  </conditionalFormatting>
  <conditionalFormatting sqref="M17">
    <cfRule type="cellIs" dxfId="16" priority="4" operator="greaterThan">
      <formula>$E$17</formula>
    </cfRule>
  </conditionalFormatting>
  <conditionalFormatting sqref="O7">
    <cfRule type="cellIs" dxfId="15" priority="2" operator="notEqual">
      <formula>"ー"</formula>
    </cfRule>
  </conditionalFormatting>
  <pageMargins left="0.7" right="0.7" top="0.75" bottom="0.75" header="0.3" footer="0.3"/>
  <ignoredErrors>
    <ignoredError sqref="J6 K17:T17"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3"/>
  <sheetViews>
    <sheetView topLeftCell="A3" zoomScaleNormal="100" workbookViewId="0">
      <selection activeCell="G6" sqref="G6"/>
    </sheetView>
  </sheetViews>
  <sheetFormatPr defaultColWidth="8.625" defaultRowHeight="18.75" x14ac:dyDescent="0.4"/>
  <cols>
    <col min="1" max="1" width="4.625" style="97" customWidth="1"/>
    <col min="2" max="2" width="7.625" style="98" customWidth="1"/>
    <col min="3" max="3" width="3.125" style="98" customWidth="1"/>
    <col min="4" max="4" width="47.875" style="97" customWidth="1"/>
    <col min="5" max="5" width="6.875" style="97" customWidth="1"/>
    <col min="6" max="6" width="7.625" style="98" customWidth="1"/>
    <col min="7" max="7" width="1.625" style="97" customWidth="1"/>
    <col min="8" max="16384" width="8.625" style="97"/>
  </cols>
  <sheetData>
    <row r="1" spans="1:6" ht="13.5" customHeight="1" x14ac:dyDescent="0.4">
      <c r="A1" s="685"/>
      <c r="B1" s="685"/>
      <c r="C1" s="686"/>
      <c r="D1" s="686"/>
      <c r="E1" s="686"/>
      <c r="F1" s="686"/>
    </row>
    <row r="2" spans="1:6" ht="25.5" x14ac:dyDescent="0.4">
      <c r="A2" s="112" t="s">
        <v>333</v>
      </c>
    </row>
    <row r="3" spans="1:6" x14ac:dyDescent="0.4">
      <c r="A3" s="97" t="s">
        <v>334</v>
      </c>
      <c r="B3" s="97"/>
      <c r="C3" s="97"/>
      <c r="F3" s="110"/>
    </row>
    <row r="4" spans="1:6" ht="24" customHeight="1" x14ac:dyDescent="0.4">
      <c r="A4" s="109" t="s">
        <v>346</v>
      </c>
      <c r="D4" s="168"/>
    </row>
    <row r="5" spans="1:6" x14ac:dyDescent="0.4">
      <c r="A5" s="108" t="s">
        <v>315</v>
      </c>
      <c r="C5" s="107"/>
    </row>
    <row r="6" spans="1:6" ht="12" customHeight="1" x14ac:dyDescent="0.4"/>
    <row r="7" spans="1:6" ht="33.75" customHeight="1" x14ac:dyDescent="0.4">
      <c r="A7" s="106" t="s">
        <v>314</v>
      </c>
      <c r="B7" s="106" t="s">
        <v>313</v>
      </c>
      <c r="C7" s="106" t="s">
        <v>312</v>
      </c>
      <c r="D7" s="115" t="s">
        <v>311</v>
      </c>
      <c r="E7" s="105" t="s">
        <v>336</v>
      </c>
      <c r="F7" s="105" t="s">
        <v>310</v>
      </c>
    </row>
    <row r="8" spans="1:6" ht="33.75" customHeight="1" x14ac:dyDescent="0.4">
      <c r="A8" s="687" t="s">
        <v>309</v>
      </c>
      <c r="B8" s="116"/>
      <c r="C8" s="117">
        <v>1</v>
      </c>
      <c r="D8" s="118" t="s">
        <v>308</v>
      </c>
      <c r="E8" s="119"/>
      <c r="F8" s="267"/>
    </row>
    <row r="9" spans="1:6" ht="33.75" customHeight="1" x14ac:dyDescent="0.4">
      <c r="A9" s="688"/>
      <c r="B9" s="116"/>
      <c r="C9" s="117">
        <v>2</v>
      </c>
      <c r="D9" s="118" t="s">
        <v>307</v>
      </c>
      <c r="E9" s="119"/>
      <c r="F9" s="267"/>
    </row>
    <row r="10" spans="1:6" ht="33.75" customHeight="1" x14ac:dyDescent="0.4">
      <c r="A10" s="688"/>
      <c r="B10" s="116"/>
      <c r="C10" s="117">
        <v>3</v>
      </c>
      <c r="D10" s="118" t="s">
        <v>306</v>
      </c>
      <c r="E10" s="119"/>
      <c r="F10" s="267"/>
    </row>
    <row r="11" spans="1:6" ht="33.75" customHeight="1" x14ac:dyDescent="0.4">
      <c r="A11" s="688"/>
      <c r="B11" s="116"/>
      <c r="C11" s="117">
        <v>4</v>
      </c>
      <c r="D11" s="118" t="s">
        <v>317</v>
      </c>
      <c r="E11" s="119"/>
      <c r="F11" s="267"/>
    </row>
    <row r="12" spans="1:6" ht="33.75" customHeight="1" x14ac:dyDescent="0.4">
      <c r="A12" s="688"/>
      <c r="B12" s="116"/>
      <c r="C12" s="117">
        <v>5</v>
      </c>
      <c r="D12" s="118" t="s">
        <v>330</v>
      </c>
      <c r="E12" s="119"/>
      <c r="F12" s="267"/>
    </row>
    <row r="13" spans="1:6" ht="33.75" customHeight="1" x14ac:dyDescent="0.4">
      <c r="A13" s="688"/>
      <c r="B13" s="116"/>
      <c r="C13" s="117">
        <v>6</v>
      </c>
      <c r="D13" s="118" t="s">
        <v>331</v>
      </c>
      <c r="E13" s="119"/>
      <c r="F13" s="267"/>
    </row>
    <row r="14" spans="1:6" ht="33.75" customHeight="1" x14ac:dyDescent="0.4">
      <c r="A14" s="688"/>
      <c r="B14" s="116"/>
      <c r="C14" s="117">
        <v>7</v>
      </c>
      <c r="D14" s="118" t="s">
        <v>304</v>
      </c>
      <c r="E14" s="119"/>
      <c r="F14" s="267"/>
    </row>
    <row r="15" spans="1:6" ht="33.75" customHeight="1" x14ac:dyDescent="0.4">
      <c r="A15" s="688"/>
      <c r="B15" s="116"/>
      <c r="C15" s="117">
        <v>8</v>
      </c>
      <c r="D15" s="118" t="s">
        <v>303</v>
      </c>
      <c r="E15" s="119"/>
      <c r="F15" s="267"/>
    </row>
    <row r="16" spans="1:6" ht="33.75" customHeight="1" x14ac:dyDescent="0.4">
      <c r="A16" s="688"/>
      <c r="B16" s="116"/>
      <c r="C16" s="117">
        <v>9</v>
      </c>
      <c r="D16" s="118" t="s">
        <v>326</v>
      </c>
      <c r="E16" s="119"/>
      <c r="F16" s="267"/>
    </row>
    <row r="17" spans="1:8" ht="33.75" customHeight="1" x14ac:dyDescent="0.4">
      <c r="A17" s="689"/>
      <c r="B17" s="116"/>
      <c r="C17" s="117">
        <v>10</v>
      </c>
      <c r="D17" s="118" t="s">
        <v>302</v>
      </c>
      <c r="E17" s="119"/>
      <c r="F17" s="267"/>
    </row>
    <row r="18" spans="1:8" ht="39.950000000000003" customHeight="1" x14ac:dyDescent="0.4">
      <c r="A18" s="690" t="s">
        <v>293</v>
      </c>
      <c r="B18" s="120"/>
      <c r="C18" s="117">
        <v>11</v>
      </c>
      <c r="D18" s="118" t="s">
        <v>301</v>
      </c>
      <c r="E18" s="121"/>
      <c r="F18" s="267"/>
    </row>
    <row r="19" spans="1:8" ht="39.950000000000003" customHeight="1" x14ac:dyDescent="0.4">
      <c r="A19" s="691"/>
      <c r="B19" s="120"/>
      <c r="C19" s="117">
        <v>12</v>
      </c>
      <c r="D19" s="118" t="s">
        <v>300</v>
      </c>
      <c r="E19" s="120"/>
      <c r="F19" s="267"/>
    </row>
    <row r="20" spans="1:8" ht="39.950000000000003" customHeight="1" x14ac:dyDescent="0.4">
      <c r="A20" s="691"/>
      <c r="B20" s="120"/>
      <c r="C20" s="117">
        <v>13</v>
      </c>
      <c r="D20" s="118" t="s">
        <v>299</v>
      </c>
      <c r="E20" s="120" t="s">
        <v>265</v>
      </c>
      <c r="F20" s="267"/>
      <c r="H20" s="177" t="s">
        <v>446</v>
      </c>
    </row>
    <row r="21" spans="1:8" ht="38.25" customHeight="1" x14ac:dyDescent="0.4">
      <c r="A21" s="691"/>
      <c r="B21" s="120"/>
      <c r="C21" s="117">
        <v>14</v>
      </c>
      <c r="D21" s="118" t="s">
        <v>298</v>
      </c>
      <c r="E21" s="120" t="s">
        <v>265</v>
      </c>
      <c r="F21" s="267"/>
      <c r="H21" s="177" t="s">
        <v>446</v>
      </c>
    </row>
    <row r="22" spans="1:8" ht="39.75" customHeight="1" x14ac:dyDescent="0.4">
      <c r="A22" s="691"/>
      <c r="B22" s="120"/>
      <c r="C22" s="117">
        <v>15</v>
      </c>
      <c r="D22" s="118" t="s">
        <v>297</v>
      </c>
      <c r="E22" s="120" t="s">
        <v>265</v>
      </c>
      <c r="F22" s="267"/>
      <c r="H22" s="177" t="s">
        <v>446</v>
      </c>
    </row>
    <row r="23" spans="1:8" ht="39.950000000000003" customHeight="1" thickBot="1" x14ac:dyDescent="0.45">
      <c r="A23" s="691"/>
      <c r="B23" s="122"/>
      <c r="C23" s="123">
        <v>16</v>
      </c>
      <c r="D23" s="124" t="s">
        <v>296</v>
      </c>
      <c r="E23" s="122" t="s">
        <v>265</v>
      </c>
      <c r="F23" s="267"/>
      <c r="H23" s="177" t="s">
        <v>446</v>
      </c>
    </row>
    <row r="24" spans="1:8" ht="39.950000000000003" customHeight="1" thickBot="1" x14ac:dyDescent="0.45">
      <c r="A24" s="691"/>
      <c r="B24" s="125" t="s">
        <v>275</v>
      </c>
      <c r="C24" s="126">
        <v>17</v>
      </c>
      <c r="D24" s="127" t="s">
        <v>295</v>
      </c>
      <c r="E24" s="128"/>
      <c r="F24" s="267"/>
    </row>
    <row r="25" spans="1:8" ht="39.950000000000003" customHeight="1" x14ac:dyDescent="0.4">
      <c r="A25" s="682"/>
      <c r="B25" s="129"/>
      <c r="C25" s="130">
        <v>18</v>
      </c>
      <c r="D25" s="131" t="s">
        <v>294</v>
      </c>
      <c r="E25" s="129" t="s">
        <v>265</v>
      </c>
      <c r="F25" s="267"/>
      <c r="H25" s="177" t="s">
        <v>446</v>
      </c>
    </row>
    <row r="26" spans="1:8" ht="42.95" customHeight="1" x14ac:dyDescent="0.4">
      <c r="A26" s="687" t="s">
        <v>293</v>
      </c>
      <c r="B26" s="120"/>
      <c r="C26" s="117">
        <v>19</v>
      </c>
      <c r="D26" s="118" t="s">
        <v>292</v>
      </c>
      <c r="E26" s="121"/>
      <c r="F26" s="267"/>
    </row>
    <row r="27" spans="1:8" ht="42.95" customHeight="1" x14ac:dyDescent="0.4">
      <c r="A27" s="692"/>
      <c r="B27" s="120"/>
      <c r="C27" s="117">
        <v>20</v>
      </c>
      <c r="D27" s="118" t="s">
        <v>291</v>
      </c>
      <c r="E27" s="120" t="s">
        <v>265</v>
      </c>
      <c r="F27" s="267"/>
      <c r="H27" s="177" t="s">
        <v>446</v>
      </c>
    </row>
    <row r="28" spans="1:8" ht="45" customHeight="1" x14ac:dyDescent="0.4">
      <c r="A28" s="692"/>
      <c r="B28" s="120"/>
      <c r="C28" s="117">
        <v>21</v>
      </c>
      <c r="D28" s="118" t="s">
        <v>290</v>
      </c>
      <c r="E28" s="120" t="s">
        <v>265</v>
      </c>
      <c r="F28" s="267"/>
      <c r="H28" s="177" t="s">
        <v>446</v>
      </c>
    </row>
    <row r="29" spans="1:8" ht="45" customHeight="1" thickBot="1" x14ac:dyDescent="0.45">
      <c r="A29" s="692"/>
      <c r="B29" s="122"/>
      <c r="C29" s="123">
        <v>22</v>
      </c>
      <c r="D29" s="124" t="s">
        <v>289</v>
      </c>
      <c r="E29" s="122" t="s">
        <v>265</v>
      </c>
      <c r="F29" s="267"/>
      <c r="H29" s="177" t="s">
        <v>446</v>
      </c>
    </row>
    <row r="30" spans="1:8" ht="45" customHeight="1" thickTop="1" thickBot="1" x14ac:dyDescent="0.45">
      <c r="A30" s="692"/>
      <c r="B30" s="132" t="s">
        <v>335</v>
      </c>
      <c r="C30" s="133">
        <v>23</v>
      </c>
      <c r="D30" s="134" t="s">
        <v>288</v>
      </c>
      <c r="E30" s="135"/>
      <c r="F30" s="267"/>
    </row>
    <row r="31" spans="1:8" ht="45" customHeight="1" thickTop="1" x14ac:dyDescent="0.4">
      <c r="A31" s="692"/>
      <c r="B31" s="129"/>
      <c r="C31" s="130">
        <v>24</v>
      </c>
      <c r="D31" s="131" t="s">
        <v>287</v>
      </c>
      <c r="E31" s="136"/>
      <c r="F31" s="267"/>
    </row>
    <row r="32" spans="1:8" ht="45" customHeight="1" x14ac:dyDescent="0.4">
      <c r="A32" s="692"/>
      <c r="B32" s="137"/>
      <c r="C32" s="117">
        <v>25</v>
      </c>
      <c r="D32" s="118" t="s">
        <v>286</v>
      </c>
      <c r="E32" s="121"/>
      <c r="F32" s="267"/>
    </row>
    <row r="33" spans="1:8" ht="42.95" customHeight="1" x14ac:dyDescent="0.4">
      <c r="A33" s="692"/>
      <c r="B33" s="138"/>
      <c r="C33" s="117">
        <v>26</v>
      </c>
      <c r="D33" s="118" t="s">
        <v>285</v>
      </c>
      <c r="E33" s="121"/>
      <c r="F33" s="267"/>
    </row>
    <row r="34" spans="1:8" ht="42.95" customHeight="1" x14ac:dyDescent="0.4">
      <c r="A34" s="692"/>
      <c r="B34" s="138"/>
      <c r="C34" s="117">
        <v>27</v>
      </c>
      <c r="D34" s="118" t="s">
        <v>284</v>
      </c>
      <c r="E34" s="121"/>
      <c r="F34" s="267"/>
    </row>
    <row r="35" spans="1:8" ht="45" customHeight="1" thickBot="1" x14ac:dyDescent="0.45">
      <c r="A35" s="693"/>
      <c r="B35" s="139"/>
      <c r="C35" s="123">
        <v>28</v>
      </c>
      <c r="D35" s="124" t="s">
        <v>283</v>
      </c>
      <c r="E35" s="140"/>
      <c r="F35" s="267"/>
    </row>
    <row r="36" spans="1:8" ht="45" customHeight="1" thickBot="1" x14ac:dyDescent="0.45">
      <c r="A36" s="694" t="s">
        <v>282</v>
      </c>
      <c r="B36" s="125" t="s">
        <v>275</v>
      </c>
      <c r="C36" s="126">
        <v>29</v>
      </c>
      <c r="D36" s="127" t="s">
        <v>281</v>
      </c>
      <c r="E36" s="128"/>
      <c r="F36" s="267"/>
    </row>
    <row r="37" spans="1:8" ht="42.95" customHeight="1" thickBot="1" x14ac:dyDescent="0.45">
      <c r="A37" s="683"/>
      <c r="B37" s="141"/>
      <c r="C37" s="142">
        <v>30</v>
      </c>
      <c r="D37" s="143" t="s">
        <v>280</v>
      </c>
      <c r="E37" s="144"/>
      <c r="F37" s="267"/>
    </row>
    <row r="38" spans="1:8" ht="45" customHeight="1" thickTop="1" thickBot="1" x14ac:dyDescent="0.45">
      <c r="A38" s="683"/>
      <c r="B38" s="145" t="s">
        <v>335</v>
      </c>
      <c r="C38" s="146">
        <v>31</v>
      </c>
      <c r="D38" s="147" t="s">
        <v>279</v>
      </c>
      <c r="E38" s="135" t="s">
        <v>265</v>
      </c>
      <c r="F38" s="267"/>
      <c r="H38" s="177" t="s">
        <v>446</v>
      </c>
    </row>
    <row r="39" spans="1:8" ht="45" customHeight="1" thickTop="1" x14ac:dyDescent="0.4">
      <c r="A39" s="683"/>
      <c r="B39" s="129"/>
      <c r="C39" s="130">
        <v>32</v>
      </c>
      <c r="D39" s="131" t="s">
        <v>278</v>
      </c>
      <c r="E39" s="129" t="s">
        <v>265</v>
      </c>
      <c r="F39" s="267"/>
      <c r="H39" s="177" t="s">
        <v>446</v>
      </c>
    </row>
    <row r="40" spans="1:8" ht="42.95" customHeight="1" x14ac:dyDescent="0.4">
      <c r="A40" s="683"/>
      <c r="B40" s="120"/>
      <c r="C40" s="117">
        <v>33</v>
      </c>
      <c r="D40" s="118" t="s">
        <v>277</v>
      </c>
      <c r="E40" s="121"/>
      <c r="F40" s="267"/>
    </row>
    <row r="41" spans="1:8" ht="35.1" customHeight="1" thickBot="1" x14ac:dyDescent="0.45">
      <c r="A41" s="682" t="s">
        <v>276</v>
      </c>
      <c r="B41" s="148" t="s">
        <v>275</v>
      </c>
      <c r="C41" s="149">
        <v>34</v>
      </c>
      <c r="D41" s="150" t="s">
        <v>274</v>
      </c>
      <c r="E41" s="151"/>
      <c r="F41" s="267"/>
    </row>
    <row r="42" spans="1:8" ht="35.1" customHeight="1" x14ac:dyDescent="0.4">
      <c r="A42" s="683"/>
      <c r="B42" s="129"/>
      <c r="C42" s="130">
        <v>35</v>
      </c>
      <c r="D42" s="131" t="s">
        <v>273</v>
      </c>
      <c r="E42" s="136"/>
      <c r="F42" s="267"/>
    </row>
    <row r="43" spans="1:8" ht="35.1" customHeight="1" x14ac:dyDescent="0.4">
      <c r="A43" s="683"/>
      <c r="B43" s="120"/>
      <c r="C43" s="117">
        <v>36</v>
      </c>
      <c r="D43" s="118" t="s">
        <v>272</v>
      </c>
      <c r="E43" s="121"/>
      <c r="F43" s="267"/>
    </row>
    <row r="44" spans="1:8" ht="35.1" customHeight="1" x14ac:dyDescent="0.4">
      <c r="A44" s="683"/>
      <c r="B44" s="120"/>
      <c r="C44" s="117">
        <v>37</v>
      </c>
      <c r="D44" s="118" t="s">
        <v>271</v>
      </c>
      <c r="E44" s="121"/>
      <c r="F44" s="267"/>
    </row>
    <row r="45" spans="1:8" ht="35.1" customHeight="1" x14ac:dyDescent="0.4">
      <c r="A45" s="683"/>
      <c r="B45" s="152"/>
      <c r="C45" s="117">
        <v>38</v>
      </c>
      <c r="D45" s="118" t="s">
        <v>270</v>
      </c>
      <c r="E45" s="120" t="s">
        <v>265</v>
      </c>
      <c r="F45" s="267"/>
      <c r="H45" s="177" t="s">
        <v>446</v>
      </c>
    </row>
    <row r="46" spans="1:8" ht="35.1" customHeight="1" x14ac:dyDescent="0.4">
      <c r="A46" s="683"/>
      <c r="B46" s="120"/>
      <c r="C46" s="117">
        <v>39</v>
      </c>
      <c r="D46" s="118" t="s">
        <v>269</v>
      </c>
      <c r="E46" s="120" t="s">
        <v>265</v>
      </c>
      <c r="F46" s="267"/>
      <c r="H46" s="177" t="s">
        <v>446</v>
      </c>
    </row>
    <row r="47" spans="1:8" ht="35.1" customHeight="1" x14ac:dyDescent="0.4">
      <c r="A47" s="683"/>
      <c r="B47" s="120"/>
      <c r="C47" s="117">
        <v>40</v>
      </c>
      <c r="D47" s="118" t="s">
        <v>268</v>
      </c>
      <c r="E47" s="120" t="s">
        <v>265</v>
      </c>
      <c r="F47" s="267"/>
      <c r="H47" s="177" t="s">
        <v>446</v>
      </c>
    </row>
    <row r="48" spans="1:8" ht="35.1" customHeight="1" x14ac:dyDescent="0.4">
      <c r="A48" s="683" t="s">
        <v>267</v>
      </c>
      <c r="B48" s="120"/>
      <c r="C48" s="117">
        <v>41</v>
      </c>
      <c r="D48" s="118" t="s">
        <v>266</v>
      </c>
      <c r="E48" s="120" t="s">
        <v>265</v>
      </c>
      <c r="F48" s="267"/>
      <c r="H48" s="177" t="s">
        <v>446</v>
      </c>
    </row>
    <row r="49" spans="1:7" ht="35.1" customHeight="1" x14ac:dyDescent="0.4">
      <c r="A49" s="683"/>
      <c r="B49" s="120"/>
      <c r="C49" s="117">
        <v>42</v>
      </c>
      <c r="D49" s="118" t="s">
        <v>264</v>
      </c>
      <c r="E49" s="121"/>
      <c r="F49" s="267"/>
    </row>
    <row r="50" spans="1:7" ht="35.1" customHeight="1" x14ac:dyDescent="0.4">
      <c r="A50" s="683"/>
      <c r="B50" s="120"/>
      <c r="C50" s="117">
        <v>43</v>
      </c>
      <c r="D50" s="118" t="s">
        <v>263</v>
      </c>
      <c r="E50" s="121"/>
      <c r="F50" s="267"/>
    </row>
    <row r="51" spans="1:7" ht="35.1" customHeight="1" x14ac:dyDescent="0.4">
      <c r="A51" s="683"/>
      <c r="B51" s="120"/>
      <c r="C51" s="117">
        <v>44</v>
      </c>
      <c r="D51" s="118" t="s">
        <v>262</v>
      </c>
      <c r="E51" s="118"/>
      <c r="F51" s="267"/>
    </row>
    <row r="52" spans="1:7" ht="35.1" customHeight="1" x14ac:dyDescent="0.4">
      <c r="A52" s="683"/>
      <c r="B52" s="120"/>
      <c r="C52" s="117">
        <v>45</v>
      </c>
      <c r="D52" s="118" t="s">
        <v>261</v>
      </c>
      <c r="E52" s="118"/>
      <c r="F52" s="267"/>
    </row>
    <row r="53" spans="1:7" ht="35.1" customHeight="1" x14ac:dyDescent="0.4">
      <c r="A53" s="683"/>
      <c r="B53" s="120"/>
      <c r="C53" s="117">
        <v>46</v>
      </c>
      <c r="D53" s="118" t="s">
        <v>260</v>
      </c>
      <c r="E53" s="118"/>
      <c r="F53" s="267"/>
    </row>
    <row r="54" spans="1:7" ht="35.1" customHeight="1" x14ac:dyDescent="0.4">
      <c r="A54" s="683" t="s">
        <v>259</v>
      </c>
      <c r="B54" s="120"/>
      <c r="C54" s="117">
        <v>47</v>
      </c>
      <c r="D54" s="118" t="s">
        <v>258</v>
      </c>
      <c r="E54" s="118"/>
      <c r="F54" s="267"/>
    </row>
    <row r="55" spans="1:7" ht="35.1" customHeight="1" x14ac:dyDescent="0.4">
      <c r="A55" s="683"/>
      <c r="B55" s="120"/>
      <c r="C55" s="117">
        <v>48</v>
      </c>
      <c r="D55" s="118" t="s">
        <v>257</v>
      </c>
      <c r="E55" s="121"/>
      <c r="F55" s="267"/>
    </row>
    <row r="56" spans="1:7" ht="69" customHeight="1" x14ac:dyDescent="0.4">
      <c r="A56" s="104" t="s">
        <v>256</v>
      </c>
      <c r="B56" s="120"/>
      <c r="C56" s="117">
        <v>49</v>
      </c>
      <c r="D56" s="118" t="s">
        <v>255</v>
      </c>
      <c r="E56" s="153"/>
      <c r="F56" s="267"/>
    </row>
    <row r="57" spans="1:7" ht="75" customHeight="1" x14ac:dyDescent="0.4">
      <c r="A57" s="104" t="s">
        <v>254</v>
      </c>
      <c r="B57" s="120"/>
      <c r="C57" s="117">
        <v>50</v>
      </c>
      <c r="D57" s="118" t="s">
        <v>253</v>
      </c>
      <c r="E57" s="153"/>
      <c r="F57" s="267"/>
    </row>
    <row r="58" spans="1:7" ht="14.25" customHeight="1" thickBot="1" x14ac:dyDescent="0.45">
      <c r="E58" s="103"/>
      <c r="F58" s="102"/>
    </row>
    <row r="59" spans="1:7" ht="39" customHeight="1" thickTop="1" thickBot="1" x14ac:dyDescent="0.45">
      <c r="D59" s="168" t="str">
        <f>診断結果【取組】!F7</f>
        <v>登録基準を満たしていません</v>
      </c>
      <c r="E59" s="101" t="s">
        <v>251</v>
      </c>
      <c r="F59" s="100" t="str">
        <f>IF(COUNTA(F8:F57)=0,"",COUNTIF(F8:F57,"○"))</f>
        <v/>
      </c>
      <c r="G59" s="99"/>
    </row>
    <row r="60" spans="1:7" ht="11.45" customHeight="1" thickTop="1" x14ac:dyDescent="0.4"/>
    <row r="61" spans="1:7" ht="18" customHeight="1" x14ac:dyDescent="0.4">
      <c r="A61" s="97" t="s">
        <v>344</v>
      </c>
      <c r="B61" s="114"/>
      <c r="C61" s="114"/>
      <c r="D61" s="114"/>
      <c r="E61" s="114"/>
      <c r="F61" s="114"/>
    </row>
    <row r="62" spans="1:7" x14ac:dyDescent="0.4">
      <c r="A62" s="684" t="s">
        <v>345</v>
      </c>
      <c r="B62" s="684"/>
      <c r="C62" s="684"/>
      <c r="D62" s="684"/>
      <c r="E62" s="684"/>
      <c r="F62" s="684"/>
    </row>
    <row r="63" spans="1:7" x14ac:dyDescent="0.4">
      <c r="A63" s="684"/>
      <c r="B63" s="684"/>
      <c r="C63" s="684"/>
      <c r="D63" s="684"/>
      <c r="E63" s="684"/>
      <c r="F63" s="684"/>
    </row>
  </sheetData>
  <sheetProtection algorithmName="SHA-512" hashValue="KevPkD0RNb4EJXLo4cwwDAsZSPnCoTY4wLDwkN6shUABNNki/QLWm/6sGzHpI+ZMCrt2eaRu2nZohyRJ1Dn+oQ==" saltValue="oDWuS8b8GTpTydMA59hpJw==" spinCount="100000" sheet="1" objects="1" scenarios="1" formatCells="0" formatColumns="0" formatRows="0"/>
  <mergeCells count="10">
    <mergeCell ref="A41:A47"/>
    <mergeCell ref="A48:A53"/>
    <mergeCell ref="A54:A55"/>
    <mergeCell ref="A62:F63"/>
    <mergeCell ref="A1:B1"/>
    <mergeCell ref="C1:F1"/>
    <mergeCell ref="A8:A17"/>
    <mergeCell ref="A18:A25"/>
    <mergeCell ref="A26:A35"/>
    <mergeCell ref="A36:A40"/>
  </mergeCells>
  <phoneticPr fontId="5"/>
  <dataValidations count="2">
    <dataValidation type="list" allowBlank="1" showInputMessage="1" showErrorMessage="1" sqref="F49:F57 F40:F44 F30:F37 F26 F8:F19 F24" xr:uid="{00000000-0002-0000-0A00-000000000000}">
      <formula1>"　,○"</formula1>
    </dataValidation>
    <dataValidation type="list" allowBlank="1" showInputMessage="1" showErrorMessage="1" sqref="F38:F39 F45:F48 F27:F29 F25 F20:F23" xr:uid="{00000000-0002-0000-0A00-000001000000}">
      <formula1>"　,○,●"</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25" max="16383" man="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7"/>
  <sheetViews>
    <sheetView view="pageBreakPreview" zoomScaleNormal="100" zoomScaleSheetLayoutView="100" workbookViewId="0">
      <selection activeCell="G6" sqref="G6"/>
    </sheetView>
  </sheetViews>
  <sheetFormatPr defaultRowHeight="18.75" x14ac:dyDescent="0.4"/>
  <cols>
    <col min="1" max="1" width="5.125" customWidth="1"/>
    <col min="2" max="2" width="21.625" customWidth="1"/>
    <col min="3" max="3" width="9.625" style="41" customWidth="1"/>
    <col min="4" max="6" width="11.125" customWidth="1"/>
    <col min="7" max="7" width="8.125" customWidth="1"/>
    <col min="8" max="8" width="5.125" style="322" customWidth="1"/>
  </cols>
  <sheetData>
    <row r="1" spans="1:8" ht="25.5" x14ac:dyDescent="0.5">
      <c r="A1" s="64" t="s">
        <v>201</v>
      </c>
    </row>
    <row r="2" spans="1:8" ht="19.5" thickBot="1" x14ac:dyDescent="0.45">
      <c r="A2" s="66" t="s">
        <v>232</v>
      </c>
    </row>
    <row r="3" spans="1:8" x14ac:dyDescent="0.4">
      <c r="B3" s="297" t="s">
        <v>184</v>
      </c>
      <c r="C3" s="307" t="s">
        <v>185</v>
      </c>
      <c r="D3" s="298" t="s">
        <v>76</v>
      </c>
      <c r="E3" s="298" t="s">
        <v>86</v>
      </c>
      <c r="F3" s="298" t="s">
        <v>183</v>
      </c>
      <c r="G3" s="299" t="s">
        <v>187</v>
      </c>
    </row>
    <row r="4" spans="1:8" x14ac:dyDescent="0.4">
      <c r="B4" s="300" t="s">
        <v>58</v>
      </c>
      <c r="C4" s="196" t="s">
        <v>62</v>
      </c>
      <c r="D4" s="292">
        <f ca="1">SUMIF($B$11:$B$50,$B4,D$11:D$50)</f>
        <v>0</v>
      </c>
      <c r="E4" s="292">
        <f ca="1">SUMIF($B$11:$B$50,$B4,E$11:E$50)</f>
        <v>0</v>
      </c>
      <c r="F4" s="485">
        <f ca="1">D4-E4</f>
        <v>0</v>
      </c>
      <c r="G4" s="93">
        <f ca="1">IF(OR(D4=0,F4=0),0,F4/D4)</f>
        <v>0</v>
      </c>
    </row>
    <row r="5" spans="1:8" x14ac:dyDescent="0.4">
      <c r="B5" s="301" t="s">
        <v>495</v>
      </c>
      <c r="C5" s="190" t="s">
        <v>89</v>
      </c>
      <c r="D5" s="295">
        <f ca="1">SUMIF($B$11:$B$50,$B5,D$11:D$50)</f>
        <v>0</v>
      </c>
      <c r="E5" s="295">
        <f t="shared" ref="E5:E6" ca="1" si="0">SUMIF($B$11:$B$50,$B5,E$11:E$50)</f>
        <v>0</v>
      </c>
      <c r="F5" s="295">
        <f ca="1">IF(OR(D5="ー",E5="ー"),"ー",D5-E5)</f>
        <v>0</v>
      </c>
      <c r="G5" s="93">
        <f ca="1">IF(OR(D5=0,F5=0),0,F5/D5)</f>
        <v>0</v>
      </c>
    </row>
    <row r="6" spans="1:8" x14ac:dyDescent="0.4">
      <c r="B6" s="302" t="s">
        <v>496</v>
      </c>
      <c r="C6" s="190" t="s">
        <v>459</v>
      </c>
      <c r="D6" s="293">
        <f ca="1">SUMIF($B$11:$B$50,$B6,D$11:D$50)</f>
        <v>0</v>
      </c>
      <c r="E6" s="293">
        <f t="shared" ca="1" si="0"/>
        <v>0</v>
      </c>
      <c r="F6" s="487">
        <f ca="1">D6-E6</f>
        <v>0</v>
      </c>
      <c r="G6" s="93">
        <f ca="1">IF(OR(D6=0,F6=0),0,F6/D6)</f>
        <v>0</v>
      </c>
    </row>
    <row r="7" spans="1:8" ht="19.5" thickBot="1" x14ac:dyDescent="0.45">
      <c r="B7" s="303" t="s">
        <v>233</v>
      </c>
      <c r="C7" s="304" t="s">
        <v>62</v>
      </c>
      <c r="D7" s="296">
        <f>使用量と光熱費!J12</f>
        <v>0</v>
      </c>
      <c r="E7" s="296">
        <f ca="1">D7-F4</f>
        <v>0</v>
      </c>
      <c r="F7" s="486">
        <f ca="1">D7-E7</f>
        <v>0</v>
      </c>
      <c r="G7" s="94">
        <f ca="1">IF(OR(D7=0,F7=0),0,F7/D7)</f>
        <v>0</v>
      </c>
    </row>
    <row r="8" spans="1:8" x14ac:dyDescent="0.4">
      <c r="D8" s="42"/>
      <c r="E8" s="42"/>
      <c r="F8" s="43"/>
      <c r="G8" s="44"/>
    </row>
    <row r="9" spans="1:8" x14ac:dyDescent="0.4">
      <c r="A9" s="66" t="s">
        <v>480</v>
      </c>
      <c r="C9" s="308"/>
      <c r="D9" s="322" t="s">
        <v>864</v>
      </c>
      <c r="E9" s="323" t="s">
        <v>865</v>
      </c>
      <c r="F9" s="323" t="s">
        <v>866</v>
      </c>
      <c r="G9" s="323" t="s">
        <v>867</v>
      </c>
    </row>
    <row r="10" spans="1:8" x14ac:dyDescent="0.4">
      <c r="A10" s="46"/>
      <c r="B10" s="194" t="s">
        <v>184</v>
      </c>
      <c r="C10" s="190" t="s">
        <v>185</v>
      </c>
      <c r="D10" s="187" t="s">
        <v>76</v>
      </c>
      <c r="E10" s="187" t="s">
        <v>86</v>
      </c>
      <c r="F10" s="187" t="s">
        <v>183</v>
      </c>
      <c r="G10" s="188" t="s">
        <v>187</v>
      </c>
    </row>
    <row r="11" spans="1:8" ht="20.45" customHeight="1" x14ac:dyDescent="0.4">
      <c r="A11" s="46"/>
      <c r="B11" s="226" t="s">
        <v>83</v>
      </c>
      <c r="C11" s="190" t="s">
        <v>84</v>
      </c>
      <c r="D11" s="295">
        <f t="shared" ref="D11:G14" ca="1" si="1">INDIRECT("'"&amp;$A$9&amp;"'!"&amp;D$9&amp;$H11)</f>
        <v>0</v>
      </c>
      <c r="E11" s="295">
        <f t="shared" ca="1" si="1"/>
        <v>0</v>
      </c>
      <c r="F11" s="295">
        <f t="shared" ca="1" si="1"/>
        <v>0</v>
      </c>
      <c r="G11" s="39">
        <f t="shared" ca="1" si="1"/>
        <v>0</v>
      </c>
      <c r="H11" s="322">
        <v>4</v>
      </c>
    </row>
    <row r="12" spans="1:8" ht="20.45" customHeight="1" x14ac:dyDescent="0.4">
      <c r="A12" s="46"/>
      <c r="B12" s="226" t="s">
        <v>58</v>
      </c>
      <c r="C12" s="196" t="s">
        <v>62</v>
      </c>
      <c r="D12" s="292">
        <f t="shared" ca="1" si="1"/>
        <v>0</v>
      </c>
      <c r="E12" s="292">
        <f t="shared" ca="1" si="1"/>
        <v>0</v>
      </c>
      <c r="F12" s="485">
        <f t="shared" ca="1" si="1"/>
        <v>0</v>
      </c>
      <c r="G12" s="39">
        <f t="shared" ca="1" si="1"/>
        <v>0</v>
      </c>
      <c r="H12" s="322">
        <v>5</v>
      </c>
    </row>
    <row r="13" spans="1:8" x14ac:dyDescent="0.4">
      <c r="A13" s="46"/>
      <c r="B13" s="194" t="s">
        <v>186</v>
      </c>
      <c r="C13" s="190" t="s">
        <v>89</v>
      </c>
      <c r="D13" s="295" t="str">
        <f t="shared" ca="1" si="1"/>
        <v>ー</v>
      </c>
      <c r="E13" s="295" t="str">
        <f t="shared" ca="1" si="1"/>
        <v>ー</v>
      </c>
      <c r="F13" s="295" t="str">
        <f t="shared" ca="1" si="1"/>
        <v>ー</v>
      </c>
      <c r="G13" s="39" t="str">
        <f t="shared" ca="1" si="1"/>
        <v>ー</v>
      </c>
      <c r="H13" s="322">
        <v>6</v>
      </c>
    </row>
    <row r="14" spans="1:8" x14ac:dyDescent="0.4">
      <c r="B14" s="305" t="s">
        <v>488</v>
      </c>
      <c r="C14" s="190" t="s">
        <v>459</v>
      </c>
      <c r="D14" s="293">
        <f t="shared" ca="1" si="1"/>
        <v>0</v>
      </c>
      <c r="E14" s="293">
        <f t="shared" ca="1" si="1"/>
        <v>0</v>
      </c>
      <c r="F14" s="488">
        <f t="shared" ca="1" si="1"/>
        <v>0</v>
      </c>
      <c r="G14" s="39">
        <f t="shared" ca="1" si="1"/>
        <v>0</v>
      </c>
      <c r="H14" s="322">
        <v>7</v>
      </c>
    </row>
    <row r="15" spans="1:8" x14ac:dyDescent="0.4">
      <c r="A15" s="46"/>
      <c r="D15" s="42"/>
      <c r="E15" s="42"/>
      <c r="F15" s="43"/>
      <c r="G15" s="44"/>
    </row>
    <row r="16" spans="1:8" x14ac:dyDescent="0.4">
      <c r="A16" s="66" t="s">
        <v>478</v>
      </c>
      <c r="C16" s="308"/>
      <c r="D16" s="322" t="s">
        <v>864</v>
      </c>
      <c r="E16" s="323" t="s">
        <v>865</v>
      </c>
      <c r="F16" s="323" t="s">
        <v>868</v>
      </c>
      <c r="G16" s="323" t="s">
        <v>866</v>
      </c>
    </row>
    <row r="17" spans="1:8" x14ac:dyDescent="0.4">
      <c r="A17" s="46"/>
      <c r="B17" s="194" t="s">
        <v>184</v>
      </c>
      <c r="C17" s="190" t="s">
        <v>185</v>
      </c>
      <c r="D17" s="187" t="s">
        <v>76</v>
      </c>
      <c r="E17" s="187" t="s">
        <v>86</v>
      </c>
      <c r="F17" s="187" t="s">
        <v>183</v>
      </c>
      <c r="G17" s="188" t="s">
        <v>187</v>
      </c>
    </row>
    <row r="18" spans="1:8" x14ac:dyDescent="0.4">
      <c r="A18" s="46"/>
      <c r="B18" s="226" t="s">
        <v>83</v>
      </c>
      <c r="C18" s="190" t="s">
        <v>84</v>
      </c>
      <c r="D18" s="295">
        <f t="shared" ref="D18:E21" ca="1" si="2">INDIRECT("'"&amp;$A$16&amp;"'!"&amp;D$16&amp;$H18)</f>
        <v>0</v>
      </c>
      <c r="E18" s="295">
        <f t="shared" ca="1" si="2"/>
        <v>0</v>
      </c>
      <c r="F18" s="295">
        <f t="shared" ref="F18:G21" ca="1" si="3">INDIRECT("'"&amp;$A$16&amp;"'!"&amp;F$16&amp;$H18)</f>
        <v>0</v>
      </c>
      <c r="G18" s="39">
        <f ca="1">INDIRECT("'"&amp;$A$16&amp;"'!"&amp;G$16&amp;$H18)</f>
        <v>0</v>
      </c>
      <c r="H18" s="322">
        <v>4</v>
      </c>
    </row>
    <row r="19" spans="1:8" x14ac:dyDescent="0.4">
      <c r="A19" s="46"/>
      <c r="B19" s="226" t="s">
        <v>58</v>
      </c>
      <c r="C19" s="196" t="s">
        <v>62</v>
      </c>
      <c r="D19" s="292">
        <f t="shared" ca="1" si="2"/>
        <v>0</v>
      </c>
      <c r="E19" s="292">
        <f t="shared" ca="1" si="2"/>
        <v>0</v>
      </c>
      <c r="F19" s="485">
        <f t="shared" ca="1" si="3"/>
        <v>0</v>
      </c>
      <c r="G19" s="39">
        <f t="shared" ca="1" si="3"/>
        <v>0</v>
      </c>
      <c r="H19" s="322">
        <v>5</v>
      </c>
    </row>
    <row r="20" spans="1:8" x14ac:dyDescent="0.4">
      <c r="A20" s="46"/>
      <c r="B20" s="194" t="s">
        <v>186</v>
      </c>
      <c r="C20" s="190" t="s">
        <v>89</v>
      </c>
      <c r="D20" s="295" t="str">
        <f t="shared" ca="1" si="2"/>
        <v>ー</v>
      </c>
      <c r="E20" s="295" t="str">
        <f t="shared" ca="1" si="2"/>
        <v>ー</v>
      </c>
      <c r="F20" s="295" t="str">
        <f t="shared" ca="1" si="3"/>
        <v>ー</v>
      </c>
      <c r="G20" s="39" t="str">
        <f ca="1">INDIRECT("'"&amp;$A$16&amp;"'!"&amp;G$16&amp;$H20)</f>
        <v>ー</v>
      </c>
      <c r="H20" s="322">
        <v>6</v>
      </c>
    </row>
    <row r="21" spans="1:8" x14ac:dyDescent="0.4">
      <c r="B21" s="305" t="s">
        <v>488</v>
      </c>
      <c r="C21" s="190" t="s">
        <v>459</v>
      </c>
      <c r="D21" s="293">
        <f t="shared" ca="1" si="2"/>
        <v>0</v>
      </c>
      <c r="E21" s="293">
        <f t="shared" ca="1" si="2"/>
        <v>0</v>
      </c>
      <c r="F21" s="488">
        <f t="shared" ca="1" si="3"/>
        <v>0</v>
      </c>
      <c r="G21" s="39">
        <f ca="1">INDIRECT("'"&amp;$A$16&amp;"'!"&amp;G$16&amp;$H21)</f>
        <v>0</v>
      </c>
      <c r="H21" s="322">
        <v>7</v>
      </c>
    </row>
    <row r="22" spans="1:8" x14ac:dyDescent="0.4">
      <c r="A22" s="46"/>
    </row>
    <row r="23" spans="1:8" x14ac:dyDescent="0.4">
      <c r="A23" s="66" t="s">
        <v>479</v>
      </c>
      <c r="C23" s="308"/>
      <c r="D23" s="322"/>
      <c r="E23" s="323"/>
      <c r="F23" s="323"/>
      <c r="G23" s="323"/>
    </row>
    <row r="24" spans="1:8" x14ac:dyDescent="0.4">
      <c r="A24" s="46"/>
      <c r="B24" s="194" t="s">
        <v>184</v>
      </c>
      <c r="C24" s="190" t="s">
        <v>185</v>
      </c>
      <c r="D24" s="187" t="s">
        <v>76</v>
      </c>
      <c r="E24" s="187" t="s">
        <v>86</v>
      </c>
      <c r="F24" s="187" t="s">
        <v>183</v>
      </c>
      <c r="G24" s="188" t="s">
        <v>187</v>
      </c>
    </row>
    <row r="25" spans="1:8" x14ac:dyDescent="0.4">
      <c r="A25" s="46"/>
      <c r="B25" s="226" t="s">
        <v>83</v>
      </c>
      <c r="C25" s="190" t="s">
        <v>84</v>
      </c>
      <c r="D25" s="295">
        <f ca="1">INDIRECT("'"&amp;$A$23&amp;"'!"&amp;D$16&amp;$H25)</f>
        <v>0</v>
      </c>
      <c r="E25" s="295">
        <f t="shared" ref="E25:F29" ca="1" si="4">INDIRECT("'"&amp;$A$23&amp;"'!"&amp;E$16&amp;$H25)</f>
        <v>0</v>
      </c>
      <c r="F25" s="513">
        <f t="shared" ca="1" si="4"/>
        <v>0</v>
      </c>
      <c r="G25" s="39">
        <f ca="1">INDIRECT("'"&amp;$A$23&amp;"'!"&amp;G$16&amp;$H25)</f>
        <v>0</v>
      </c>
      <c r="H25" s="322">
        <v>4</v>
      </c>
    </row>
    <row r="26" spans="1:8" x14ac:dyDescent="0.4">
      <c r="A26" s="46"/>
      <c r="B26" s="306" t="s">
        <v>111</v>
      </c>
      <c r="C26" s="190" t="s">
        <v>110</v>
      </c>
      <c r="D26" s="294">
        <f ca="1">INDIRECT("'"&amp;$A$23&amp;"'!"&amp;D$16&amp;$H26)</f>
        <v>0</v>
      </c>
      <c r="E26" s="294">
        <f t="shared" ca="1" si="4"/>
        <v>0</v>
      </c>
      <c r="F26" s="513">
        <f t="shared" ca="1" si="4"/>
        <v>0</v>
      </c>
      <c r="G26" s="39">
        <f ca="1">INDIRECT("'"&amp;$A$23&amp;"'!"&amp;G$16&amp;$H26)</f>
        <v>0</v>
      </c>
      <c r="H26" s="322">
        <v>5</v>
      </c>
    </row>
    <row r="27" spans="1:8" x14ac:dyDescent="0.4">
      <c r="A27" s="46"/>
      <c r="B27" s="226" t="s">
        <v>58</v>
      </c>
      <c r="C27" s="196" t="s">
        <v>62</v>
      </c>
      <c r="D27" s="293">
        <f ca="1">INDIRECT("'"&amp;$A$23&amp;"'!"&amp;D$16&amp;$H27)</f>
        <v>0</v>
      </c>
      <c r="E27" s="293">
        <f t="shared" ca="1" si="4"/>
        <v>0</v>
      </c>
      <c r="F27" s="490">
        <f t="shared" ca="1" si="4"/>
        <v>0</v>
      </c>
      <c r="G27" s="39">
        <f ca="1">INDIRECT("'"&amp;$A$23&amp;"'!"&amp;G$16&amp;$H27)</f>
        <v>0</v>
      </c>
      <c r="H27" s="322">
        <v>6</v>
      </c>
    </row>
    <row r="28" spans="1:8" x14ac:dyDescent="0.4">
      <c r="A28" s="46"/>
      <c r="B28" s="194" t="s">
        <v>186</v>
      </c>
      <c r="C28" s="190" t="s">
        <v>89</v>
      </c>
      <c r="D28" s="295" t="str">
        <f ca="1">INDIRECT("'"&amp;$A$23&amp;"'!"&amp;D$16&amp;$H28)</f>
        <v>ー</v>
      </c>
      <c r="E28" s="295" t="str">
        <f t="shared" ca="1" si="4"/>
        <v>ー</v>
      </c>
      <c r="F28" s="295" t="str">
        <f t="shared" ca="1" si="4"/>
        <v>ー</v>
      </c>
      <c r="G28" s="39" t="str">
        <f ca="1">INDIRECT("'"&amp;$A$23&amp;"'!"&amp;G$16&amp;$H28)</f>
        <v>ー</v>
      </c>
      <c r="H28" s="322">
        <v>7</v>
      </c>
    </row>
    <row r="29" spans="1:8" x14ac:dyDescent="0.4">
      <c r="B29" s="305" t="s">
        <v>488</v>
      </c>
      <c r="C29" s="190" t="s">
        <v>459</v>
      </c>
      <c r="D29" s="293">
        <f ca="1">INDIRECT("'"&amp;$A$23&amp;"'!"&amp;D$16&amp;$H29)</f>
        <v>0</v>
      </c>
      <c r="E29" s="293">
        <f t="shared" ca="1" si="4"/>
        <v>0</v>
      </c>
      <c r="F29" s="491">
        <f t="shared" ca="1" si="4"/>
        <v>0</v>
      </c>
      <c r="G29" s="39">
        <f ca="1">INDIRECT("'"&amp;$A$23&amp;"'!"&amp;G$16&amp;$H29)</f>
        <v>0</v>
      </c>
      <c r="H29" s="322">
        <v>8</v>
      </c>
    </row>
    <row r="30" spans="1:8" x14ac:dyDescent="0.4">
      <c r="A30" s="46"/>
    </row>
    <row r="31" spans="1:8" x14ac:dyDescent="0.4">
      <c r="A31" s="66" t="s">
        <v>482</v>
      </c>
      <c r="C31" s="308"/>
      <c r="D31" s="322"/>
      <c r="E31" s="323"/>
      <c r="F31" s="323"/>
      <c r="G31" s="323"/>
    </row>
    <row r="32" spans="1:8" x14ac:dyDescent="0.4">
      <c r="B32" s="194" t="s">
        <v>139</v>
      </c>
      <c r="C32" s="190" t="s">
        <v>138</v>
      </c>
      <c r="D32" s="187" t="s">
        <v>76</v>
      </c>
      <c r="E32" s="187" t="s">
        <v>86</v>
      </c>
      <c r="F32" s="187" t="s">
        <v>183</v>
      </c>
      <c r="G32" s="188" t="s">
        <v>187</v>
      </c>
    </row>
    <row r="33" spans="1:8" x14ac:dyDescent="0.4">
      <c r="B33" s="226" t="s">
        <v>58</v>
      </c>
      <c r="C33" s="196" t="s">
        <v>62</v>
      </c>
      <c r="D33" s="292">
        <f ca="1">INDIRECT("'"&amp;$A$31&amp;"'!"&amp;D$16&amp;$H33)</f>
        <v>0</v>
      </c>
      <c r="E33" s="292">
        <f t="shared" ref="E33:F35" ca="1" si="5">INDIRECT("'"&amp;$A$31&amp;"'!"&amp;E$16&amp;$H33)</f>
        <v>0</v>
      </c>
      <c r="F33" s="490">
        <f t="shared" ca="1" si="5"/>
        <v>0</v>
      </c>
      <c r="G33" s="39">
        <f ca="1">INDIRECT("'"&amp;$A$31&amp;"'!"&amp;G$16&amp;$H33)</f>
        <v>0</v>
      </c>
      <c r="H33" s="322">
        <v>4</v>
      </c>
    </row>
    <row r="34" spans="1:8" x14ac:dyDescent="0.4">
      <c r="B34" s="194" t="s">
        <v>186</v>
      </c>
      <c r="C34" s="190" t="s">
        <v>89</v>
      </c>
      <c r="D34" s="295" t="str">
        <f ca="1">IF(INDIRECT("'"&amp;$A$31&amp;"'!"&amp;D$16&amp;$H34)="ー","0",INDIRECT("'"&amp;$A$31&amp;"'!"&amp;D$16&amp;$H34))</f>
        <v>0</v>
      </c>
      <c r="E34" s="295" t="str">
        <f ca="1">IF(INDIRECT("'"&amp;$A$31&amp;"'!"&amp;E$16&amp;$H34)="ー","0",INDIRECT("'"&amp;$A$31&amp;"'!"&amp;E$16&amp;$H34))</f>
        <v>0</v>
      </c>
      <c r="F34" s="295" t="str">
        <f ca="1">IF(INDIRECT("'"&amp;$A$31&amp;"'!"&amp;F$16&amp;$H34)="ー","0",INDIRECT("'"&amp;$A$31&amp;"'!"&amp;F$16&amp;$H34))</f>
        <v>0</v>
      </c>
      <c r="G34" s="238" t="str">
        <f ca="1">IF(INDIRECT("'"&amp;$A$31&amp;"'!"&amp;G$16&amp;$H34)="ー","0",INDIRECT("'"&amp;$A$31&amp;"'!"&amp;G$16&amp;$H34))</f>
        <v>0</v>
      </c>
      <c r="H34" s="322">
        <v>5</v>
      </c>
    </row>
    <row r="35" spans="1:8" x14ac:dyDescent="0.4">
      <c r="B35" s="305" t="s">
        <v>488</v>
      </c>
      <c r="C35" s="190" t="s">
        <v>459</v>
      </c>
      <c r="D35" s="293">
        <f ca="1">INDIRECT("'"&amp;$A$31&amp;"'!"&amp;D$16&amp;$H35)</f>
        <v>0</v>
      </c>
      <c r="E35" s="293">
        <f t="shared" ca="1" si="5"/>
        <v>0</v>
      </c>
      <c r="F35" s="491">
        <f t="shared" ca="1" si="5"/>
        <v>0</v>
      </c>
      <c r="G35" s="39">
        <f ca="1">INDIRECT("'"&amp;$A$31&amp;"'!"&amp;G$16&amp;$H35)</f>
        <v>0</v>
      </c>
      <c r="H35" s="322">
        <v>6</v>
      </c>
    </row>
    <row r="38" spans="1:8" x14ac:dyDescent="0.4">
      <c r="A38" s="66" t="s">
        <v>481</v>
      </c>
      <c r="C38" s="308"/>
      <c r="D38" s="322"/>
      <c r="E38" s="323"/>
      <c r="F38" s="323"/>
      <c r="G38" s="323"/>
    </row>
    <row r="39" spans="1:8" x14ac:dyDescent="0.4">
      <c r="B39" s="194" t="s">
        <v>139</v>
      </c>
      <c r="C39" s="190" t="s">
        <v>138</v>
      </c>
      <c r="D39" s="187" t="s">
        <v>76</v>
      </c>
      <c r="E39" s="187" t="s">
        <v>86</v>
      </c>
      <c r="F39" s="187" t="s">
        <v>183</v>
      </c>
      <c r="G39" s="188" t="s">
        <v>187</v>
      </c>
    </row>
    <row r="40" spans="1:8" x14ac:dyDescent="0.4">
      <c r="B40" s="226" t="s">
        <v>83</v>
      </c>
      <c r="C40" s="190" t="s">
        <v>84</v>
      </c>
      <c r="D40" s="295">
        <f ca="1">INDIRECT("'"&amp;$A$38&amp;"'!"&amp;D$16&amp;$H40)</f>
        <v>0</v>
      </c>
      <c r="E40" s="295">
        <f t="shared" ref="E40:G43" ca="1" si="6">INDIRECT("'"&amp;$A$38&amp;"'!"&amp;E$16&amp;$H40)</f>
        <v>0</v>
      </c>
      <c r="F40" s="295">
        <f t="shared" ca="1" si="6"/>
        <v>0</v>
      </c>
      <c r="G40" s="39">
        <f t="shared" ca="1" si="6"/>
        <v>0</v>
      </c>
      <c r="H40" s="322">
        <v>4</v>
      </c>
    </row>
    <row r="41" spans="1:8" x14ac:dyDescent="0.4">
      <c r="B41" s="226" t="s">
        <v>58</v>
      </c>
      <c r="C41" s="196" t="s">
        <v>62</v>
      </c>
      <c r="D41" s="292">
        <f ca="1">INDIRECT("'"&amp;$A$38&amp;"'!"&amp;D$16&amp;$H41)</f>
        <v>0</v>
      </c>
      <c r="E41" s="292">
        <f t="shared" ca="1" si="6"/>
        <v>0</v>
      </c>
      <c r="F41" s="485">
        <f t="shared" ca="1" si="6"/>
        <v>0</v>
      </c>
      <c r="G41" s="39">
        <f t="shared" ca="1" si="6"/>
        <v>0</v>
      </c>
      <c r="H41" s="322">
        <v>5</v>
      </c>
    </row>
    <row r="42" spans="1:8" x14ac:dyDescent="0.4">
      <c r="B42" s="194" t="s">
        <v>186</v>
      </c>
      <c r="C42" s="190" t="s">
        <v>89</v>
      </c>
      <c r="D42" s="295" t="str">
        <f ca="1">INDIRECT("'"&amp;$A$38&amp;"'!"&amp;D$16&amp;$H42)</f>
        <v>ー</v>
      </c>
      <c r="E42" s="295" t="str">
        <f t="shared" ca="1" si="6"/>
        <v>ー</v>
      </c>
      <c r="F42" s="295" t="str">
        <f t="shared" ca="1" si="6"/>
        <v>ー</v>
      </c>
      <c r="G42" s="39" t="str">
        <f t="shared" ca="1" si="6"/>
        <v>ー</v>
      </c>
      <c r="H42" s="322">
        <v>6</v>
      </c>
    </row>
    <row r="43" spans="1:8" x14ac:dyDescent="0.4">
      <c r="B43" s="305" t="s">
        <v>488</v>
      </c>
      <c r="C43" s="190" t="s">
        <v>459</v>
      </c>
      <c r="D43" s="293">
        <f ca="1">INDIRECT("'"&amp;$A$38&amp;"'!"&amp;D$16&amp;$H43)</f>
        <v>0</v>
      </c>
      <c r="E43" s="293">
        <f t="shared" ca="1" si="6"/>
        <v>0</v>
      </c>
      <c r="F43" s="488">
        <f ca="1">INDIRECT("'"&amp;$A$38&amp;"'!"&amp;F$16&amp;$H43)</f>
        <v>0</v>
      </c>
      <c r="G43" s="39">
        <f t="shared" ca="1" si="6"/>
        <v>0</v>
      </c>
      <c r="H43" s="322">
        <v>7</v>
      </c>
    </row>
    <row r="45" spans="1:8" x14ac:dyDescent="0.4">
      <c r="A45" s="66" t="s">
        <v>487</v>
      </c>
      <c r="C45" s="308"/>
      <c r="D45" s="322"/>
      <c r="E45" s="323"/>
      <c r="F45" s="323"/>
      <c r="G45" s="323"/>
    </row>
    <row r="46" spans="1:8" x14ac:dyDescent="0.4">
      <c r="B46" s="194" t="s">
        <v>139</v>
      </c>
      <c r="C46" s="190" t="s">
        <v>138</v>
      </c>
      <c r="D46" s="187" t="s">
        <v>76</v>
      </c>
      <c r="E46" s="187" t="s">
        <v>86</v>
      </c>
      <c r="F46" s="187" t="s">
        <v>183</v>
      </c>
      <c r="G46" s="188" t="s">
        <v>187</v>
      </c>
    </row>
    <row r="47" spans="1:8" x14ac:dyDescent="0.4">
      <c r="B47" s="226" t="s">
        <v>83</v>
      </c>
      <c r="C47" s="190" t="s">
        <v>84</v>
      </c>
      <c r="D47" s="295">
        <f ca="1">INDIRECT("'"&amp;$A$45&amp;"'!"&amp;D$16&amp;$H47)</f>
        <v>0</v>
      </c>
      <c r="E47" s="295">
        <f t="shared" ref="E47:G50" ca="1" si="7">INDIRECT("'"&amp;$A$45&amp;"'!"&amp;E$16&amp;$H47)</f>
        <v>0</v>
      </c>
      <c r="F47" s="295">
        <f t="shared" ca="1" si="7"/>
        <v>0</v>
      </c>
      <c r="G47" s="39">
        <f t="shared" ca="1" si="7"/>
        <v>0</v>
      </c>
      <c r="H47" s="322">
        <v>4</v>
      </c>
    </row>
    <row r="48" spans="1:8" x14ac:dyDescent="0.4">
      <c r="B48" s="226" t="s">
        <v>58</v>
      </c>
      <c r="C48" s="196" t="s">
        <v>62</v>
      </c>
      <c r="D48" s="292">
        <f ca="1">INDIRECT("'"&amp;$A$45&amp;"'!"&amp;D$16&amp;$H48)</f>
        <v>0</v>
      </c>
      <c r="E48" s="292">
        <f t="shared" ca="1" si="7"/>
        <v>0</v>
      </c>
      <c r="F48" s="485">
        <f t="shared" ca="1" si="7"/>
        <v>0</v>
      </c>
      <c r="G48" s="39">
        <f t="shared" ca="1" si="7"/>
        <v>0</v>
      </c>
      <c r="H48" s="322">
        <v>5</v>
      </c>
    </row>
    <row r="49" spans="1:8" x14ac:dyDescent="0.4">
      <c r="B49" s="194" t="s">
        <v>186</v>
      </c>
      <c r="C49" s="190" t="s">
        <v>89</v>
      </c>
      <c r="D49" s="295" t="str">
        <f ca="1">INDIRECT("'"&amp;$A$45&amp;"'!"&amp;D$16&amp;$H49)</f>
        <v>ー</v>
      </c>
      <c r="E49" s="295" t="str">
        <f t="shared" ca="1" si="7"/>
        <v>ー</v>
      </c>
      <c r="F49" s="295" t="str">
        <f t="shared" ca="1" si="7"/>
        <v>ー</v>
      </c>
      <c r="G49" s="39" t="str">
        <f t="shared" ca="1" si="7"/>
        <v>ー</v>
      </c>
      <c r="H49" s="322">
        <v>6</v>
      </c>
    </row>
    <row r="50" spans="1:8" ht="18" customHeight="1" x14ac:dyDescent="0.4">
      <c r="B50" s="305" t="s">
        <v>488</v>
      </c>
      <c r="C50" s="190" t="s">
        <v>459</v>
      </c>
      <c r="D50" s="293">
        <f ca="1">INDIRECT("'"&amp;$A$45&amp;"'!"&amp;D$16&amp;$H50)</f>
        <v>0</v>
      </c>
      <c r="E50" s="293">
        <f t="shared" ca="1" si="7"/>
        <v>0</v>
      </c>
      <c r="F50" s="488">
        <f t="shared" ca="1" si="7"/>
        <v>0</v>
      </c>
      <c r="G50" s="39">
        <f t="shared" ca="1" si="7"/>
        <v>0</v>
      </c>
      <c r="H50" s="322">
        <v>7</v>
      </c>
    </row>
    <row r="52" spans="1:8" x14ac:dyDescent="0.4">
      <c r="A52" s="66" t="s">
        <v>1030</v>
      </c>
      <c r="C52" s="308"/>
      <c r="D52" s="322"/>
      <c r="E52" s="323"/>
      <c r="F52" s="323"/>
      <c r="G52" s="323"/>
    </row>
    <row r="53" spans="1:8" x14ac:dyDescent="0.4">
      <c r="B53" s="194" t="s">
        <v>184</v>
      </c>
      <c r="C53" s="190" t="s">
        <v>185</v>
      </c>
      <c r="D53" s="187" t="s">
        <v>76</v>
      </c>
      <c r="E53" s="187" t="s">
        <v>86</v>
      </c>
      <c r="F53" s="187" t="s">
        <v>183</v>
      </c>
      <c r="G53" s="188" t="s">
        <v>187</v>
      </c>
    </row>
    <row r="54" spans="1:8" x14ac:dyDescent="0.4">
      <c r="B54" s="226" t="s">
        <v>83</v>
      </c>
      <c r="C54" s="190"/>
      <c r="D54" s="295">
        <f ca="1">INDIRECT("'"&amp;$A$52&amp;"'!"&amp;D$16&amp;$H54)</f>
        <v>0</v>
      </c>
      <c r="E54" s="295">
        <f ca="1">INDIRECT("'"&amp;$A$52&amp;"'!"&amp;E$16&amp;$H54)</f>
        <v>0</v>
      </c>
      <c r="F54" s="295">
        <f ca="1">INDIRECT("'"&amp;$A$52&amp;"'!"&amp;F$16&amp;$H54)</f>
        <v>0</v>
      </c>
      <c r="G54" s="39">
        <f ca="1">INDIRECT("'"&amp;$A$52&amp;"'!"&amp;G$16&amp;$H54)</f>
        <v>0</v>
      </c>
      <c r="H54" s="322">
        <v>4</v>
      </c>
    </row>
    <row r="55" spans="1:8" x14ac:dyDescent="0.4">
      <c r="B55" s="306" t="s">
        <v>58</v>
      </c>
      <c r="C55" s="309"/>
      <c r="D55" s="490">
        <f t="shared" ref="D55:G57" ca="1" si="8">INDIRECT("'"&amp;$A$52&amp;"'!"&amp;D$16&amp;$H55)</f>
        <v>0</v>
      </c>
      <c r="E55" s="490">
        <f t="shared" ca="1" si="8"/>
        <v>0</v>
      </c>
      <c r="F55" s="489">
        <f t="shared" ca="1" si="8"/>
        <v>0</v>
      </c>
      <c r="G55" s="39">
        <f t="shared" ca="1" si="8"/>
        <v>0</v>
      </c>
      <c r="H55" s="322">
        <v>5</v>
      </c>
    </row>
    <row r="56" spans="1:8" x14ac:dyDescent="0.4">
      <c r="B56" s="226" t="s">
        <v>186</v>
      </c>
      <c r="C56" s="196"/>
      <c r="D56" s="293" t="str">
        <f t="shared" ca="1" si="8"/>
        <v>ー</v>
      </c>
      <c r="E56" s="293" t="str">
        <f t="shared" ca="1" si="8"/>
        <v>ー</v>
      </c>
      <c r="F56" s="292" t="str">
        <f t="shared" ca="1" si="8"/>
        <v>ー</v>
      </c>
      <c r="G56" s="39" t="str">
        <f t="shared" ca="1" si="8"/>
        <v>ー</v>
      </c>
      <c r="H56" s="322">
        <v>6</v>
      </c>
    </row>
    <row r="57" spans="1:8" x14ac:dyDescent="0.4">
      <c r="B57" s="194" t="s">
        <v>458</v>
      </c>
      <c r="C57" s="190"/>
      <c r="D57" s="489">
        <f t="shared" ca="1" si="8"/>
        <v>0</v>
      </c>
      <c r="E57" s="489">
        <f t="shared" ca="1" si="8"/>
        <v>0</v>
      </c>
      <c r="F57" s="489">
        <f t="shared" ca="1" si="8"/>
        <v>0</v>
      </c>
      <c r="G57" s="39">
        <f t="shared" ca="1" si="8"/>
        <v>0</v>
      </c>
      <c r="H57" s="322">
        <v>7</v>
      </c>
    </row>
  </sheetData>
  <sheetProtection algorithmName="SHA-512" hashValue="IF+7/hoVOa2VXrPnhgB53LvsW7gz0VVLIU8trecykFA1wHWYj0/rWn0LLnD7bxO/qUJqmR8waQKExW7Q0Q9eKg==" saltValue="10H/NC/J23rWHtZG8chwDg==" spinCount="100000" sheet="1" objects="1" scenarios="1" formatCells="0" formatColumns="0" formatRows="0"/>
  <phoneticPr fontId="5"/>
  <conditionalFormatting sqref="G11:G14">
    <cfRule type="expression" dxfId="14" priority="1">
      <formula>$E$1="なし"</formula>
    </cfRule>
  </conditionalFormatting>
  <conditionalFormatting sqref="G18:G21">
    <cfRule type="expression" dxfId="13" priority="2">
      <formula>$E$1="なし"</formula>
    </cfRule>
  </conditionalFormatting>
  <conditionalFormatting sqref="G25:G29">
    <cfRule type="expression" dxfId="12" priority="3">
      <formula>$E$1="なし"</formula>
    </cfRule>
  </conditionalFormatting>
  <conditionalFormatting sqref="G33:G35">
    <cfRule type="expression" dxfId="11" priority="6">
      <formula>$E$1="なし"</formula>
    </cfRule>
  </conditionalFormatting>
  <conditionalFormatting sqref="G40:G43">
    <cfRule type="expression" dxfId="10" priority="5">
      <formula>$E$1="なし"</formula>
    </cfRule>
  </conditionalFormatting>
  <conditionalFormatting sqref="G47:G50">
    <cfRule type="expression" dxfId="9" priority="9">
      <formula>$E$1="なし"</formula>
    </cfRule>
  </conditionalFormatting>
  <conditionalFormatting sqref="G54:G57">
    <cfRule type="expression" dxfId="8" priority="14">
      <formula>$E$1="なし"</formula>
    </cfRule>
  </conditionalFormatting>
  <pageMargins left="0.7" right="0.7" top="0.75" bottom="0.75" header="0.3" footer="0.3"/>
  <pageSetup paperSize="9" scale="88" orientation="portrait" r:id="rId1"/>
  <rowBreaks count="1" manualBreakCount="1">
    <brk id="37" max="16383" man="1"/>
  </rowBreaks>
  <ignoredErrors>
    <ignoredError sqref="F5 D34:G34"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11"/>
  <sheetViews>
    <sheetView view="pageBreakPreview" zoomScaleNormal="100" zoomScaleSheetLayoutView="100" workbookViewId="0">
      <selection activeCell="G6" sqref="G6"/>
    </sheetView>
  </sheetViews>
  <sheetFormatPr defaultRowHeight="18.75" x14ac:dyDescent="0.4"/>
  <cols>
    <col min="1" max="1" width="5.125" customWidth="1"/>
    <col min="2" max="2" width="16.125" customWidth="1"/>
    <col min="3" max="7" width="8.125" customWidth="1"/>
    <col min="8" max="9" width="7.625" customWidth="1"/>
  </cols>
  <sheetData>
    <row r="1" spans="1:7" ht="25.5" x14ac:dyDescent="0.5">
      <c r="A1" s="64" t="s">
        <v>203</v>
      </c>
    </row>
    <row r="2" spans="1:7" ht="25.5" x14ac:dyDescent="0.5">
      <c r="A2" s="36"/>
    </row>
    <row r="3" spans="1:7" ht="25.5" x14ac:dyDescent="0.5">
      <c r="A3" s="36"/>
      <c r="B3" s="80" t="str">
        <f>使用量と光熱費!B14</f>
        <v>主要エネルギーの月別使用量把握</v>
      </c>
      <c r="C3" s="50"/>
      <c r="D3" s="50"/>
      <c r="E3" s="51"/>
      <c r="F3" s="81">
        <f>使用量と光熱費!F14</f>
        <v>0</v>
      </c>
      <c r="G3" s="1">
        <f>IF(F3="把握している",1,0)</f>
        <v>0</v>
      </c>
    </row>
    <row r="4" spans="1:7" ht="25.5" x14ac:dyDescent="0.5">
      <c r="A4" s="36"/>
      <c r="B4" s="80" t="str">
        <f>使用量と光熱費!B29</f>
        <v>主要設備または主要工程のエネルギー使用量の把握</v>
      </c>
      <c r="C4" s="50"/>
      <c r="D4" s="50"/>
      <c r="E4" s="51"/>
      <c r="F4" s="81">
        <f>使用量と光熱費!F29</f>
        <v>0</v>
      </c>
      <c r="G4" s="1">
        <f t="shared" ref="G4:G5" si="0">IF(F4="把握している",1,0)</f>
        <v>0</v>
      </c>
    </row>
    <row r="5" spans="1:7" ht="25.5" x14ac:dyDescent="0.5">
      <c r="A5" s="36"/>
      <c r="B5" s="80" t="str">
        <f>使用量と光熱費!B44</f>
        <v>ピーク電力等把握</v>
      </c>
      <c r="C5" s="50"/>
      <c r="D5" s="50"/>
      <c r="E5" s="51"/>
      <c r="F5" s="81">
        <f>使用量と光熱費!F44</f>
        <v>0</v>
      </c>
      <c r="G5" s="1">
        <f t="shared" si="0"/>
        <v>0</v>
      </c>
    </row>
    <row r="6" spans="1:7" ht="25.5" x14ac:dyDescent="0.5">
      <c r="A6" s="36"/>
      <c r="B6" s="82" t="s">
        <v>236</v>
      </c>
      <c r="C6" s="58"/>
      <c r="D6" s="58"/>
      <c r="E6" s="59"/>
      <c r="F6" s="92">
        <f>C96</f>
        <v>0</v>
      </c>
      <c r="G6" s="1">
        <f>IF(F6&gt;=85,1,0)</f>
        <v>0</v>
      </c>
    </row>
    <row r="7" spans="1:7" ht="25.5" x14ac:dyDescent="0.5">
      <c r="A7" s="36"/>
      <c r="B7" s="82" t="str">
        <f>使用量と光熱費!B52</f>
        <v>再生可能エネルギーの活用</v>
      </c>
      <c r="C7" s="58"/>
      <c r="D7" s="58"/>
      <c r="E7" s="59"/>
      <c r="F7" s="81">
        <f>使用量と光熱費!F52</f>
        <v>0</v>
      </c>
      <c r="G7" s="1">
        <f>IF(F7="実施中",1,0)</f>
        <v>0</v>
      </c>
    </row>
    <row r="8" spans="1:7" ht="25.5" x14ac:dyDescent="0.5">
      <c r="A8" s="36"/>
      <c r="B8" s="82" t="str">
        <f>使用量と光熱費!B57</f>
        <v>買電の低炭素化</v>
      </c>
      <c r="C8" s="58"/>
      <c r="D8" s="58"/>
      <c r="E8" s="59"/>
      <c r="F8" s="82">
        <f>使用量と光熱費!F57</f>
        <v>0</v>
      </c>
      <c r="G8" s="1">
        <f>IF(F8="実施中",1,0)</f>
        <v>0</v>
      </c>
    </row>
    <row r="9" spans="1:7" ht="25.5" x14ac:dyDescent="0.5">
      <c r="A9" s="36"/>
      <c r="B9" s="49" t="s">
        <v>60</v>
      </c>
      <c r="C9" s="61"/>
      <c r="D9" s="61"/>
      <c r="E9" s="62"/>
      <c r="F9" s="700" t="str">
        <f>REPT("★",SUM(G3:G8))</f>
        <v/>
      </c>
      <c r="G9" s="701"/>
    </row>
    <row r="11" spans="1:7" ht="19.5" x14ac:dyDescent="0.4">
      <c r="A11" s="63">
        <v>1</v>
      </c>
      <c r="B11" s="63" t="s">
        <v>87</v>
      </c>
    </row>
    <row r="12" spans="1:7" x14ac:dyDescent="0.4">
      <c r="B12" t="s">
        <v>206</v>
      </c>
    </row>
    <row r="13" spans="1:7" x14ac:dyDescent="0.4">
      <c r="B13" s="1" t="s">
        <v>205</v>
      </c>
      <c r="C13" s="1" t="s">
        <v>610</v>
      </c>
      <c r="D13" s="1"/>
      <c r="E13" s="10" t="s">
        <v>58</v>
      </c>
      <c r="F13" s="10"/>
      <c r="G13" s="1" t="s">
        <v>204</v>
      </c>
    </row>
    <row r="14" spans="1:7" x14ac:dyDescent="0.4">
      <c r="B14" s="81" t="str">
        <f>使用量と光熱費!C7&amp;""</f>
        <v>電気</v>
      </c>
      <c r="C14" s="12">
        <f>使用量と光熱費!D7</f>
        <v>0</v>
      </c>
      <c r="D14" s="1" t="str">
        <f>使用量と光熱費!E7</f>
        <v>kWh</v>
      </c>
      <c r="E14" s="83">
        <f>使用量と光熱費!J7</f>
        <v>0</v>
      </c>
      <c r="F14" s="51" t="s">
        <v>62</v>
      </c>
      <c r="G14" s="39" t="e">
        <f t="shared" ref="G14:G19" si="1">E14/$E$19</f>
        <v>#DIV/0!</v>
      </c>
    </row>
    <row r="15" spans="1:7" x14ac:dyDescent="0.4">
      <c r="B15" s="81" t="str">
        <f>使用量と光熱費!C8&amp;""</f>
        <v>都市ガス</v>
      </c>
      <c r="C15" s="12">
        <f>使用量と光熱費!D8</f>
        <v>0</v>
      </c>
      <c r="D15" s="1" t="str">
        <f>使用量と光熱費!E8</f>
        <v>㎥</v>
      </c>
      <c r="E15" s="83">
        <f>使用量と光熱費!J8</f>
        <v>0</v>
      </c>
      <c r="F15" s="51" t="s">
        <v>62</v>
      </c>
      <c r="G15" s="39" t="e">
        <f t="shared" si="1"/>
        <v>#DIV/0!</v>
      </c>
    </row>
    <row r="16" spans="1:7" x14ac:dyDescent="0.4">
      <c r="B16" s="81" t="str">
        <f>使用量と光熱費!C9&amp;""</f>
        <v>液化石油ガス（LPG）</v>
      </c>
      <c r="C16" s="12">
        <f>使用量と光熱費!D9</f>
        <v>0</v>
      </c>
      <c r="D16" s="1" t="str">
        <f>使用量と光熱費!E9</f>
        <v>kg</v>
      </c>
      <c r="E16" s="83">
        <f>使用量と光熱費!J9</f>
        <v>0</v>
      </c>
      <c r="F16" s="51" t="s">
        <v>62</v>
      </c>
      <c r="G16" s="39" t="e">
        <f t="shared" si="1"/>
        <v>#DIV/0!</v>
      </c>
    </row>
    <row r="17" spans="2:7" x14ac:dyDescent="0.4">
      <c r="B17" s="81" t="str">
        <f>使用量と光熱費!C10&amp;""</f>
        <v/>
      </c>
      <c r="C17" s="12">
        <f>使用量と光熱費!D10</f>
        <v>0</v>
      </c>
      <c r="D17" s="1" t="str">
        <f>使用量と光熱費!E10</f>
        <v/>
      </c>
      <c r="E17" s="83">
        <f>使用量と光熱費!J10</f>
        <v>0</v>
      </c>
      <c r="F17" s="51" t="s">
        <v>62</v>
      </c>
      <c r="G17" s="39" t="e">
        <f t="shared" si="1"/>
        <v>#DIV/0!</v>
      </c>
    </row>
    <row r="18" spans="2:7" x14ac:dyDescent="0.4">
      <c r="B18" s="81" t="str">
        <f>使用量と光熱費!C11&amp;""</f>
        <v/>
      </c>
      <c r="C18" s="12">
        <f>使用量と光熱費!D11</f>
        <v>0</v>
      </c>
      <c r="D18" s="1" t="str">
        <f>使用量と光熱費!E11</f>
        <v/>
      </c>
      <c r="E18" s="83">
        <f>使用量と光熱費!J11</f>
        <v>0</v>
      </c>
      <c r="F18" s="51" t="s">
        <v>62</v>
      </c>
      <c r="G18" s="39" t="e">
        <f t="shared" si="1"/>
        <v>#DIV/0!</v>
      </c>
    </row>
    <row r="19" spans="2:7" x14ac:dyDescent="0.4">
      <c r="B19" s="1" t="s">
        <v>60</v>
      </c>
      <c r="C19" s="1"/>
      <c r="D19" s="1"/>
      <c r="E19" s="53">
        <f>SUM(E14:E18)</f>
        <v>0</v>
      </c>
      <c r="F19" s="51" t="s">
        <v>62</v>
      </c>
      <c r="G19" s="39" t="e">
        <f t="shared" si="1"/>
        <v>#DIV/0!</v>
      </c>
    </row>
    <row r="36" spans="1:18" ht="19.5" x14ac:dyDescent="0.4">
      <c r="A36" s="63">
        <v>2</v>
      </c>
      <c r="B36" s="63" t="s">
        <v>65</v>
      </c>
    </row>
    <row r="37" spans="1:18" ht="19.5" x14ac:dyDescent="0.4">
      <c r="A37" s="63"/>
      <c r="B37" s="1" t="s">
        <v>212</v>
      </c>
      <c r="C37" s="620" t="s">
        <v>213</v>
      </c>
      <c r="D37" s="605"/>
      <c r="E37" s="605"/>
      <c r="F37" s="605"/>
      <c r="G37" s="605"/>
      <c r="H37" s="605"/>
      <c r="I37" s="593"/>
    </row>
    <row r="38" spans="1:18" ht="18" customHeight="1" x14ac:dyDescent="0.4">
      <c r="B38" s="84">
        <f>使用量と光熱費!F14</f>
        <v>0</v>
      </c>
      <c r="C38" s="695" t="s">
        <v>219</v>
      </c>
      <c r="D38" s="695"/>
      <c r="E38" s="695"/>
      <c r="F38" s="695"/>
      <c r="G38" s="695"/>
      <c r="H38" s="695"/>
      <c r="I38" s="695"/>
      <c r="J38" s="32"/>
      <c r="K38" s="32"/>
      <c r="L38" s="32"/>
      <c r="M38" s="32"/>
    </row>
    <row r="39" spans="1:18" ht="65.099999999999994" customHeight="1" x14ac:dyDescent="0.4">
      <c r="B39" s="65" t="str">
        <f>IF(B38="把握している","★","☆")</f>
        <v>☆</v>
      </c>
      <c r="C39" s="695"/>
      <c r="D39" s="695"/>
      <c r="E39" s="695"/>
      <c r="F39" s="695"/>
      <c r="G39" s="695"/>
      <c r="H39" s="695"/>
      <c r="I39" s="695"/>
      <c r="J39" s="32"/>
      <c r="K39" s="32"/>
      <c r="L39" s="32"/>
      <c r="M39" s="32"/>
    </row>
    <row r="40" spans="1:18" ht="56.25" x14ac:dyDescent="0.4">
      <c r="K40" s="40" t="s">
        <v>207</v>
      </c>
      <c r="L40" s="55" t="s">
        <v>208</v>
      </c>
      <c r="M40" s="56" t="s">
        <v>209</v>
      </c>
      <c r="N40" s="85" t="str">
        <f>使用量と光熱費!C17&amp;CHAR(10)&amp;"tCO2"</f>
        <v>電気
tCO2</v>
      </c>
      <c r="O40" s="85" t="str">
        <f>使用量と光熱費!C18&amp;CHAR(10)&amp;"tCO2"</f>
        <v>都市ガス
tCO2</v>
      </c>
      <c r="P40" s="85" t="str">
        <f>使用量と光熱費!C19&amp;CHAR(10)&amp;"tCO2"</f>
        <v>液化石油ガス（LPG）
tCO2</v>
      </c>
      <c r="Q40" s="85" t="str">
        <f>使用量と光熱費!C20&amp;CHAR(10)&amp;"tCO2"</f>
        <v xml:space="preserve">
tCO2</v>
      </c>
      <c r="R40" s="85" t="str">
        <f>使用量と光熱費!C21&amp;CHAR(10)&amp;"tCO2"</f>
        <v xml:space="preserve">
tCO2</v>
      </c>
    </row>
    <row r="41" spans="1:18" x14ac:dyDescent="0.4">
      <c r="K41" s="2" t="s">
        <v>8</v>
      </c>
      <c r="L41" s="86">
        <f>SUM(N41:R41)</f>
        <v>0</v>
      </c>
      <c r="M41" s="39" t="e">
        <f t="shared" ref="M41:M53" si="2">L41/$L$53</f>
        <v>#DIV/0!</v>
      </c>
      <c r="N41" s="70">
        <f>IF($B$38="把握していない","",使用量と光熱費!E22)</f>
        <v>0</v>
      </c>
      <c r="O41" s="70">
        <f>IF($B$38="把握していない","",使用量と光熱費!E23)</f>
        <v>0</v>
      </c>
      <c r="P41" s="70">
        <f>IF($B$38="把握していない","",使用量と光熱費!E24)</f>
        <v>0</v>
      </c>
      <c r="Q41" s="70">
        <f>IF($B$38="把握していない","",使用量と光熱費!E25)</f>
        <v>0</v>
      </c>
      <c r="R41" s="70">
        <f>IF($B$38="把握していない","",使用量と光熱費!E26)</f>
        <v>0</v>
      </c>
    </row>
    <row r="42" spans="1:18" x14ac:dyDescent="0.4">
      <c r="K42" s="2" t="s">
        <v>9</v>
      </c>
      <c r="L42" s="86">
        <f t="shared" ref="L42:L52" si="3">SUM(N42:R42)</f>
        <v>0</v>
      </c>
      <c r="M42" s="39" t="e">
        <f t="shared" si="2"/>
        <v>#DIV/0!</v>
      </c>
      <c r="N42" s="70">
        <f>IF($B$38="把握していない","",使用量と光熱費!F22)</f>
        <v>0</v>
      </c>
      <c r="O42" s="70">
        <f>IF($B$38="把握していない","",使用量と光熱費!F23)</f>
        <v>0</v>
      </c>
      <c r="P42" s="70">
        <f>IF($B$38="把握していない","",使用量と光熱費!F24)</f>
        <v>0</v>
      </c>
      <c r="Q42" s="70">
        <f>IF($B$38="把握していない","",使用量と光熱費!F25)</f>
        <v>0</v>
      </c>
      <c r="R42" s="70">
        <f>IF($B$38="把握していない","",使用量と光熱費!F26)</f>
        <v>0</v>
      </c>
    </row>
    <row r="43" spans="1:18" x14ac:dyDescent="0.4">
      <c r="K43" s="2" t="s">
        <v>10</v>
      </c>
      <c r="L43" s="86">
        <f t="shared" si="3"/>
        <v>0</v>
      </c>
      <c r="M43" s="39" t="e">
        <f t="shared" si="2"/>
        <v>#DIV/0!</v>
      </c>
      <c r="N43" s="70">
        <f>IF($B$38="把握していない","",使用量と光熱費!G22)</f>
        <v>0</v>
      </c>
      <c r="O43" s="70">
        <f>IF($B$38="把握していない","",使用量と光熱費!G23)</f>
        <v>0</v>
      </c>
      <c r="P43" s="70">
        <f>IF($B$38="把握していない","",使用量と光熱費!G24)</f>
        <v>0</v>
      </c>
      <c r="Q43" s="70">
        <f>IF($B$38="把握していない","",使用量と光熱費!G25)</f>
        <v>0</v>
      </c>
      <c r="R43" s="70">
        <f>IF($B$38="把握していない","",使用量と光熱費!G26)</f>
        <v>0</v>
      </c>
    </row>
    <row r="44" spans="1:18" x14ac:dyDescent="0.4">
      <c r="K44" s="2" t="s">
        <v>11</v>
      </c>
      <c r="L44" s="86">
        <f t="shared" si="3"/>
        <v>0</v>
      </c>
      <c r="M44" s="39" t="e">
        <f t="shared" si="2"/>
        <v>#DIV/0!</v>
      </c>
      <c r="N44" s="70">
        <f>IF($B$38="把握していない","",使用量と光熱費!H22)</f>
        <v>0</v>
      </c>
      <c r="O44" s="70">
        <f>IF($B$38="把握していない","",使用量と光熱費!H23)</f>
        <v>0</v>
      </c>
      <c r="P44" s="70">
        <f>IF($B$38="把握していない","",使用量と光熱費!H24)</f>
        <v>0</v>
      </c>
      <c r="Q44" s="70">
        <f>IF($B$38="把握していない","",使用量と光熱費!H25)</f>
        <v>0</v>
      </c>
      <c r="R44" s="70">
        <f>IF($B$38="把握していない","",使用量と光熱費!H26)</f>
        <v>0</v>
      </c>
    </row>
    <row r="45" spans="1:18" x14ac:dyDescent="0.4">
      <c r="K45" s="2" t="s">
        <v>12</v>
      </c>
      <c r="L45" s="86">
        <f t="shared" si="3"/>
        <v>0</v>
      </c>
      <c r="M45" s="39" t="e">
        <f t="shared" si="2"/>
        <v>#DIV/0!</v>
      </c>
      <c r="N45" s="70">
        <f>IF($B$38="把握していない","",使用量と光熱費!I22)</f>
        <v>0</v>
      </c>
      <c r="O45" s="70">
        <f>IF($B$38="把握していない","",使用量と光熱費!I23)</f>
        <v>0</v>
      </c>
      <c r="P45" s="70">
        <f>IF($B$38="把握していない","",使用量と光熱費!I24)</f>
        <v>0</v>
      </c>
      <c r="Q45" s="70">
        <f>IF($B$38="把握していない","",使用量と光熱費!I25)</f>
        <v>0</v>
      </c>
      <c r="R45" s="70">
        <f>IF($B$38="把握していない","",使用量と光熱費!I26)</f>
        <v>0</v>
      </c>
    </row>
    <row r="46" spans="1:18" x14ac:dyDescent="0.4">
      <c r="K46" s="2" t="s">
        <v>13</v>
      </c>
      <c r="L46" s="86">
        <f t="shared" si="3"/>
        <v>0</v>
      </c>
      <c r="M46" s="39" t="e">
        <f t="shared" si="2"/>
        <v>#DIV/0!</v>
      </c>
      <c r="N46" s="70">
        <f>IF($B$38="把握していない","",使用量と光熱費!J22)</f>
        <v>0</v>
      </c>
      <c r="O46" s="70">
        <f>IF($B$38="把握していない","",使用量と光熱費!J23)</f>
        <v>0</v>
      </c>
      <c r="P46" s="70">
        <f>IF($B$38="把握していない","",使用量と光熱費!J24)</f>
        <v>0</v>
      </c>
      <c r="Q46" s="70">
        <f>IF($B$38="把握していない","",使用量と光熱費!J25)</f>
        <v>0</v>
      </c>
      <c r="R46" s="70">
        <f>IF($B$38="把握していない","",使用量と光熱費!J26)</f>
        <v>0</v>
      </c>
    </row>
    <row r="47" spans="1:18" x14ac:dyDescent="0.4">
      <c r="K47" s="2" t="s">
        <v>14</v>
      </c>
      <c r="L47" s="86">
        <f t="shared" si="3"/>
        <v>0</v>
      </c>
      <c r="M47" s="39" t="e">
        <f t="shared" si="2"/>
        <v>#DIV/0!</v>
      </c>
      <c r="N47" s="70">
        <f>IF($B$38="把握していない","",使用量と光熱費!K22)</f>
        <v>0</v>
      </c>
      <c r="O47" s="70">
        <f>IF($B$38="把握していない","",使用量と光熱費!K23)</f>
        <v>0</v>
      </c>
      <c r="P47" s="70">
        <f>IF($B$38="把握していない","",使用量と光熱費!K24)</f>
        <v>0</v>
      </c>
      <c r="Q47" s="70">
        <f>IF($B$38="把握していない","",使用量と光熱費!K25)</f>
        <v>0</v>
      </c>
      <c r="R47" s="70">
        <f>IF($B$38="把握していない","",使用量と光熱費!K26)</f>
        <v>0</v>
      </c>
    </row>
    <row r="48" spans="1:18" x14ac:dyDescent="0.4">
      <c r="K48" s="2" t="s">
        <v>15</v>
      </c>
      <c r="L48" s="86">
        <f t="shared" si="3"/>
        <v>0</v>
      </c>
      <c r="M48" s="39" t="e">
        <f t="shared" si="2"/>
        <v>#DIV/0!</v>
      </c>
      <c r="N48" s="70">
        <f>IF($B$38="把握していない","",使用量と光熱費!L22)</f>
        <v>0</v>
      </c>
      <c r="O48" s="70">
        <f>IF($B$38="把握していない","",使用量と光熱費!L23)</f>
        <v>0</v>
      </c>
      <c r="P48" s="70">
        <f>IF($B$38="把握していない","",使用量と光熱費!L24)</f>
        <v>0</v>
      </c>
      <c r="Q48" s="70">
        <f>IF($B$38="把握していない","",使用量と光熱費!L25)</f>
        <v>0</v>
      </c>
      <c r="R48" s="70">
        <f>IF($B$38="把握していない","",使用量と光熱費!L26)</f>
        <v>0</v>
      </c>
    </row>
    <row r="49" spans="11:18" x14ac:dyDescent="0.4">
      <c r="K49" s="2" t="s">
        <v>16</v>
      </c>
      <c r="L49" s="86">
        <f t="shared" si="3"/>
        <v>0</v>
      </c>
      <c r="M49" s="39" t="e">
        <f t="shared" si="2"/>
        <v>#DIV/0!</v>
      </c>
      <c r="N49" s="70">
        <f>IF($B$38="把握していない","",使用量と光熱費!M22)</f>
        <v>0</v>
      </c>
      <c r="O49" s="70">
        <f>IF($B$38="把握していない","",使用量と光熱費!M23)</f>
        <v>0</v>
      </c>
      <c r="P49" s="70">
        <f>IF($B$38="把握していない","",使用量と光熱費!M24)</f>
        <v>0</v>
      </c>
      <c r="Q49" s="70">
        <f>IF($B$38="把握していない","",使用量と光熱費!M25)</f>
        <v>0</v>
      </c>
      <c r="R49" s="70">
        <f>IF($B$38="把握していない","",使用量と光熱費!M26)</f>
        <v>0</v>
      </c>
    </row>
    <row r="50" spans="11:18" x14ac:dyDescent="0.4">
      <c r="K50" s="2" t="s">
        <v>17</v>
      </c>
      <c r="L50" s="86">
        <f t="shared" si="3"/>
        <v>0</v>
      </c>
      <c r="M50" s="39" t="e">
        <f t="shared" si="2"/>
        <v>#DIV/0!</v>
      </c>
      <c r="N50" s="70">
        <f>IF($B$38="把握していない","",使用量と光熱費!N22)</f>
        <v>0</v>
      </c>
      <c r="O50" s="70">
        <f>IF($B$38="把握していない","",使用量と光熱費!N23)</f>
        <v>0</v>
      </c>
      <c r="P50" s="70">
        <f>IF($B$38="把握していない","",使用量と光熱費!N24)</f>
        <v>0</v>
      </c>
      <c r="Q50" s="70">
        <f>IF($B$38="把握していない","",使用量と光熱費!N25)</f>
        <v>0</v>
      </c>
      <c r="R50" s="70">
        <f>IF($B$38="把握していない","",使用量と光熱費!N26)</f>
        <v>0</v>
      </c>
    </row>
    <row r="51" spans="11:18" x14ac:dyDescent="0.4">
      <c r="K51" s="2" t="s">
        <v>18</v>
      </c>
      <c r="L51" s="86">
        <f t="shared" si="3"/>
        <v>0</v>
      </c>
      <c r="M51" s="39" t="e">
        <f t="shared" si="2"/>
        <v>#DIV/0!</v>
      </c>
      <c r="N51" s="70">
        <f>IF($B$38="把握していない","",使用量と光熱費!O22)</f>
        <v>0</v>
      </c>
      <c r="O51" s="70">
        <f>IF($B$38="把握していない","",使用量と光熱費!O23)</f>
        <v>0</v>
      </c>
      <c r="P51" s="70">
        <f>IF($B$38="把握していない","",使用量と光熱費!O24)</f>
        <v>0</v>
      </c>
      <c r="Q51" s="70">
        <f>IF($B$38="把握していない","",使用量と光熱費!O25)</f>
        <v>0</v>
      </c>
      <c r="R51" s="70">
        <f>IF($B$38="把握していない","",使用量と光熱費!O26)</f>
        <v>0</v>
      </c>
    </row>
    <row r="52" spans="11:18" x14ac:dyDescent="0.4">
      <c r="K52" s="2" t="s">
        <v>19</v>
      </c>
      <c r="L52" s="86">
        <f t="shared" si="3"/>
        <v>0</v>
      </c>
      <c r="M52" s="39" t="e">
        <f t="shared" si="2"/>
        <v>#DIV/0!</v>
      </c>
      <c r="N52" s="70">
        <f>IF($B$38="把握していない","",使用量と光熱費!P22)</f>
        <v>0</v>
      </c>
      <c r="O52" s="70">
        <f>IF($B$38="把握していない","",使用量と光熱費!P23)</f>
        <v>0</v>
      </c>
      <c r="P52" s="70">
        <f>IF($B$38="把握していない","",使用量と光熱費!P24)</f>
        <v>0</v>
      </c>
      <c r="Q52" s="70">
        <f>IF($B$38="把握していない","",使用量と光熱費!P25)</f>
        <v>0</v>
      </c>
      <c r="R52" s="70">
        <f>IF($B$38="把握していない","",使用量と光熱費!P26)</f>
        <v>0</v>
      </c>
    </row>
    <row r="53" spans="11:18" x14ac:dyDescent="0.4">
      <c r="K53" s="2" t="s">
        <v>60</v>
      </c>
      <c r="L53" s="54">
        <f>SUM(L41:L52)</f>
        <v>0</v>
      </c>
      <c r="M53" s="39" t="e">
        <f t="shared" si="2"/>
        <v>#DIV/0!</v>
      </c>
      <c r="N53" s="54">
        <f>SUM(N41:N52)</f>
        <v>0</v>
      </c>
      <c r="O53" s="54">
        <f t="shared" ref="O53:R53" si="4">SUM(O41:O52)</f>
        <v>0</v>
      </c>
      <c r="P53" s="54">
        <f t="shared" si="4"/>
        <v>0</v>
      </c>
      <c r="Q53" s="54">
        <f t="shared" si="4"/>
        <v>0</v>
      </c>
      <c r="R53" s="54">
        <f t="shared" si="4"/>
        <v>0</v>
      </c>
    </row>
    <row r="66" spans="1:18" ht="19.5" x14ac:dyDescent="0.4">
      <c r="A66" s="63">
        <v>3</v>
      </c>
      <c r="B66" s="63" t="s">
        <v>166</v>
      </c>
    </row>
    <row r="67" spans="1:18" ht="19.5" x14ac:dyDescent="0.4">
      <c r="A67" s="63"/>
      <c r="B67" s="1" t="s">
        <v>212</v>
      </c>
      <c r="C67" s="620" t="s">
        <v>213</v>
      </c>
      <c r="D67" s="605"/>
      <c r="E67" s="605"/>
      <c r="F67" s="605"/>
      <c r="G67" s="605"/>
      <c r="H67" s="605"/>
      <c r="I67" s="593"/>
    </row>
    <row r="68" spans="1:18" x14ac:dyDescent="0.4">
      <c r="B68" s="84">
        <f>使用量と光熱費!F29</f>
        <v>0</v>
      </c>
      <c r="C68" s="695" t="s">
        <v>220</v>
      </c>
      <c r="D68" s="695"/>
      <c r="E68" s="695"/>
      <c r="F68" s="695"/>
      <c r="G68" s="695"/>
      <c r="H68" s="695"/>
      <c r="I68" s="695"/>
    </row>
    <row r="69" spans="1:18" ht="48" customHeight="1" x14ac:dyDescent="0.4">
      <c r="B69" s="90" t="str">
        <f>IF(B68="把握している","★","☆")</f>
        <v>☆</v>
      </c>
      <c r="C69" s="695"/>
      <c r="D69" s="695"/>
      <c r="E69" s="695"/>
      <c r="F69" s="695"/>
      <c r="G69" s="695"/>
      <c r="H69" s="695"/>
      <c r="I69" s="695"/>
    </row>
    <row r="70" spans="1:18" x14ac:dyDescent="0.4">
      <c r="K70" s="1" t="s">
        <v>2</v>
      </c>
      <c r="L70" s="84" t="str">
        <f>IF($B$68="把握していない","",使用量と光熱費!E31&amp;"")</f>
        <v/>
      </c>
      <c r="M70" s="84" t="str">
        <f>IF($B$68="把握していない","",使用量と光熱費!F31&amp;"")</f>
        <v/>
      </c>
      <c r="N70" s="84" t="str">
        <f>IF($B$68="把握していない","",使用量と光熱費!G31&amp;"")</f>
        <v/>
      </c>
      <c r="O70" s="84" t="str">
        <f>IF($B$68="把握していない","",使用量と光熱費!H31&amp;"")</f>
        <v/>
      </c>
      <c r="P70" s="84" t="str">
        <f>IF($B$68="把握していない","",使用量と光熱費!I31&amp;"")</f>
        <v/>
      </c>
      <c r="Q70" s="1" t="str">
        <f>IF($B$68="把握していない","","その他")</f>
        <v>その他</v>
      </c>
      <c r="R70" s="1" t="s">
        <v>214</v>
      </c>
    </row>
    <row r="71" spans="1:18" x14ac:dyDescent="0.4">
      <c r="K71" s="81" t="str">
        <f>使用量と光熱費!C37</f>
        <v>電気</v>
      </c>
      <c r="L71" s="84">
        <f>IF($B$68="把握していない","",使用量と光熱費!E37)</f>
        <v>0</v>
      </c>
      <c r="M71" s="84">
        <f>IF($B$68="把握していない","",使用量と光熱費!F37)</f>
        <v>0</v>
      </c>
      <c r="N71" s="84">
        <f>IF($B$68="把握していない","",使用量と光熱費!G37)</f>
        <v>0</v>
      </c>
      <c r="O71" s="84">
        <f>IF($B$68="把握していない","",使用量と光熱費!H37)</f>
        <v>0</v>
      </c>
      <c r="P71" s="84">
        <f>IF($B$68="把握していない","",使用量と光熱費!I37)</f>
        <v>0</v>
      </c>
      <c r="Q71" s="54">
        <f>R71-SUM(L71:P71)</f>
        <v>0</v>
      </c>
      <c r="R71" s="54">
        <f t="shared" ref="R71:R76" si="5">E14</f>
        <v>0</v>
      </c>
    </row>
    <row r="72" spans="1:18" x14ac:dyDescent="0.4">
      <c r="K72" s="81" t="str">
        <f>使用量と光熱費!C38</f>
        <v>都市ガス</v>
      </c>
      <c r="L72" s="84">
        <f>IF($B$68="把握していない","",使用量と光熱費!E38)</f>
        <v>0</v>
      </c>
      <c r="M72" s="84">
        <f>IF($B$68="把握していない","",使用量と光熱費!F38)</f>
        <v>0</v>
      </c>
      <c r="N72" s="84">
        <f>IF($B$68="把握していない","",使用量と光熱費!G38)</f>
        <v>0</v>
      </c>
      <c r="O72" s="84">
        <f>IF($B$68="把握していない","",使用量と光熱費!H38)</f>
        <v>0</v>
      </c>
      <c r="P72" s="84">
        <f>IF($B$68="把握していない","",使用量と光熱費!I38)</f>
        <v>0</v>
      </c>
      <c r="Q72" s="54">
        <f t="shared" ref="Q72:Q76" si="6">R72-SUM(L72:P72)</f>
        <v>0</v>
      </c>
      <c r="R72" s="54">
        <f t="shared" si="5"/>
        <v>0</v>
      </c>
    </row>
    <row r="73" spans="1:18" x14ac:dyDescent="0.4">
      <c r="K73" s="81" t="str">
        <f>使用量と光熱費!C39</f>
        <v>液化石油ガス（LPG）</v>
      </c>
      <c r="L73" s="84">
        <f>IF($B$68="把握していない","",使用量と光熱費!E39)</f>
        <v>0</v>
      </c>
      <c r="M73" s="84">
        <f>IF($B$68="把握していない","",使用量と光熱費!F39)</f>
        <v>0</v>
      </c>
      <c r="N73" s="84">
        <f>IF($B$68="把握していない","",使用量と光熱費!G39)</f>
        <v>0</v>
      </c>
      <c r="O73" s="84">
        <f>IF($B$68="把握していない","",使用量と光熱費!H39)</f>
        <v>0</v>
      </c>
      <c r="P73" s="84">
        <f>IF($B$68="把握していない","",使用量と光熱費!I39)</f>
        <v>0</v>
      </c>
      <c r="Q73" s="54">
        <f t="shared" si="6"/>
        <v>0</v>
      </c>
      <c r="R73" s="54">
        <f t="shared" si="5"/>
        <v>0</v>
      </c>
    </row>
    <row r="74" spans="1:18" x14ac:dyDescent="0.4">
      <c r="K74" s="81" t="str">
        <f>使用量と光熱費!C40</f>
        <v/>
      </c>
      <c r="L74" s="84">
        <f>IF($B$68="把握していない","",使用量と光熱費!E40)</f>
        <v>0</v>
      </c>
      <c r="M74" s="84">
        <f>IF($B$68="把握していない","",使用量と光熱費!F40)</f>
        <v>0</v>
      </c>
      <c r="N74" s="84">
        <f>IF($B$68="把握していない","",使用量と光熱費!G40)</f>
        <v>0</v>
      </c>
      <c r="O74" s="84">
        <f>IF($B$68="把握していない","",使用量と光熱費!H40)</f>
        <v>0</v>
      </c>
      <c r="P74" s="84">
        <f>IF($B$68="把握していない","",使用量と光熱費!I40)</f>
        <v>0</v>
      </c>
      <c r="Q74" s="54">
        <f t="shared" si="6"/>
        <v>0</v>
      </c>
      <c r="R74" s="54">
        <f t="shared" si="5"/>
        <v>0</v>
      </c>
    </row>
    <row r="75" spans="1:18" x14ac:dyDescent="0.4">
      <c r="K75" s="81" t="str">
        <f>使用量と光熱費!C41</f>
        <v/>
      </c>
      <c r="L75" s="84">
        <f>IF($B$68="把握していない","",使用量と光熱費!E41)</f>
        <v>0</v>
      </c>
      <c r="M75" s="84">
        <f>IF($B$68="把握していない","",使用量と光熱費!F41)</f>
        <v>0</v>
      </c>
      <c r="N75" s="84">
        <f>IF($B$68="把握していない","",使用量と光熱費!G41)</f>
        <v>0</v>
      </c>
      <c r="O75" s="84">
        <f>IF($B$68="把握していない","",使用量と光熱費!H41)</f>
        <v>0</v>
      </c>
      <c r="P75" s="84">
        <f>IF($B$68="把握していない","",使用量と光熱費!I41)</f>
        <v>0</v>
      </c>
      <c r="Q75" s="54">
        <f t="shared" si="6"/>
        <v>0</v>
      </c>
      <c r="R75" s="54">
        <f t="shared" si="5"/>
        <v>0</v>
      </c>
    </row>
    <row r="76" spans="1:18" x14ac:dyDescent="0.4">
      <c r="K76" s="81" t="str">
        <f>使用量と光熱費!C42</f>
        <v>合計</v>
      </c>
      <c r="L76" s="84">
        <f>SUM(L71:L75)</f>
        <v>0</v>
      </c>
      <c r="M76" s="84">
        <f t="shared" ref="M76:P76" si="7">SUM(M71:M75)</f>
        <v>0</v>
      </c>
      <c r="N76" s="84">
        <f t="shared" si="7"/>
        <v>0</v>
      </c>
      <c r="O76" s="84">
        <f t="shared" si="7"/>
        <v>0</v>
      </c>
      <c r="P76" s="84">
        <f t="shared" si="7"/>
        <v>0</v>
      </c>
      <c r="Q76" s="54">
        <f t="shared" si="6"/>
        <v>0</v>
      </c>
      <c r="R76" s="54">
        <f t="shared" si="5"/>
        <v>0</v>
      </c>
    </row>
    <row r="77" spans="1:18" x14ac:dyDescent="0.4">
      <c r="K77" s="1" t="s">
        <v>204</v>
      </c>
      <c r="L77" s="39" t="e">
        <f>IF($B$68="把握していない","",L76/$R$76)</f>
        <v>#DIV/0!</v>
      </c>
      <c r="M77" s="39" t="e">
        <f t="shared" ref="M77:Q77" si="8">IF($B$68="把握していない","",M76/$R$76)</f>
        <v>#DIV/0!</v>
      </c>
      <c r="N77" s="39" t="e">
        <f t="shared" si="8"/>
        <v>#DIV/0!</v>
      </c>
      <c r="O77" s="39" t="e">
        <f t="shared" si="8"/>
        <v>#DIV/0!</v>
      </c>
      <c r="P77" s="39" t="e">
        <f t="shared" si="8"/>
        <v>#DIV/0!</v>
      </c>
      <c r="Q77" s="39" t="e">
        <f t="shared" si="8"/>
        <v>#DIV/0!</v>
      </c>
      <c r="R77" s="39" t="e">
        <f>R76/$R$76</f>
        <v>#DIV/0!</v>
      </c>
    </row>
    <row r="84" spans="1:9" ht="19.5" x14ac:dyDescent="0.4">
      <c r="A84" s="63">
        <v>4</v>
      </c>
      <c r="B84" s="63" t="s">
        <v>191</v>
      </c>
    </row>
    <row r="85" spans="1:9" x14ac:dyDescent="0.4">
      <c r="B85" s="1" t="s">
        <v>212</v>
      </c>
      <c r="C85" s="620" t="s">
        <v>213</v>
      </c>
      <c r="D85" s="605"/>
      <c r="E85" s="605"/>
      <c r="F85" s="605"/>
      <c r="G85" s="605"/>
      <c r="H85" s="605"/>
      <c r="I85" s="593"/>
    </row>
    <row r="86" spans="1:9" x14ac:dyDescent="0.4">
      <c r="B86" s="84">
        <f>使用量と光熱費!F44</f>
        <v>0</v>
      </c>
      <c r="C86" s="695" t="s">
        <v>243</v>
      </c>
      <c r="D86" s="695"/>
      <c r="E86" s="695"/>
      <c r="F86" s="695"/>
      <c r="G86" s="695"/>
      <c r="H86" s="695"/>
      <c r="I86" s="695"/>
    </row>
    <row r="87" spans="1:9" ht="63.6" customHeight="1" x14ac:dyDescent="0.4">
      <c r="B87" s="90" t="str">
        <f>IF(B86="把握している","★","☆")</f>
        <v>☆</v>
      </c>
      <c r="C87" s="695"/>
      <c r="D87" s="695"/>
      <c r="E87" s="695"/>
      <c r="F87" s="695"/>
      <c r="G87" s="695"/>
      <c r="H87" s="695"/>
      <c r="I87" s="695"/>
    </row>
    <row r="88" spans="1:9" x14ac:dyDescent="0.4">
      <c r="B88" s="1" t="s">
        <v>221</v>
      </c>
      <c r="C88" s="699" t="s">
        <v>222</v>
      </c>
      <c r="D88" s="699"/>
      <c r="E88" s="699"/>
      <c r="F88" s="699"/>
      <c r="G88" s="699"/>
      <c r="H88" s="699"/>
      <c r="I88" s="699"/>
    </row>
    <row r="89" spans="1:9" ht="19.5" x14ac:dyDescent="0.4">
      <c r="B89" s="91" t="str">
        <f>使用量と光熱費!D47&amp;"%"</f>
        <v>%</v>
      </c>
      <c r="C89" s="699"/>
      <c r="D89" s="699"/>
      <c r="E89" s="699"/>
      <c r="F89" s="699"/>
      <c r="G89" s="699"/>
      <c r="H89" s="699"/>
      <c r="I89" s="699"/>
    </row>
    <row r="90" spans="1:9" ht="71.45" customHeight="1" x14ac:dyDescent="0.4">
      <c r="B90" s="90" t="str">
        <f>IF(C96&gt;=90,"★","☆")</f>
        <v>☆</v>
      </c>
      <c r="C90" s="699"/>
      <c r="D90" s="699"/>
      <c r="E90" s="699"/>
      <c r="F90" s="699"/>
      <c r="G90" s="699"/>
      <c r="H90" s="699"/>
      <c r="I90" s="699"/>
    </row>
    <row r="92" spans="1:9" ht="42" customHeight="1" x14ac:dyDescent="0.4">
      <c r="B92" s="1" t="s">
        <v>483</v>
      </c>
      <c r="C92" s="602" t="s">
        <v>223</v>
      </c>
      <c r="D92" s="602"/>
      <c r="E92" s="696" t="s">
        <v>226</v>
      </c>
      <c r="F92" s="696"/>
      <c r="G92" s="696" t="s">
        <v>230</v>
      </c>
      <c r="H92" s="696"/>
      <c r="I92" s="696"/>
    </row>
    <row r="93" spans="1:9" x14ac:dyDescent="0.4">
      <c r="B93" s="1" t="s">
        <v>484</v>
      </c>
      <c r="C93" s="698">
        <f>C98-C97*C95*(185-100)/100*12</f>
        <v>0</v>
      </c>
      <c r="D93" s="698"/>
      <c r="E93" s="697">
        <f>C98-C97*(C95*0.95)*(185-C96)/100*12</f>
        <v>0</v>
      </c>
      <c r="F93" s="697"/>
      <c r="G93" s="697">
        <f>C98-C97*(C95*0.95)*(185-100)/100*12</f>
        <v>0</v>
      </c>
      <c r="H93" s="697"/>
      <c r="I93" s="697"/>
    </row>
    <row r="94" spans="1:9" x14ac:dyDescent="0.4">
      <c r="B94" s="87"/>
      <c r="C94" s="87"/>
    </row>
    <row r="95" spans="1:9" x14ac:dyDescent="0.4">
      <c r="B95" s="1" t="s">
        <v>229</v>
      </c>
      <c r="C95" s="3">
        <f>使用量と光熱費!D46</f>
        <v>0</v>
      </c>
      <c r="D95" s="1" t="s">
        <v>189</v>
      </c>
    </row>
    <row r="96" spans="1:9" x14ac:dyDescent="0.4">
      <c r="B96" s="1" t="s">
        <v>193</v>
      </c>
      <c r="C96" s="3">
        <f>使用量と光熱費!D47</f>
        <v>0</v>
      </c>
      <c r="D96" s="1" t="s">
        <v>192</v>
      </c>
    </row>
    <row r="97" spans="1:9" x14ac:dyDescent="0.4">
      <c r="B97" s="1" t="s">
        <v>228</v>
      </c>
      <c r="C97" s="3">
        <f>使用量と光熱費!D48</f>
        <v>0</v>
      </c>
      <c r="D97" s="1" t="s">
        <v>227</v>
      </c>
    </row>
    <row r="98" spans="1:9" x14ac:dyDescent="0.4">
      <c r="B98" s="1" t="s">
        <v>225</v>
      </c>
      <c r="C98" s="89">
        <f>C97*C95*(185-C96)/100*12</f>
        <v>0</v>
      </c>
      <c r="D98" s="1" t="s">
        <v>224</v>
      </c>
    </row>
    <row r="101" spans="1:9" x14ac:dyDescent="0.4">
      <c r="A101">
        <v>5</v>
      </c>
      <c r="B101" t="s">
        <v>188</v>
      </c>
    </row>
    <row r="102" spans="1:9" x14ac:dyDescent="0.4">
      <c r="B102" s="1" t="s">
        <v>212</v>
      </c>
      <c r="C102" s="620" t="s">
        <v>213</v>
      </c>
      <c r="D102" s="605"/>
      <c r="E102" s="605"/>
      <c r="F102" s="605"/>
      <c r="G102" s="605"/>
      <c r="H102" s="605"/>
      <c r="I102" s="593"/>
    </row>
    <row r="103" spans="1:9" x14ac:dyDescent="0.4">
      <c r="B103" s="84">
        <f>使用量と光熱費!F52</f>
        <v>0</v>
      </c>
      <c r="C103" s="695" t="s">
        <v>494</v>
      </c>
      <c r="D103" s="695"/>
      <c r="E103" s="695"/>
      <c r="F103" s="695"/>
      <c r="G103" s="695"/>
      <c r="H103" s="695"/>
      <c r="I103" s="695"/>
    </row>
    <row r="104" spans="1:9" ht="39.75" x14ac:dyDescent="0.4">
      <c r="B104" s="90" t="str">
        <f>IF(B103="実施中","★","☆")</f>
        <v>☆</v>
      </c>
      <c r="C104" s="695"/>
      <c r="D104" s="695"/>
      <c r="E104" s="695"/>
      <c r="F104" s="695"/>
      <c r="G104" s="695"/>
      <c r="H104" s="695"/>
      <c r="I104" s="695"/>
    </row>
    <row r="105" spans="1:9" x14ac:dyDescent="0.4">
      <c r="B105" s="1" t="s">
        <v>485</v>
      </c>
      <c r="C105" s="49">
        <f>使用量と光熱費!D55*係数!$H$30</f>
        <v>0</v>
      </c>
      <c r="D105" s="50" t="s">
        <v>486</v>
      </c>
      <c r="E105" s="50"/>
      <c r="F105" s="50"/>
      <c r="G105" s="50"/>
      <c r="H105" s="50"/>
      <c r="I105" s="51"/>
    </row>
    <row r="107" spans="1:9" x14ac:dyDescent="0.4">
      <c r="A107">
        <v>5</v>
      </c>
      <c r="B107" t="s">
        <v>197</v>
      </c>
    </row>
    <row r="108" spans="1:9" x14ac:dyDescent="0.4">
      <c r="B108" s="1" t="s">
        <v>212</v>
      </c>
      <c r="C108" s="620" t="s">
        <v>213</v>
      </c>
      <c r="D108" s="605"/>
      <c r="E108" s="605"/>
      <c r="F108" s="605"/>
      <c r="G108" s="605"/>
      <c r="H108" s="605"/>
      <c r="I108" s="593"/>
    </row>
    <row r="109" spans="1:9" ht="18" customHeight="1" x14ac:dyDescent="0.4">
      <c r="B109" s="84">
        <f>使用量と光熱費!F57</f>
        <v>0</v>
      </c>
      <c r="C109" s="695" t="s">
        <v>493</v>
      </c>
      <c r="D109" s="695"/>
      <c r="E109" s="695"/>
      <c r="F109" s="695"/>
      <c r="G109" s="695"/>
      <c r="H109" s="695"/>
      <c r="I109" s="695"/>
    </row>
    <row r="110" spans="1:9" ht="51" customHeight="1" x14ac:dyDescent="0.4">
      <c r="B110" s="90" t="str">
        <f>IF(B109="実施中","★","☆")</f>
        <v>☆</v>
      </c>
      <c r="C110" s="695"/>
      <c r="D110" s="695"/>
      <c r="E110" s="695"/>
      <c r="F110" s="695"/>
      <c r="G110" s="695"/>
      <c r="H110" s="695"/>
      <c r="I110" s="695"/>
    </row>
    <row r="111" spans="1:9" x14ac:dyDescent="0.4">
      <c r="B111" s="1" t="s">
        <v>485</v>
      </c>
      <c r="C111" s="49">
        <f>IF(B109="実施中",使用量と光熱費!Q17*(係数!$H$30-使用量と光熱費!D59),0)</f>
        <v>0</v>
      </c>
      <c r="D111" s="50" t="s">
        <v>486</v>
      </c>
      <c r="E111" s="50"/>
      <c r="F111" s="50"/>
      <c r="G111" s="50"/>
      <c r="H111" s="50"/>
      <c r="I111" s="51"/>
    </row>
  </sheetData>
  <sheetProtection algorithmName="SHA-512" hashValue="eCC7kJ9IZh4dWwD32e2b/cZQYH0rwl6Uit1cSKDcZQ/6hDQan2Hj+ZRZvYIQovOzKT+ko8I/ALP29oadqDDXBA==" saltValue="J8120yhaJZysZI9eevZqIQ==" spinCount="100000" sheet="1" objects="1" scenarios="1" formatCells="0" formatColumns="0" formatRows="0"/>
  <mergeCells count="18">
    <mergeCell ref="C68:I69"/>
    <mergeCell ref="C85:I85"/>
    <mergeCell ref="C86:I87"/>
    <mergeCell ref="C88:I90"/>
    <mergeCell ref="F9:G9"/>
    <mergeCell ref="C38:I39"/>
    <mergeCell ref="C37:I37"/>
    <mergeCell ref="C67:I67"/>
    <mergeCell ref="C102:I102"/>
    <mergeCell ref="C103:I104"/>
    <mergeCell ref="C108:I108"/>
    <mergeCell ref="C109:I110"/>
    <mergeCell ref="E92:F92"/>
    <mergeCell ref="E93:F93"/>
    <mergeCell ref="G92:I92"/>
    <mergeCell ref="G93:I93"/>
    <mergeCell ref="C92:D92"/>
    <mergeCell ref="C93:D93"/>
  </mergeCells>
  <phoneticPr fontId="5"/>
  <conditionalFormatting sqref="C95:C98">
    <cfRule type="expression" dxfId="7" priority="2">
      <formula>$F$44="把握していない"</formula>
    </cfRule>
  </conditionalFormatting>
  <conditionalFormatting sqref="G14:G18">
    <cfRule type="colorScale" priority="11">
      <colorScale>
        <cfvo type="min"/>
        <cfvo type="max"/>
        <color rgb="FFFCFCFF"/>
        <color rgb="FFF8696B"/>
      </colorScale>
    </cfRule>
  </conditionalFormatting>
  <conditionalFormatting sqref="J5:J6">
    <cfRule type="iconSet" priority="8">
      <iconSet iconSet="3Signs">
        <cfvo type="percent" val="0"/>
        <cfvo type="num" val="0.33"/>
        <cfvo type="num" val="0.67"/>
      </iconSet>
    </cfRule>
  </conditionalFormatting>
  <conditionalFormatting sqref="M41:M52">
    <cfRule type="colorScale" priority="13">
      <colorScale>
        <cfvo type="min"/>
        <cfvo type="max"/>
        <color rgb="FFFCFCFF"/>
        <color rgb="FFF8696B"/>
      </colorScale>
    </cfRule>
  </conditionalFormatting>
  <conditionalFormatting sqref="N53:R53">
    <cfRule type="colorScale" priority="10">
      <colorScale>
        <cfvo type="min"/>
        <cfvo type="max"/>
        <color rgb="FFFCFCFF"/>
        <color rgb="FFF8696B"/>
      </colorScale>
    </cfRule>
  </conditionalFormatting>
  <pageMargins left="0.7" right="0.7" top="0.75" bottom="0.75" header="0.3" footer="0.3"/>
  <pageSetup paperSize="9" orientation="portrait" r:id="rId1"/>
  <rowBreaks count="3" manualBreakCount="3">
    <brk id="35" max="16383" man="1"/>
    <brk id="65" max="8" man="1"/>
    <brk id="83" max="8" man="1"/>
  </rowBreaks>
  <ignoredErrors>
    <ignoredError sqref="M53" formula="1"/>
  </ignoredErrors>
  <drawing r:id="rId2"/>
  <extLst>
    <ext xmlns:x14="http://schemas.microsoft.com/office/spreadsheetml/2009/9/main" uri="{78C0D931-6437-407d-A8EE-F0AAD7539E65}">
      <x14:conditionalFormattings>
        <x14:conditionalFormatting xmlns:xm="http://schemas.microsoft.com/office/excel/2006/main">
          <x14:cfRule type="iconSet" priority="5" id="{C5792083-5140-4D8F-9F5E-535EB9950498}">
            <x14:iconSet iconSet="3Stars">
              <x14:cfvo type="percent">
                <xm:f>0</xm:f>
              </x14:cfvo>
              <x14:cfvo type="num">
                <xm:f>0.5</xm:f>
              </x14:cfvo>
              <x14:cfvo type="num">
                <xm:f>0.8</xm:f>
              </x14:cfvo>
            </x14:iconSet>
          </x14:cfRule>
          <xm:sqref>C9:E9</xm:sqref>
        </x14:conditionalFormatting>
        <x14:conditionalFormatting xmlns:xm="http://schemas.microsoft.com/office/excel/2006/main">
          <x14:cfRule type="iconSet" priority="6" id="{F536BA19-1A26-4914-9EAE-083BA00AD9C7}">
            <x14:iconSet iconSet="3Stars">
              <x14:cfvo type="percent">
                <xm:f>0</xm:f>
              </x14:cfvo>
              <x14:cfvo type="percent">
                <xm:f>33</xm:f>
              </x14:cfvo>
              <x14:cfvo type="percent">
                <xm:f>67</xm:f>
              </x14:cfvo>
            </x14:iconSet>
          </x14:cfRule>
          <xm:sqref>G3:G8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61"/>
  <sheetViews>
    <sheetView view="pageBreakPreview" zoomScaleNormal="100" zoomScaleSheetLayoutView="100" workbookViewId="0">
      <selection activeCell="G6" sqref="G6"/>
    </sheetView>
  </sheetViews>
  <sheetFormatPr defaultRowHeight="18.75" x14ac:dyDescent="0.4"/>
  <cols>
    <col min="2" max="2" width="6.125" customWidth="1"/>
    <col min="3" max="3" width="3.625" customWidth="1"/>
    <col min="4" max="4" width="31.125" customWidth="1"/>
    <col min="5" max="5" width="9.625" customWidth="1"/>
    <col min="6" max="6" width="89" customWidth="1"/>
    <col min="7" max="7" width="5" hidden="1" customWidth="1"/>
  </cols>
  <sheetData>
    <row r="1" spans="1:7" ht="25.5" x14ac:dyDescent="0.5">
      <c r="C1" s="36" t="s">
        <v>202</v>
      </c>
    </row>
    <row r="2" spans="1:7" ht="18" customHeight="1" x14ac:dyDescent="0.5">
      <c r="C2" s="36"/>
    </row>
    <row r="3" spans="1:7" ht="18" customHeight="1" x14ac:dyDescent="0.5">
      <c r="C3" s="36"/>
      <c r="D3" s="24" t="s">
        <v>343</v>
      </c>
      <c r="E3" s="24">
        <f>COUNTIF($E11:$E104,"○")</f>
        <v>0</v>
      </c>
      <c r="F3" s="21"/>
    </row>
    <row r="4" spans="1:7" ht="18" customHeight="1" x14ac:dyDescent="0.5">
      <c r="C4" s="36"/>
      <c r="D4" s="24" t="s">
        <v>210</v>
      </c>
      <c r="E4" s="24">
        <f>E5-E3</f>
        <v>50</v>
      </c>
      <c r="F4" s="21"/>
    </row>
    <row r="5" spans="1:7" ht="18" customHeight="1" thickBot="1" x14ac:dyDescent="0.55000000000000004">
      <c r="C5" s="36"/>
      <c r="D5" s="24" t="s">
        <v>60</v>
      </c>
      <c r="E5" s="22">
        <f>COUNT(C12:$C$61)</f>
        <v>50</v>
      </c>
    </row>
    <row r="6" spans="1:7" ht="26.45" customHeight="1" x14ac:dyDescent="0.5">
      <c r="C6" s="36"/>
      <c r="D6" s="166" t="s">
        <v>211</v>
      </c>
      <c r="E6" s="162">
        <f>E3/$E$5</f>
        <v>0</v>
      </c>
      <c r="F6" s="163" t="str">
        <f>REPT("★",ROUND(E3/E5*10,0))&amp;REPT("☆",10-ROUND(E3/E5*10,0))</f>
        <v>☆☆☆☆☆☆☆☆☆☆</v>
      </c>
    </row>
    <row r="7" spans="1:7" ht="26.45" customHeight="1" x14ac:dyDescent="0.5">
      <c r="C7" s="36"/>
      <c r="D7" s="24" t="s">
        <v>341</v>
      </c>
      <c r="E7" s="39"/>
      <c r="F7" s="39" t="str">
        <f>IF(AND(H3&gt;=18,G28="○",G40="○",G45="○",G34="○",G42="○"),"プレミアムコース登録基準を満たしています",IF(AND(E3&gt;=13,G28="○",G40="○",G45="○"),"スタンダードコース登録基準を満たしています","登録基準を満たしていません"))</f>
        <v>登録基準を満たしていません</v>
      </c>
    </row>
    <row r="8" spans="1:7" ht="61.35" customHeight="1" x14ac:dyDescent="0.5">
      <c r="C8" s="36"/>
      <c r="D8" s="699" t="s">
        <v>342</v>
      </c>
      <c r="E8" s="699"/>
      <c r="F8" s="699"/>
      <c r="G8" s="178" t="s">
        <v>316</v>
      </c>
    </row>
    <row r="9" spans="1:7" ht="20.45" customHeight="1" x14ac:dyDescent="0.5">
      <c r="C9" s="36"/>
      <c r="D9" s="38" t="str">
        <f>"選択数"&amp;E3&amp;",　　必須項目No.17="&amp;E28&amp;",    No.29="&amp;E40&amp;",    No.34="&amp;E45&amp;":   プレミアNo.23="&amp;E34&amp;",    No.31="&amp;E42</f>
        <v>選択数0,　　必須項目No.17=,    No.29=,    No.34=:   プレミアNo.23=,    No.31=</v>
      </c>
      <c r="E9" s="16"/>
      <c r="F9" s="16"/>
      <c r="G9" s="178" t="s">
        <v>447</v>
      </c>
    </row>
    <row r="10" spans="1:7" ht="33" customHeight="1" x14ac:dyDescent="0.5">
      <c r="C10" s="36"/>
      <c r="D10" s="165" t="s">
        <v>553</v>
      </c>
      <c r="E10" s="164"/>
      <c r="F10" s="164"/>
    </row>
    <row r="11" spans="1:7" x14ac:dyDescent="0.4">
      <c r="A11" s="1" t="s">
        <v>337</v>
      </c>
      <c r="B11" s="1" t="s">
        <v>338</v>
      </c>
      <c r="C11" s="1" t="s">
        <v>339</v>
      </c>
      <c r="D11" s="1" t="s">
        <v>340</v>
      </c>
      <c r="E11" s="1" t="s">
        <v>162</v>
      </c>
      <c r="F11" s="38" t="s">
        <v>153</v>
      </c>
      <c r="G11" s="1" t="s">
        <v>448</v>
      </c>
    </row>
    <row r="12" spans="1:7" ht="107.45" customHeight="1" x14ac:dyDescent="0.4">
      <c r="A12" s="687" t="s">
        <v>309</v>
      </c>
      <c r="B12" s="116"/>
      <c r="C12" s="1">
        <v>1</v>
      </c>
      <c r="D12" s="47" t="s">
        <v>308</v>
      </c>
      <c r="E12" s="167" t="str">
        <f>取組項目!F8&amp;""</f>
        <v/>
      </c>
      <c r="F12" s="16" t="s">
        <v>318</v>
      </c>
      <c r="G12" s="1" t="str">
        <f>IF(OR(取組項目!F8=$G$8,取組項目!F8=$G$9),$G$8,"-")</f>
        <v>-</v>
      </c>
    </row>
    <row r="13" spans="1:7" ht="62.45" customHeight="1" x14ac:dyDescent="0.4">
      <c r="A13" s="688"/>
      <c r="B13" s="116"/>
      <c r="C13" s="1">
        <v>2</v>
      </c>
      <c r="D13" s="47" t="s">
        <v>307</v>
      </c>
      <c r="E13" s="167" t="str">
        <f>取組項目!F9&amp;""</f>
        <v/>
      </c>
      <c r="F13" s="271" t="s">
        <v>319</v>
      </c>
      <c r="G13" s="1" t="str">
        <f>IF(OR(取組項目!F9=$G$8,取組項目!F9=$G$9),$G$8,"-")</f>
        <v>-</v>
      </c>
    </row>
    <row r="14" spans="1:7" ht="82.35" customHeight="1" x14ac:dyDescent="0.4">
      <c r="A14" s="688"/>
      <c r="B14" s="116"/>
      <c r="C14" s="1">
        <v>3</v>
      </c>
      <c r="D14" s="47" t="s">
        <v>306</v>
      </c>
      <c r="E14" s="167" t="str">
        <f>取組項目!F10&amp;""</f>
        <v/>
      </c>
      <c r="F14" s="271" t="s">
        <v>325</v>
      </c>
      <c r="G14" s="1" t="str">
        <f>IF(OR(取組項目!F10=$G$8,取組項目!F10=$G$9),$G$8,"-")</f>
        <v>-</v>
      </c>
    </row>
    <row r="15" spans="1:7" ht="94.35" customHeight="1" x14ac:dyDescent="0.4">
      <c r="A15" s="688"/>
      <c r="B15" s="116"/>
      <c r="C15" s="1">
        <v>4</v>
      </c>
      <c r="D15" s="47" t="s">
        <v>305</v>
      </c>
      <c r="E15" s="167" t="str">
        <f>取組項目!F11&amp;""</f>
        <v/>
      </c>
      <c r="F15" s="271" t="s">
        <v>320</v>
      </c>
      <c r="G15" s="1" t="str">
        <f>IF(OR(取組項目!F11=$G$8,取組項目!F11=$G$9),$G$8,"-")</f>
        <v>-</v>
      </c>
    </row>
    <row r="16" spans="1:7" ht="80.099999999999994" customHeight="1" x14ac:dyDescent="0.4">
      <c r="A16" s="688"/>
      <c r="B16" s="116"/>
      <c r="C16" s="1">
        <v>5</v>
      </c>
      <c r="D16" s="47" t="s">
        <v>330</v>
      </c>
      <c r="E16" s="167" t="str">
        <f>取組項目!F12&amp;""</f>
        <v/>
      </c>
      <c r="F16" s="271" t="s">
        <v>321</v>
      </c>
      <c r="G16" s="1" t="str">
        <f>IF(OR(取組項目!F12=$G$8,取組項目!F12=$G$9),$G$8,"-")</f>
        <v>-</v>
      </c>
    </row>
    <row r="17" spans="1:7" ht="81" customHeight="1" x14ac:dyDescent="0.4">
      <c r="A17" s="688"/>
      <c r="B17" s="116"/>
      <c r="C17" s="1">
        <v>6</v>
      </c>
      <c r="D17" s="47" t="s">
        <v>331</v>
      </c>
      <c r="E17" s="167" t="str">
        <f>取組項目!F13&amp;""</f>
        <v/>
      </c>
      <c r="F17" s="271" t="s">
        <v>322</v>
      </c>
      <c r="G17" s="1" t="str">
        <f>IF(OR(取組項目!F13=$G$8,取組項目!F13=$G$9),$G$8,"-")</f>
        <v>-</v>
      </c>
    </row>
    <row r="18" spans="1:7" ht="245.45" customHeight="1" x14ac:dyDescent="0.4">
      <c r="A18" s="688"/>
      <c r="B18" s="116"/>
      <c r="C18" s="1">
        <v>7</v>
      </c>
      <c r="D18" s="47" t="s">
        <v>304</v>
      </c>
      <c r="E18" s="167" t="str">
        <f>取組項目!F14&amp;""</f>
        <v/>
      </c>
      <c r="F18" s="271" t="s">
        <v>323</v>
      </c>
      <c r="G18" s="1" t="str">
        <f>IF(OR(取組項目!F14=$G$8,取組項目!F14=$G$9),$G$8,"-")</f>
        <v>-</v>
      </c>
    </row>
    <row r="19" spans="1:7" ht="87" customHeight="1" x14ac:dyDescent="0.4">
      <c r="A19" s="688"/>
      <c r="B19" s="116"/>
      <c r="C19" s="1">
        <v>8</v>
      </c>
      <c r="D19" s="47" t="s">
        <v>303</v>
      </c>
      <c r="E19" s="167" t="str">
        <f>取組項目!F15&amp;""</f>
        <v/>
      </c>
      <c r="F19" s="47" t="s">
        <v>324</v>
      </c>
      <c r="G19" s="1" t="str">
        <f>IF(OR(取組項目!F15=$G$8,取組項目!F15=$G$9),$G$8,"-")</f>
        <v>-</v>
      </c>
    </row>
    <row r="20" spans="1:7" ht="62.1" customHeight="1" x14ac:dyDescent="0.4">
      <c r="A20" s="688"/>
      <c r="B20" s="116"/>
      <c r="C20" s="1">
        <v>9</v>
      </c>
      <c r="D20" s="47" t="s">
        <v>326</v>
      </c>
      <c r="E20" s="167" t="str">
        <f>取組項目!F16&amp;""</f>
        <v/>
      </c>
      <c r="F20" s="47" t="s">
        <v>327</v>
      </c>
      <c r="G20" s="1" t="str">
        <f>IF(OR(取組項目!F16=$G$8,取組項目!F16=$G$9),$G$8,"-")</f>
        <v>-</v>
      </c>
    </row>
    <row r="21" spans="1:7" ht="62.1" customHeight="1" x14ac:dyDescent="0.4">
      <c r="A21" s="689"/>
      <c r="B21" s="116"/>
      <c r="C21" s="1">
        <v>10</v>
      </c>
      <c r="D21" s="47" t="s">
        <v>302</v>
      </c>
      <c r="E21" s="167" t="str">
        <f>取組項目!F17&amp;""</f>
        <v/>
      </c>
      <c r="F21" s="47" t="s">
        <v>328</v>
      </c>
      <c r="G21" s="1" t="str">
        <f>IF(OR(取組項目!F17=$G$8,取組項目!F17=$G$9),$G$8,"-")</f>
        <v>-</v>
      </c>
    </row>
    <row r="22" spans="1:7" ht="62.1" customHeight="1" x14ac:dyDescent="0.4">
      <c r="A22" s="690" t="s">
        <v>293</v>
      </c>
      <c r="B22" s="120"/>
      <c r="C22" s="1">
        <v>11</v>
      </c>
      <c r="D22" s="47" t="s">
        <v>301</v>
      </c>
      <c r="E22" s="167" t="str">
        <f>取組項目!F18&amp;""</f>
        <v/>
      </c>
      <c r="F22" s="47" t="s">
        <v>329</v>
      </c>
      <c r="G22" s="1" t="str">
        <f>IF(OR(取組項目!F18=$G$8,取組項目!F18=$G$9),$G$8,"-")</f>
        <v>-</v>
      </c>
    </row>
    <row r="23" spans="1:7" ht="62.1" customHeight="1" x14ac:dyDescent="0.4">
      <c r="A23" s="691"/>
      <c r="B23" s="120"/>
      <c r="C23" s="1">
        <v>12</v>
      </c>
      <c r="D23" s="47" t="s">
        <v>300</v>
      </c>
      <c r="E23" s="167" t="str">
        <f>取組項目!F19&amp;""</f>
        <v/>
      </c>
      <c r="F23" s="272" t="s">
        <v>237</v>
      </c>
      <c r="G23" s="1" t="str">
        <f>IF(OR(取組項目!F19=$G$8,取組項目!F19=$G$9),$G$8,"-")</f>
        <v>-</v>
      </c>
    </row>
    <row r="24" spans="1:7" ht="62.1" customHeight="1" x14ac:dyDescent="0.4">
      <c r="A24" s="691"/>
      <c r="B24" s="120"/>
      <c r="C24" s="1">
        <v>13</v>
      </c>
      <c r="D24" s="47" t="s">
        <v>299</v>
      </c>
      <c r="E24" s="167" t="str">
        <f>取組項目!F20&amp;""</f>
        <v/>
      </c>
      <c r="F24" s="47" t="s">
        <v>353</v>
      </c>
      <c r="G24" s="1" t="str">
        <f>IF(OR(取組項目!F20=$G$8,取組項目!F20=$G$9),$G$8,"-")</f>
        <v>-</v>
      </c>
    </row>
    <row r="25" spans="1:7" ht="62.1" customHeight="1" x14ac:dyDescent="0.4">
      <c r="A25" s="691"/>
      <c r="B25" s="120"/>
      <c r="C25" s="1">
        <v>14</v>
      </c>
      <c r="D25" s="47" t="s">
        <v>298</v>
      </c>
      <c r="E25" s="167" t="str">
        <f>取組項目!F21&amp;""</f>
        <v/>
      </c>
      <c r="F25" s="47" t="s">
        <v>352</v>
      </c>
      <c r="G25" s="1" t="str">
        <f>IF(OR(取組項目!F21=$G$8,取組項目!F21=$G$9),$G$8,"-")</f>
        <v>-</v>
      </c>
    </row>
    <row r="26" spans="1:7" ht="62.1" customHeight="1" x14ac:dyDescent="0.4">
      <c r="A26" s="691"/>
      <c r="B26" s="120"/>
      <c r="C26" s="1">
        <v>15</v>
      </c>
      <c r="D26" s="48" t="s">
        <v>354</v>
      </c>
      <c r="E26" s="167" t="str">
        <f>取組項目!F22&amp;""</f>
        <v/>
      </c>
      <c r="F26" s="47" t="s">
        <v>355</v>
      </c>
      <c r="G26" s="1" t="str">
        <f>IF(OR(取組項目!F22=$G$8,取組項目!F22=$G$9),$G$8,"-")</f>
        <v>-</v>
      </c>
    </row>
    <row r="27" spans="1:7" ht="41.45" customHeight="1" thickBot="1" x14ac:dyDescent="0.45">
      <c r="A27" s="691"/>
      <c r="B27" s="122"/>
      <c r="C27" s="17">
        <v>16</v>
      </c>
      <c r="D27" s="111" t="s">
        <v>296</v>
      </c>
      <c r="E27" s="169" t="str">
        <f>取組項目!F23&amp;""</f>
        <v/>
      </c>
      <c r="F27" s="111" t="s">
        <v>349</v>
      </c>
      <c r="G27" s="1" t="str">
        <f>IF(OR(取組項目!F23=$G$8,取組項目!F23=$G$9),$G$8,"-")</f>
        <v>-</v>
      </c>
    </row>
    <row r="28" spans="1:7" ht="38.25" thickBot="1" x14ac:dyDescent="0.45">
      <c r="A28" s="691"/>
      <c r="B28" s="156" t="s">
        <v>275</v>
      </c>
      <c r="C28" s="157">
        <v>17</v>
      </c>
      <c r="D28" s="158" t="s">
        <v>295</v>
      </c>
      <c r="E28" s="171" t="str">
        <f>取組項目!F24&amp;""</f>
        <v/>
      </c>
      <c r="F28" s="273" t="s">
        <v>356</v>
      </c>
      <c r="G28" s="1" t="str">
        <f>IF(OR(取組項目!F24=$G$8,取組項目!F24=$G$9),$G$8,"-")</f>
        <v>-</v>
      </c>
    </row>
    <row r="29" spans="1:7" ht="37.5" x14ac:dyDescent="0.4">
      <c r="A29" s="682"/>
      <c r="B29" s="129"/>
      <c r="C29" s="19">
        <v>18</v>
      </c>
      <c r="D29" s="113" t="s">
        <v>294</v>
      </c>
      <c r="E29" s="170" t="str">
        <f>取組項目!F25&amp;""</f>
        <v/>
      </c>
      <c r="F29" s="274" t="s">
        <v>247</v>
      </c>
      <c r="G29" s="1" t="str">
        <f>IF(OR(取組項目!F25=$G$8,取組項目!F25=$G$9),$G$8,"-")</f>
        <v>-</v>
      </c>
    </row>
    <row r="30" spans="1:7" ht="56.25" x14ac:dyDescent="0.4">
      <c r="A30" s="687" t="s">
        <v>293</v>
      </c>
      <c r="B30" s="120"/>
      <c r="C30" s="1">
        <v>19</v>
      </c>
      <c r="D30" s="11" t="s">
        <v>292</v>
      </c>
      <c r="E30" s="167" t="str">
        <f>取組項目!F26&amp;""</f>
        <v/>
      </c>
      <c r="F30" s="272" t="s">
        <v>350</v>
      </c>
      <c r="G30" s="1" t="str">
        <f>IF(OR(取組項目!F26=$G$8,取組項目!F26=$G$9),$G$8,"-")</f>
        <v>-</v>
      </c>
    </row>
    <row r="31" spans="1:7" ht="37.5" x14ac:dyDescent="0.4">
      <c r="A31" s="692"/>
      <c r="B31" s="120"/>
      <c r="C31" s="1">
        <v>20</v>
      </c>
      <c r="D31" s="11" t="s">
        <v>291</v>
      </c>
      <c r="E31" s="167" t="str">
        <f>取組項目!F27&amp;""</f>
        <v/>
      </c>
      <c r="F31" s="47" t="s">
        <v>347</v>
      </c>
      <c r="G31" s="1" t="str">
        <f>IF(OR(取組項目!F27=$G$8,取組項目!F27=$G$9),$G$8,"-")</f>
        <v>-</v>
      </c>
    </row>
    <row r="32" spans="1:7" ht="56.25" x14ac:dyDescent="0.4">
      <c r="A32" s="692"/>
      <c r="B32" s="120"/>
      <c r="C32" s="1">
        <v>21</v>
      </c>
      <c r="D32" s="11" t="s">
        <v>290</v>
      </c>
      <c r="E32" s="167" t="str">
        <f>取組項目!F28&amp;""</f>
        <v/>
      </c>
      <c r="F32" s="47"/>
      <c r="G32" s="1" t="str">
        <f>IF(OR(取組項目!F28=$G$8,取組項目!F28=$G$9),$G$8,"-")</f>
        <v>-</v>
      </c>
    </row>
    <row r="33" spans="1:7" ht="75.75" thickBot="1" x14ac:dyDescent="0.45">
      <c r="A33" s="692"/>
      <c r="B33" s="122"/>
      <c r="C33" s="17">
        <v>22</v>
      </c>
      <c r="D33" s="154" t="s">
        <v>289</v>
      </c>
      <c r="E33" s="167" t="str">
        <f>取組項目!F29&amp;""</f>
        <v/>
      </c>
      <c r="F33" s="111"/>
      <c r="G33" s="1" t="str">
        <f>IF(OR(取組項目!F29=$G$8,取組項目!F29=$G$9),$G$8,"-")</f>
        <v>-</v>
      </c>
    </row>
    <row r="34" spans="1:7" ht="57.75" thickTop="1" thickBot="1" x14ac:dyDescent="0.45">
      <c r="A34" s="692"/>
      <c r="B34" s="161" t="s">
        <v>335</v>
      </c>
      <c r="C34" s="159">
        <v>23</v>
      </c>
      <c r="D34" s="160" t="s">
        <v>288</v>
      </c>
      <c r="E34" s="172" t="str">
        <f>取組項目!F30&amp;""</f>
        <v/>
      </c>
      <c r="F34" s="275" t="s">
        <v>351</v>
      </c>
      <c r="G34" s="1" t="str">
        <f>IF(OR(取組項目!F30=$G$8,取組項目!F30=$G$9),$G$8,"-")</f>
        <v>-</v>
      </c>
    </row>
    <row r="35" spans="1:7" ht="57" thickTop="1" x14ac:dyDescent="0.4">
      <c r="A35" s="692"/>
      <c r="B35" s="129"/>
      <c r="C35" s="19">
        <v>24</v>
      </c>
      <c r="D35" s="113" t="s">
        <v>287</v>
      </c>
      <c r="E35" s="167" t="str">
        <f>取組項目!F31&amp;""</f>
        <v/>
      </c>
      <c r="F35" s="276"/>
      <c r="G35" s="1" t="str">
        <f>IF(OR(取組項目!F31=$G$8,取組項目!F31=$G$9),$G$8,"-")</f>
        <v>-</v>
      </c>
    </row>
    <row r="36" spans="1:7" ht="75" x14ac:dyDescent="0.4">
      <c r="A36" s="692"/>
      <c r="B36" s="137"/>
      <c r="C36" s="1">
        <v>25</v>
      </c>
      <c r="D36" s="11" t="s">
        <v>286</v>
      </c>
      <c r="E36" s="167" t="str">
        <f>取組項目!F32&amp;""</f>
        <v/>
      </c>
      <c r="F36" s="47"/>
      <c r="G36" s="1" t="str">
        <f>IF(OR(取組項目!F32=$G$8,取組項目!F32=$G$9),$G$8,"-")</f>
        <v>-</v>
      </c>
    </row>
    <row r="37" spans="1:7" ht="37.5" x14ac:dyDescent="0.4">
      <c r="A37" s="692"/>
      <c r="B37" s="138"/>
      <c r="C37" s="1">
        <v>26</v>
      </c>
      <c r="D37" s="11" t="s">
        <v>285</v>
      </c>
      <c r="E37" s="167" t="str">
        <f>取組項目!F33&amp;""</f>
        <v/>
      </c>
      <c r="F37" s="47"/>
      <c r="G37" s="1" t="str">
        <f>IF(OR(取組項目!F33=$G$8,取組項目!F33=$G$9),$G$8,"-")</f>
        <v>-</v>
      </c>
    </row>
    <row r="38" spans="1:7" ht="37.5" x14ac:dyDescent="0.4">
      <c r="A38" s="692"/>
      <c r="B38" s="138"/>
      <c r="C38" s="1">
        <v>27</v>
      </c>
      <c r="D38" s="11" t="s">
        <v>284</v>
      </c>
      <c r="E38" s="167" t="str">
        <f>取組項目!F34&amp;""</f>
        <v/>
      </c>
      <c r="F38" s="47"/>
      <c r="G38" s="1" t="str">
        <f>IF(OR(取組項目!F34=$G$8,取組項目!F34=$G$9),$G$8,"-")</f>
        <v>-</v>
      </c>
    </row>
    <row r="39" spans="1:7" ht="75.75" thickBot="1" x14ac:dyDescent="0.45">
      <c r="A39" s="693"/>
      <c r="B39" s="139"/>
      <c r="C39" s="17">
        <v>28</v>
      </c>
      <c r="D39" s="154" t="s">
        <v>283</v>
      </c>
      <c r="E39" s="167" t="str">
        <f>取組項目!F35&amp;""</f>
        <v/>
      </c>
      <c r="F39" s="111"/>
      <c r="G39" s="1" t="str">
        <f>IF(OR(取組項目!F35=$G$8,取組項目!F35=$G$9),$G$8,"-")</f>
        <v>-</v>
      </c>
    </row>
    <row r="40" spans="1:7" ht="38.25" thickBot="1" x14ac:dyDescent="0.45">
      <c r="A40" s="694" t="s">
        <v>282</v>
      </c>
      <c r="B40" s="156" t="s">
        <v>275</v>
      </c>
      <c r="C40" s="157">
        <v>29</v>
      </c>
      <c r="D40" s="158" t="s">
        <v>281</v>
      </c>
      <c r="E40" s="171" t="str">
        <f>取組項目!F36&amp;""</f>
        <v/>
      </c>
      <c r="F40" s="273" t="s">
        <v>245</v>
      </c>
      <c r="G40" s="1" t="str">
        <f>IF(OR(取組項目!F36=$G$8,取組項目!F36=$G$9),$G$8,"-")</f>
        <v>-</v>
      </c>
    </row>
    <row r="41" spans="1:7" ht="39" customHeight="1" thickBot="1" x14ac:dyDescent="0.45">
      <c r="A41" s="683"/>
      <c r="B41" s="141"/>
      <c r="C41" s="18">
        <v>30</v>
      </c>
      <c r="D41" s="155" t="s">
        <v>280</v>
      </c>
      <c r="E41" s="169" t="str">
        <f>取組項目!F37&amp;""</f>
        <v/>
      </c>
      <c r="F41" s="277" t="s">
        <v>348</v>
      </c>
      <c r="G41" s="1" t="str">
        <f>IF(OR(取組項目!F37=$G$8,取組項目!F37=$G$9),$G$8,"-")</f>
        <v>-</v>
      </c>
    </row>
    <row r="42" spans="1:7" ht="49.5" thickTop="1" thickBot="1" x14ac:dyDescent="0.45">
      <c r="A42" s="683"/>
      <c r="B42" s="161" t="s">
        <v>335</v>
      </c>
      <c r="C42" s="159">
        <v>31</v>
      </c>
      <c r="D42" s="160" t="s">
        <v>279</v>
      </c>
      <c r="E42" s="172" t="str">
        <f>取組項目!F38&amp;""</f>
        <v/>
      </c>
      <c r="F42" s="275"/>
      <c r="G42" s="1" t="str">
        <f>IF(OR(取組項目!F38=$G$8,取組項目!F38=$G$9),$G$8,"-")</f>
        <v>-</v>
      </c>
    </row>
    <row r="43" spans="1:7" ht="57" thickTop="1" x14ac:dyDescent="0.4">
      <c r="A43" s="683"/>
      <c r="B43" s="129"/>
      <c r="C43" s="19">
        <v>32</v>
      </c>
      <c r="D43" s="113" t="s">
        <v>278</v>
      </c>
      <c r="E43" s="170" t="str">
        <f>取組項目!F39&amp;""</f>
        <v/>
      </c>
      <c r="F43" s="272" t="s">
        <v>246</v>
      </c>
      <c r="G43" s="1" t="str">
        <f>IF(OR(取組項目!F39=$G$8,取組項目!F39=$G$9),$G$8,"-")</f>
        <v>-</v>
      </c>
    </row>
    <row r="44" spans="1:7" ht="38.25" thickBot="1" x14ac:dyDescent="0.45">
      <c r="A44" s="683"/>
      <c r="B44" s="120"/>
      <c r="C44" s="17">
        <v>33</v>
      </c>
      <c r="D44" s="154" t="s">
        <v>277</v>
      </c>
      <c r="E44" s="167" t="str">
        <f>取組項目!F40&amp;""</f>
        <v/>
      </c>
      <c r="F44" s="111"/>
      <c r="G44" s="1" t="str">
        <f>IF(OR(取組項目!F40=$G$8,取組項目!F40=$G$9),$G$8,"-")</f>
        <v>-</v>
      </c>
    </row>
    <row r="45" spans="1:7" ht="38.25" thickBot="1" x14ac:dyDescent="0.45">
      <c r="A45" s="682" t="s">
        <v>276</v>
      </c>
      <c r="B45" s="156" t="s">
        <v>275</v>
      </c>
      <c r="C45" s="157">
        <v>34</v>
      </c>
      <c r="D45" s="158" t="s">
        <v>274</v>
      </c>
      <c r="E45" s="171" t="str">
        <f>取組項目!F41&amp;""</f>
        <v/>
      </c>
      <c r="F45" s="273" t="s">
        <v>239</v>
      </c>
      <c r="G45" s="1" t="str">
        <f>IF(OR(取組項目!F41=$G$8,取組項目!F41=$G$9),$G$8,"-")</f>
        <v>-</v>
      </c>
    </row>
    <row r="46" spans="1:7" ht="37.5" x14ac:dyDescent="0.4">
      <c r="A46" s="683"/>
      <c r="B46" s="129"/>
      <c r="C46" s="19">
        <v>35</v>
      </c>
      <c r="D46" s="113" t="s">
        <v>273</v>
      </c>
      <c r="E46" s="167" t="str">
        <f>取組項目!F42&amp;""</f>
        <v/>
      </c>
      <c r="F46" s="276" t="s">
        <v>497</v>
      </c>
      <c r="G46" s="1" t="str">
        <f>IF(OR(取組項目!F42=$G$8,取組項目!F42=$G$9),$G$8,"-")</f>
        <v>-</v>
      </c>
    </row>
    <row r="47" spans="1:7" ht="37.5" x14ac:dyDescent="0.4">
      <c r="A47" s="683"/>
      <c r="B47" s="120"/>
      <c r="C47" s="1">
        <v>36</v>
      </c>
      <c r="D47" s="11" t="s">
        <v>272</v>
      </c>
      <c r="E47" s="167" t="str">
        <f>取組項目!F43&amp;""</f>
        <v/>
      </c>
      <c r="F47" s="47"/>
      <c r="G47" s="1" t="str">
        <f>IF(OR(取組項目!F43=$G$8,取組項目!F43=$G$9),$G$8,"-")</f>
        <v>-</v>
      </c>
    </row>
    <row r="48" spans="1:7" ht="37.5" x14ac:dyDescent="0.4">
      <c r="A48" s="683"/>
      <c r="B48" s="120"/>
      <c r="C48" s="1">
        <v>37</v>
      </c>
      <c r="D48" s="11" t="s">
        <v>271</v>
      </c>
      <c r="E48" s="167" t="str">
        <f>取組項目!F44&amp;""</f>
        <v/>
      </c>
      <c r="F48" s="47"/>
      <c r="G48" s="1" t="str">
        <f>IF(OR(取組項目!F44=$G$8,取組項目!F44=$G$9),$G$8,"-")</f>
        <v>-</v>
      </c>
    </row>
    <row r="49" spans="1:7" x14ac:dyDescent="0.4">
      <c r="A49" s="683"/>
      <c r="B49" s="152"/>
      <c r="C49" s="1">
        <v>38</v>
      </c>
      <c r="D49" s="11" t="s">
        <v>270</v>
      </c>
      <c r="E49" s="167" t="str">
        <f>取組項目!F45&amp;""</f>
        <v/>
      </c>
      <c r="F49" s="47"/>
      <c r="G49" s="1" t="str">
        <f>IF(OR(取組項目!F45=$G$8,取組項目!F45=$G$9),$G$8,"-")</f>
        <v>-</v>
      </c>
    </row>
    <row r="50" spans="1:7" ht="37.5" x14ac:dyDescent="0.4">
      <c r="A50" s="683"/>
      <c r="B50" s="120"/>
      <c r="C50" s="1">
        <v>39</v>
      </c>
      <c r="D50" s="11" t="s">
        <v>269</v>
      </c>
      <c r="E50" s="167" t="str">
        <f>取組項目!F46&amp;""</f>
        <v/>
      </c>
      <c r="F50" s="47"/>
      <c r="G50" s="1" t="str">
        <f>IF(OR(取組項目!F46=$G$8,取組項目!F46=$G$9),$G$8,"-")</f>
        <v>-</v>
      </c>
    </row>
    <row r="51" spans="1:7" ht="56.25" x14ac:dyDescent="0.4">
      <c r="A51" s="683"/>
      <c r="B51" s="120"/>
      <c r="C51" s="1">
        <v>40</v>
      </c>
      <c r="D51" s="11" t="s">
        <v>268</v>
      </c>
      <c r="E51" s="167" t="str">
        <f>取組項目!F47&amp;""</f>
        <v/>
      </c>
      <c r="F51" s="47"/>
      <c r="G51" s="1" t="str">
        <f>IF(OR(取組項目!F47=$G$8,取組項目!F47=$G$9),$G$8,"-")</f>
        <v>-</v>
      </c>
    </row>
    <row r="52" spans="1:7" ht="56.25" x14ac:dyDescent="0.4">
      <c r="A52" s="683" t="s">
        <v>267</v>
      </c>
      <c r="B52" s="120"/>
      <c r="C52" s="1">
        <v>41</v>
      </c>
      <c r="D52" s="11" t="s">
        <v>266</v>
      </c>
      <c r="E52" s="167" t="str">
        <f>取組項目!F48&amp;""</f>
        <v/>
      </c>
      <c r="F52" s="47"/>
      <c r="G52" s="1" t="str">
        <f>IF(OR(取組項目!F48=$G$8,取組項目!F48=$G$9),$G$8,"-")</f>
        <v>-</v>
      </c>
    </row>
    <row r="53" spans="1:7" ht="37.5" x14ac:dyDescent="0.4">
      <c r="A53" s="683"/>
      <c r="B53" s="120"/>
      <c r="C53" s="1">
        <v>42</v>
      </c>
      <c r="D53" s="11" t="s">
        <v>264</v>
      </c>
      <c r="E53" s="167" t="str">
        <f>取組項目!F49&amp;""</f>
        <v/>
      </c>
      <c r="F53" s="47"/>
      <c r="G53" s="1" t="str">
        <f>IF(OR(取組項目!F49=$G$8,取組項目!F49=$G$9),$G$8,"-")</f>
        <v>-</v>
      </c>
    </row>
    <row r="54" spans="1:7" ht="37.5" x14ac:dyDescent="0.4">
      <c r="A54" s="683"/>
      <c r="B54" s="120"/>
      <c r="C54" s="1">
        <v>43</v>
      </c>
      <c r="D54" s="11" t="s">
        <v>263</v>
      </c>
      <c r="E54" s="167" t="str">
        <f>取組項目!F50&amp;""</f>
        <v/>
      </c>
      <c r="F54" s="47"/>
      <c r="G54" s="1" t="str">
        <f>IF(OR(取組項目!F50=$G$8,取組項目!F50=$G$9),$G$8,"-")</f>
        <v>-</v>
      </c>
    </row>
    <row r="55" spans="1:7" ht="56.25" x14ac:dyDescent="0.4">
      <c r="A55" s="683"/>
      <c r="B55" s="120"/>
      <c r="C55" s="1">
        <v>44</v>
      </c>
      <c r="D55" s="11" t="s">
        <v>262</v>
      </c>
      <c r="E55" s="167" t="str">
        <f>取組項目!F51&amp;""</f>
        <v/>
      </c>
      <c r="F55" s="47"/>
      <c r="G55" s="1" t="str">
        <f>IF(OR(取組項目!F51=$G$8,取組項目!F51=$G$9),$G$8,"-")</f>
        <v>-</v>
      </c>
    </row>
    <row r="56" spans="1:7" ht="56.25" x14ac:dyDescent="0.4">
      <c r="A56" s="683"/>
      <c r="B56" s="120"/>
      <c r="C56" s="1">
        <v>45</v>
      </c>
      <c r="D56" s="11" t="s">
        <v>261</v>
      </c>
      <c r="E56" s="167" t="str">
        <f>取組項目!F52&amp;""</f>
        <v/>
      </c>
      <c r="F56" s="47"/>
      <c r="G56" s="1" t="str">
        <f>IF(OR(取組項目!F52=$G$8,取組項目!F52=$G$9),$G$8,"-")</f>
        <v>-</v>
      </c>
    </row>
    <row r="57" spans="1:7" ht="37.5" x14ac:dyDescent="0.4">
      <c r="A57" s="683"/>
      <c r="B57" s="120"/>
      <c r="C57" s="1">
        <v>46</v>
      </c>
      <c r="D57" s="11" t="s">
        <v>260</v>
      </c>
      <c r="E57" s="167" t="str">
        <f>取組項目!F53&amp;""</f>
        <v/>
      </c>
      <c r="F57" s="47"/>
      <c r="G57" s="1" t="str">
        <f>IF(OR(取組項目!F53=$G$8,取組項目!F53=$G$9),$G$8,"-")</f>
        <v>-</v>
      </c>
    </row>
    <row r="58" spans="1:7" ht="37.5" x14ac:dyDescent="0.4">
      <c r="A58" s="683" t="s">
        <v>259</v>
      </c>
      <c r="B58" s="120"/>
      <c r="C58" s="1">
        <v>47</v>
      </c>
      <c r="D58" s="11" t="s">
        <v>258</v>
      </c>
      <c r="E58" s="167" t="str">
        <f>取組項目!F54&amp;""</f>
        <v/>
      </c>
      <c r="F58" s="47"/>
      <c r="G58" s="1" t="str">
        <f>IF(OR(取組項目!F54=$G$8,取組項目!F54=$G$9),$G$8,"-")</f>
        <v>-</v>
      </c>
    </row>
    <row r="59" spans="1:7" ht="56.25" x14ac:dyDescent="0.4">
      <c r="A59" s="683"/>
      <c r="B59" s="120"/>
      <c r="C59" s="1">
        <v>48</v>
      </c>
      <c r="D59" s="11" t="s">
        <v>257</v>
      </c>
      <c r="E59" s="167" t="str">
        <f>取組項目!F55&amp;""</f>
        <v/>
      </c>
      <c r="F59" s="47"/>
      <c r="G59" s="1" t="str">
        <f>IF(OR(取組項目!F55=$G$8,取組項目!F55=$G$9),$G$8,"-")</f>
        <v>-</v>
      </c>
    </row>
    <row r="60" spans="1:7" ht="37.5" x14ac:dyDescent="0.4">
      <c r="A60" s="104" t="s">
        <v>256</v>
      </c>
      <c r="B60" s="120"/>
      <c r="C60" s="1">
        <v>49</v>
      </c>
      <c r="D60" s="11" t="s">
        <v>255</v>
      </c>
      <c r="E60" s="167" t="str">
        <f>取組項目!F56&amp;""</f>
        <v/>
      </c>
      <c r="F60" s="47"/>
      <c r="G60" s="1" t="str">
        <f>IF(OR(取組項目!F56=$G$8,取組項目!F56=$G$9),$G$8,"-")</f>
        <v>-</v>
      </c>
    </row>
    <row r="61" spans="1:7" ht="37.5" x14ac:dyDescent="0.4">
      <c r="A61" s="104" t="s">
        <v>254</v>
      </c>
      <c r="B61" s="120"/>
      <c r="C61" s="1">
        <v>50</v>
      </c>
      <c r="D61" s="11" t="s">
        <v>253</v>
      </c>
      <c r="E61" s="167" t="str">
        <f>取組項目!F57&amp;""</f>
        <v/>
      </c>
      <c r="F61" s="47" t="s">
        <v>332</v>
      </c>
      <c r="G61" s="1" t="str">
        <f>IF(OR(取組項目!F57=$G$8,取組項目!F57=$G$9),$G$8,"-")</f>
        <v>-</v>
      </c>
    </row>
  </sheetData>
  <sheetProtection algorithmName="SHA-512" hashValue="6kv5+DNTr6+uTLO2Fvkhmjm158tFTErsKeiPlbONphqdSGLmGEeWMptNZDFSQg52DVLbJqB2juSeZyHXeQH3eQ==" saltValue="6zvgA/9o6+MrJ+pTs1r+6g==" spinCount="100000" sheet="1" objects="1" scenarios="1" formatCells="0" formatColumns="0" formatRows="0"/>
  <mergeCells count="8">
    <mergeCell ref="A45:A51"/>
    <mergeCell ref="A52:A57"/>
    <mergeCell ref="A58:A59"/>
    <mergeCell ref="D8:F8"/>
    <mergeCell ref="A12:A21"/>
    <mergeCell ref="A22:A29"/>
    <mergeCell ref="A30:A39"/>
    <mergeCell ref="A40:A44"/>
  </mergeCells>
  <phoneticPr fontId="5"/>
  <conditionalFormatting sqref="E12:E61">
    <cfRule type="cellIs" dxfId="6" priority="1" operator="equal">
      <formula>"未実施"</formula>
    </cfRule>
    <cfRule type="cellIs" dxfId="5" priority="2" operator="equal">
      <formula>"実施済み"</formula>
    </cfRule>
  </conditionalFormatting>
  <dataValidations disablePrompts="1" count="2">
    <dataValidation type="list" allowBlank="1" showInputMessage="1" showErrorMessage="1" sqref="G9" xr:uid="{00000000-0002-0000-0D00-000000000000}">
      <formula1>"　,○,●"</formula1>
    </dataValidation>
    <dataValidation type="list" allowBlank="1" showInputMessage="1" showErrorMessage="1" sqref="G8" xr:uid="{00000000-0002-0000-0D00-000001000000}">
      <formula1>"　,○"</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D17"/>
  <sheetViews>
    <sheetView view="pageBreakPreview" zoomScale="60" zoomScaleNormal="100" workbookViewId="0">
      <selection activeCell="D1" sqref="D1"/>
    </sheetView>
  </sheetViews>
  <sheetFormatPr defaultRowHeight="18.75" x14ac:dyDescent="0.4"/>
  <cols>
    <col min="2" max="2" width="25.625" style="31" customWidth="1"/>
    <col min="3" max="3" width="38.5" customWidth="1"/>
    <col min="4" max="4" width="55.5" customWidth="1"/>
  </cols>
  <sheetData>
    <row r="1" spans="2:4" x14ac:dyDescent="0.4">
      <c r="B1" s="34" t="s">
        <v>157</v>
      </c>
    </row>
    <row r="2" spans="2:4" x14ac:dyDescent="0.4">
      <c r="B2" s="31" t="s">
        <v>139</v>
      </c>
      <c r="C2" t="s">
        <v>152</v>
      </c>
      <c r="D2" t="s">
        <v>153</v>
      </c>
    </row>
    <row r="3" spans="2:4" ht="56.25" x14ac:dyDescent="0.4">
      <c r="B3" s="31" t="s">
        <v>66</v>
      </c>
      <c r="C3" s="32" t="s">
        <v>70</v>
      </c>
      <c r="D3" s="32" t="s">
        <v>250</v>
      </c>
    </row>
    <row r="4" spans="2:4" ht="56.25" x14ac:dyDescent="0.4">
      <c r="B4" s="31" t="s">
        <v>148</v>
      </c>
      <c r="C4" s="32"/>
      <c r="D4" s="32" t="s">
        <v>249</v>
      </c>
    </row>
    <row r="5" spans="2:4" ht="75" x14ac:dyDescent="0.4">
      <c r="B5" s="31" t="s">
        <v>149</v>
      </c>
      <c r="C5" s="32" t="s">
        <v>154</v>
      </c>
      <c r="D5" s="32" t="s">
        <v>155</v>
      </c>
    </row>
    <row r="6" spans="2:4" ht="37.5" x14ac:dyDescent="0.4">
      <c r="B6" s="31" t="s">
        <v>150</v>
      </c>
      <c r="C6" s="32" t="s">
        <v>67</v>
      </c>
      <c r="D6" s="32" t="s">
        <v>156</v>
      </c>
    </row>
    <row r="7" spans="2:4" ht="56.25" x14ac:dyDescent="0.4">
      <c r="B7" s="31" t="s">
        <v>71</v>
      </c>
      <c r="C7" s="32"/>
      <c r="D7" s="32" t="s">
        <v>237</v>
      </c>
    </row>
    <row r="8" spans="2:4" ht="56.25" x14ac:dyDescent="0.4">
      <c r="B8" s="31" t="s">
        <v>238</v>
      </c>
      <c r="C8" s="32" t="s">
        <v>151</v>
      </c>
      <c r="D8" s="32" t="s">
        <v>239</v>
      </c>
    </row>
    <row r="9" spans="2:4" ht="56.25" x14ac:dyDescent="0.4">
      <c r="B9" s="31" t="s">
        <v>72</v>
      </c>
      <c r="C9" s="32" t="s">
        <v>73</v>
      </c>
      <c r="D9" s="32" t="s">
        <v>248</v>
      </c>
    </row>
    <row r="10" spans="2:4" ht="56.25" x14ac:dyDescent="0.4">
      <c r="B10" s="31" t="s">
        <v>158</v>
      </c>
      <c r="D10" s="30" t="s">
        <v>247</v>
      </c>
    </row>
    <row r="11" spans="2:4" ht="56.25" x14ac:dyDescent="0.4">
      <c r="B11" s="31" t="s">
        <v>74</v>
      </c>
      <c r="C11" s="32" t="s">
        <v>159</v>
      </c>
      <c r="D11" s="32" t="s">
        <v>240</v>
      </c>
    </row>
    <row r="12" spans="2:4" ht="56.25" x14ac:dyDescent="0.4">
      <c r="B12" s="31" t="s">
        <v>146</v>
      </c>
      <c r="C12" s="32" t="s">
        <v>144</v>
      </c>
      <c r="D12" s="32" t="s">
        <v>241</v>
      </c>
    </row>
    <row r="13" spans="2:4" ht="56.25" x14ac:dyDescent="0.4">
      <c r="B13" s="31" t="s">
        <v>147</v>
      </c>
      <c r="C13" s="32" t="s">
        <v>145</v>
      </c>
      <c r="D13" s="32" t="s">
        <v>241</v>
      </c>
    </row>
    <row r="14" spans="2:4" ht="75" x14ac:dyDescent="0.4">
      <c r="B14" s="31" t="s">
        <v>64</v>
      </c>
      <c r="C14" s="32"/>
      <c r="D14" s="32" t="s">
        <v>242</v>
      </c>
    </row>
    <row r="15" spans="2:4" ht="56.25" x14ac:dyDescent="0.4">
      <c r="B15" s="31" t="s">
        <v>68</v>
      </c>
      <c r="C15" s="32" t="s">
        <v>69</v>
      </c>
      <c r="D15" s="32" t="s">
        <v>244</v>
      </c>
    </row>
    <row r="16" spans="2:4" ht="56.25" x14ac:dyDescent="0.4">
      <c r="B16" s="33" t="s">
        <v>160</v>
      </c>
      <c r="C16" s="33"/>
      <c r="D16" s="33" t="s">
        <v>245</v>
      </c>
    </row>
    <row r="17" spans="2:4" ht="56.25" x14ac:dyDescent="0.4">
      <c r="B17" s="31" t="s">
        <v>161</v>
      </c>
      <c r="D17" s="30" t="s">
        <v>246</v>
      </c>
    </row>
  </sheetData>
  <phoneticPr fontId="5"/>
  <hyperlinks>
    <hyperlink ref="B1" r:id="rId1" xr:uid="{00000000-0004-0000-0E00-000000000000}"/>
  </hyperlinks>
  <pageMargins left="0.7" right="0.7" top="0.75" bottom="0.75" header="0.3" footer="0.3"/>
  <pageSetup paperSize="9" scale="93"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0"/>
  <sheetViews>
    <sheetView view="pageBreakPreview" zoomScale="85" zoomScaleNormal="100" zoomScaleSheetLayoutView="85" workbookViewId="0">
      <selection activeCell="M18" sqref="M18"/>
    </sheetView>
  </sheetViews>
  <sheetFormatPr defaultColWidth="8.625" defaultRowHeight="18.75" x14ac:dyDescent="0.4"/>
  <cols>
    <col min="1" max="1" width="12.5" style="4" customWidth="1"/>
    <col min="2" max="2" width="25.125" style="4" customWidth="1"/>
    <col min="3" max="3" width="8.625" style="4"/>
    <col min="4" max="4" width="12.625" style="4" customWidth="1"/>
    <col min="5" max="5" width="12.125" style="4" customWidth="1"/>
    <col min="6" max="7" width="8.625" style="4"/>
    <col min="8" max="8" width="14.625" style="336" customWidth="1"/>
    <col min="9" max="9" width="11.875" style="4" customWidth="1"/>
    <col min="10" max="10" width="4.125" style="4" customWidth="1"/>
    <col min="11" max="16384" width="8.625" style="4"/>
  </cols>
  <sheetData>
    <row r="1" spans="1:9" x14ac:dyDescent="0.4">
      <c r="A1" s="325" t="s">
        <v>53</v>
      </c>
      <c r="B1" s="326">
        <v>1</v>
      </c>
      <c r="C1" s="326">
        <v>2</v>
      </c>
      <c r="D1" s="326">
        <v>3</v>
      </c>
      <c r="E1" s="326">
        <v>4</v>
      </c>
      <c r="F1" s="326">
        <v>5</v>
      </c>
      <c r="G1" s="326">
        <v>6</v>
      </c>
      <c r="H1" s="326">
        <v>7</v>
      </c>
      <c r="I1" s="326">
        <v>8</v>
      </c>
    </row>
    <row r="2" spans="1:9" ht="27" x14ac:dyDescent="0.4">
      <c r="A2" s="4" t="s">
        <v>75</v>
      </c>
      <c r="B2" s="327" t="s">
        <v>20</v>
      </c>
      <c r="C2" s="328" t="s">
        <v>54</v>
      </c>
      <c r="D2" s="329" t="s">
        <v>55</v>
      </c>
      <c r="E2" s="330" t="s">
        <v>56</v>
      </c>
      <c r="F2" s="331" t="s">
        <v>57</v>
      </c>
      <c r="G2" s="329" t="s">
        <v>22</v>
      </c>
      <c r="H2" s="332" t="s">
        <v>21</v>
      </c>
      <c r="I2" s="329" t="s">
        <v>22</v>
      </c>
    </row>
    <row r="3" spans="1:9" ht="18" customHeight="1" x14ac:dyDescent="0.4">
      <c r="B3" s="333" t="s">
        <v>23</v>
      </c>
      <c r="C3" s="6">
        <v>38.200000000000003</v>
      </c>
      <c r="D3" s="8" t="str">
        <f>"MJ/"&amp;E3</f>
        <v>MJ/L</v>
      </c>
      <c r="E3" s="8" t="s">
        <v>6</v>
      </c>
      <c r="F3" s="268">
        <v>1.8700000000000001E-2</v>
      </c>
      <c r="G3" s="5" t="s">
        <v>24</v>
      </c>
      <c r="H3" s="7">
        <f>$C3*F3*44/12/1000</f>
        <v>2.6192466666666667E-3</v>
      </c>
      <c r="I3" s="334" t="str">
        <f>"tCO2/"&amp;E3</f>
        <v>tCO2/L</v>
      </c>
    </row>
    <row r="4" spans="1:9" x14ac:dyDescent="0.4">
      <c r="B4" s="333" t="s">
        <v>25</v>
      </c>
      <c r="C4" s="6">
        <v>35.299999999999997</v>
      </c>
      <c r="D4" s="8" t="str">
        <f t="shared" ref="D4:D10" si="0">"MJ/"&amp;E4</f>
        <v>MJ/L</v>
      </c>
      <c r="E4" s="8" t="s">
        <v>6</v>
      </c>
      <c r="F4" s="268">
        <v>1.84E-2</v>
      </c>
      <c r="G4" s="5" t="s">
        <v>24</v>
      </c>
      <c r="H4" s="7">
        <f t="shared" ref="H4:H25" si="1">$C4*F4*44/12/1000</f>
        <v>2.3815733333333333E-3</v>
      </c>
      <c r="I4" s="334" t="str">
        <f t="shared" ref="I4:I30" si="2">"tCO2/"&amp;E4</f>
        <v>tCO2/L</v>
      </c>
    </row>
    <row r="5" spans="1:9" x14ac:dyDescent="0.4">
      <c r="B5" s="333" t="s">
        <v>26</v>
      </c>
      <c r="C5" s="6">
        <v>34.6</v>
      </c>
      <c r="D5" s="8" t="str">
        <f t="shared" si="0"/>
        <v>MJ/L</v>
      </c>
      <c r="E5" s="8" t="s">
        <v>6</v>
      </c>
      <c r="F5" s="268">
        <v>1.83E-2</v>
      </c>
      <c r="G5" s="5" t="s">
        <v>24</v>
      </c>
      <c r="H5" s="7">
        <f t="shared" si="1"/>
        <v>2.3216600000000001E-3</v>
      </c>
      <c r="I5" s="334" t="str">
        <f t="shared" si="2"/>
        <v>tCO2/L</v>
      </c>
    </row>
    <row r="6" spans="1:9" x14ac:dyDescent="0.4">
      <c r="B6" s="333" t="s">
        <v>27</v>
      </c>
      <c r="C6" s="6">
        <v>33.6</v>
      </c>
      <c r="D6" s="8" t="str">
        <f t="shared" si="0"/>
        <v>MJ/L</v>
      </c>
      <c r="E6" s="8" t="s">
        <v>6</v>
      </c>
      <c r="F6" s="268">
        <v>1.8200000000000001E-2</v>
      </c>
      <c r="G6" s="5" t="s">
        <v>24</v>
      </c>
      <c r="H6" s="7">
        <f t="shared" si="1"/>
        <v>2.2422400000000004E-3</v>
      </c>
      <c r="I6" s="334" t="str">
        <f t="shared" si="2"/>
        <v>tCO2/L</v>
      </c>
    </row>
    <row r="7" spans="1:9" x14ac:dyDescent="0.4">
      <c r="B7" s="333" t="s">
        <v>28</v>
      </c>
      <c r="C7" s="6">
        <v>36.700000000000003</v>
      </c>
      <c r="D7" s="8" t="str">
        <f t="shared" si="0"/>
        <v>MJ/L</v>
      </c>
      <c r="E7" s="8" t="s">
        <v>6</v>
      </c>
      <c r="F7" s="268">
        <v>1.8499999999999999E-2</v>
      </c>
      <c r="G7" s="5" t="s">
        <v>24</v>
      </c>
      <c r="H7" s="7">
        <f t="shared" si="1"/>
        <v>2.4894833333333338E-3</v>
      </c>
      <c r="I7" s="334" t="str">
        <f t="shared" si="2"/>
        <v>tCO2/L</v>
      </c>
    </row>
    <row r="8" spans="1:9" x14ac:dyDescent="0.4">
      <c r="B8" s="333" t="s">
        <v>29</v>
      </c>
      <c r="C8" s="6">
        <v>37.700000000000003</v>
      </c>
      <c r="D8" s="8" t="str">
        <f t="shared" si="0"/>
        <v>MJ/L</v>
      </c>
      <c r="E8" s="8" t="s">
        <v>6</v>
      </c>
      <c r="F8" s="268">
        <v>1.8700000000000001E-2</v>
      </c>
      <c r="G8" s="5" t="s">
        <v>24</v>
      </c>
      <c r="H8" s="7">
        <f t="shared" si="1"/>
        <v>2.584963333333334E-3</v>
      </c>
      <c r="I8" s="334" t="str">
        <f t="shared" si="2"/>
        <v>tCO2/L</v>
      </c>
    </row>
    <row r="9" spans="1:9" x14ac:dyDescent="0.4">
      <c r="B9" s="333" t="s">
        <v>30</v>
      </c>
      <c r="C9" s="6">
        <v>39.1</v>
      </c>
      <c r="D9" s="8" t="str">
        <f t="shared" si="0"/>
        <v>MJ/L</v>
      </c>
      <c r="E9" s="8" t="s">
        <v>6</v>
      </c>
      <c r="F9" s="268">
        <v>1.89E-2</v>
      </c>
      <c r="G9" s="5" t="s">
        <v>24</v>
      </c>
      <c r="H9" s="7">
        <f t="shared" si="1"/>
        <v>2.7096300000000002E-3</v>
      </c>
      <c r="I9" s="334" t="str">
        <f t="shared" si="2"/>
        <v>tCO2/L</v>
      </c>
    </row>
    <row r="10" spans="1:9" x14ac:dyDescent="0.4">
      <c r="B10" s="333" t="s">
        <v>31</v>
      </c>
      <c r="C10" s="6">
        <v>41.9</v>
      </c>
      <c r="D10" s="8" t="str">
        <f t="shared" si="0"/>
        <v>MJ/L</v>
      </c>
      <c r="E10" s="8" t="s">
        <v>6</v>
      </c>
      <c r="F10" s="268">
        <v>1.95E-2</v>
      </c>
      <c r="G10" s="5" t="s">
        <v>24</v>
      </c>
      <c r="H10" s="7">
        <f t="shared" si="1"/>
        <v>2.9958499999999996E-3</v>
      </c>
      <c r="I10" s="334" t="str">
        <f t="shared" si="2"/>
        <v>tCO2/L</v>
      </c>
    </row>
    <row r="11" spans="1:9" x14ac:dyDescent="0.4">
      <c r="B11" s="333" t="s">
        <v>32</v>
      </c>
      <c r="C11" s="6">
        <v>40.9</v>
      </c>
      <c r="D11" s="8" t="str">
        <f>"MJ/"&amp;E11</f>
        <v>MJ/kg</v>
      </c>
      <c r="E11" s="8" t="s">
        <v>91</v>
      </c>
      <c r="F11" s="268">
        <v>2.0799999999999999E-2</v>
      </c>
      <c r="G11" s="5" t="s">
        <v>24</v>
      </c>
      <c r="H11" s="7">
        <f t="shared" si="1"/>
        <v>3.1193066666666668E-3</v>
      </c>
      <c r="I11" s="334" t="str">
        <f t="shared" si="2"/>
        <v>tCO2/kg</v>
      </c>
    </row>
    <row r="12" spans="1:9" x14ac:dyDescent="0.4">
      <c r="B12" s="333" t="s">
        <v>33</v>
      </c>
      <c r="C12" s="6">
        <v>29.9</v>
      </c>
      <c r="D12" s="8" t="str">
        <f t="shared" ref="D12:D30" si="3">"MJ/"&amp;E12</f>
        <v>MJ/kg</v>
      </c>
      <c r="E12" s="8" t="s">
        <v>91</v>
      </c>
      <c r="F12" s="268">
        <v>2.5399999999999999E-2</v>
      </c>
      <c r="G12" s="5" t="s">
        <v>24</v>
      </c>
      <c r="H12" s="7">
        <f t="shared" si="1"/>
        <v>2.7846866666666661E-3</v>
      </c>
      <c r="I12" s="334" t="str">
        <f t="shared" si="2"/>
        <v>tCO2/kg</v>
      </c>
    </row>
    <row r="13" spans="1:9" x14ac:dyDescent="0.4">
      <c r="B13" s="333" t="s">
        <v>34</v>
      </c>
      <c r="C13" s="6">
        <v>50.8</v>
      </c>
      <c r="D13" s="8" t="str">
        <f t="shared" si="3"/>
        <v>MJ/kg</v>
      </c>
      <c r="E13" s="8" t="s">
        <v>91</v>
      </c>
      <c r="F13" s="268">
        <v>1.61E-2</v>
      </c>
      <c r="G13" s="5" t="s">
        <v>24</v>
      </c>
      <c r="H13" s="7">
        <f t="shared" si="1"/>
        <v>2.998893333333333E-3</v>
      </c>
      <c r="I13" s="334" t="str">
        <f t="shared" si="2"/>
        <v>tCO2/kg</v>
      </c>
    </row>
    <row r="14" spans="1:9" x14ac:dyDescent="0.4">
      <c r="B14" s="333" t="s">
        <v>35</v>
      </c>
      <c r="C14" s="6">
        <v>44.9</v>
      </c>
      <c r="D14" s="8" t="str">
        <f t="shared" si="3"/>
        <v>MJ/㎥</v>
      </c>
      <c r="E14" s="8" t="s">
        <v>90</v>
      </c>
      <c r="F14" s="268">
        <v>1.4200000000000001E-2</v>
      </c>
      <c r="G14" s="5" t="s">
        <v>24</v>
      </c>
      <c r="H14" s="7">
        <f t="shared" si="1"/>
        <v>2.3377933333333335E-3</v>
      </c>
      <c r="I14" s="334" t="str">
        <f t="shared" si="2"/>
        <v>tCO2/㎥</v>
      </c>
    </row>
    <row r="15" spans="1:9" ht="18" customHeight="1" x14ac:dyDescent="0.4">
      <c r="B15" s="333" t="s">
        <v>36</v>
      </c>
      <c r="C15" s="6">
        <v>54.6</v>
      </c>
      <c r="D15" s="8" t="str">
        <f t="shared" si="3"/>
        <v>MJ/kg</v>
      </c>
      <c r="E15" s="8" t="s">
        <v>91</v>
      </c>
      <c r="F15" s="268">
        <v>1.35E-2</v>
      </c>
      <c r="G15" s="5" t="s">
        <v>24</v>
      </c>
      <c r="H15" s="7">
        <f t="shared" si="1"/>
        <v>2.7027000000000002E-3</v>
      </c>
      <c r="I15" s="334" t="str">
        <f t="shared" si="2"/>
        <v>tCO2/kg</v>
      </c>
    </row>
    <row r="16" spans="1:9" x14ac:dyDescent="0.4">
      <c r="B16" s="333" t="s">
        <v>37</v>
      </c>
      <c r="C16" s="6">
        <v>43.5</v>
      </c>
      <c r="D16" s="8" t="str">
        <f t="shared" si="3"/>
        <v>MJ/㎥</v>
      </c>
      <c r="E16" s="8" t="s">
        <v>90</v>
      </c>
      <c r="F16" s="268">
        <v>1.3899999999999999E-2</v>
      </c>
      <c r="G16" s="5" t="s">
        <v>24</v>
      </c>
      <c r="H16" s="7">
        <f t="shared" si="1"/>
        <v>2.2170499999999999E-3</v>
      </c>
      <c r="I16" s="334" t="str">
        <f t="shared" si="2"/>
        <v>tCO2/㎥</v>
      </c>
    </row>
    <row r="17" spans="2:9" x14ac:dyDescent="0.4">
      <c r="B17" s="333" t="s">
        <v>38</v>
      </c>
      <c r="C17" s="6">
        <v>29</v>
      </c>
      <c r="D17" s="8" t="str">
        <f t="shared" si="3"/>
        <v>MJ/kg</v>
      </c>
      <c r="E17" s="8" t="s">
        <v>91</v>
      </c>
      <c r="F17" s="268">
        <v>2.4500000000000001E-2</v>
      </c>
      <c r="G17" s="5" t="s">
        <v>24</v>
      </c>
      <c r="H17" s="7">
        <f t="shared" si="1"/>
        <v>2.6051666666666667E-3</v>
      </c>
      <c r="I17" s="334" t="str">
        <f t="shared" si="2"/>
        <v>tCO2/kg</v>
      </c>
    </row>
    <row r="18" spans="2:9" x14ac:dyDescent="0.4">
      <c r="B18" s="333" t="s">
        <v>39</v>
      </c>
      <c r="C18" s="6">
        <v>25.7</v>
      </c>
      <c r="D18" s="8" t="str">
        <f t="shared" si="3"/>
        <v>MJ/kg</v>
      </c>
      <c r="E18" s="8" t="s">
        <v>91</v>
      </c>
      <c r="F18" s="268">
        <v>2.47E-2</v>
      </c>
      <c r="G18" s="5" t="s">
        <v>24</v>
      </c>
      <c r="H18" s="7">
        <f t="shared" si="1"/>
        <v>2.3275633333333335E-3</v>
      </c>
      <c r="I18" s="334" t="str">
        <f t="shared" si="2"/>
        <v>tCO2/kg</v>
      </c>
    </row>
    <row r="19" spans="2:9" x14ac:dyDescent="0.4">
      <c r="B19" s="333" t="s">
        <v>40</v>
      </c>
      <c r="C19" s="6">
        <v>26.9</v>
      </c>
      <c r="D19" s="8" t="str">
        <f t="shared" si="3"/>
        <v>MJ/kg</v>
      </c>
      <c r="E19" s="8" t="s">
        <v>91</v>
      </c>
      <c r="F19" s="268">
        <v>2.5499999999999998E-2</v>
      </c>
      <c r="G19" s="5" t="s">
        <v>24</v>
      </c>
      <c r="H19" s="7">
        <f t="shared" si="1"/>
        <v>2.5151499999999999E-3</v>
      </c>
      <c r="I19" s="334" t="str">
        <f t="shared" si="2"/>
        <v>tCO2/kg</v>
      </c>
    </row>
    <row r="20" spans="2:9" x14ac:dyDescent="0.4">
      <c r="B20" s="333" t="s">
        <v>41</v>
      </c>
      <c r="C20" s="6">
        <v>29.4</v>
      </c>
      <c r="D20" s="8" t="str">
        <f t="shared" si="3"/>
        <v>MJ/kg</v>
      </c>
      <c r="E20" s="8" t="s">
        <v>91</v>
      </c>
      <c r="F20" s="268">
        <v>2.9399999999999999E-2</v>
      </c>
      <c r="G20" s="5" t="s">
        <v>24</v>
      </c>
      <c r="H20" s="7">
        <f t="shared" si="1"/>
        <v>3.1693199999999993E-3</v>
      </c>
      <c r="I20" s="334" t="str">
        <f t="shared" si="2"/>
        <v>tCO2/kg</v>
      </c>
    </row>
    <row r="21" spans="2:9" x14ac:dyDescent="0.4">
      <c r="B21" s="333" t="s">
        <v>42</v>
      </c>
      <c r="C21" s="6">
        <v>37.299999999999997</v>
      </c>
      <c r="D21" s="8" t="str">
        <f t="shared" si="3"/>
        <v>MJ/kg</v>
      </c>
      <c r="E21" s="8" t="s">
        <v>91</v>
      </c>
      <c r="F21" s="268">
        <v>2.0899999999999998E-2</v>
      </c>
      <c r="G21" s="5" t="s">
        <v>24</v>
      </c>
      <c r="H21" s="7">
        <f t="shared" si="1"/>
        <v>2.8584233333333329E-3</v>
      </c>
      <c r="I21" s="334" t="str">
        <f t="shared" si="2"/>
        <v>tCO2/kg</v>
      </c>
    </row>
    <row r="22" spans="2:9" x14ac:dyDescent="0.4">
      <c r="B22" s="333" t="s">
        <v>43</v>
      </c>
      <c r="C22" s="6">
        <v>21.1</v>
      </c>
      <c r="D22" s="8" t="str">
        <f t="shared" si="3"/>
        <v>MJ/㎥</v>
      </c>
      <c r="E22" s="8" t="s">
        <v>90</v>
      </c>
      <c r="F22" s="268">
        <v>1.0999999999999999E-2</v>
      </c>
      <c r="G22" s="5" t="s">
        <v>24</v>
      </c>
      <c r="H22" s="7">
        <f t="shared" si="1"/>
        <v>8.5103333333333344E-4</v>
      </c>
      <c r="I22" s="334" t="str">
        <f t="shared" si="2"/>
        <v>tCO2/㎥</v>
      </c>
    </row>
    <row r="23" spans="2:9" x14ac:dyDescent="0.4">
      <c r="B23" s="333" t="s">
        <v>44</v>
      </c>
      <c r="C23" s="269">
        <v>3.41</v>
      </c>
      <c r="D23" s="8" t="str">
        <f t="shared" si="3"/>
        <v>MJ/㎥</v>
      </c>
      <c r="E23" s="8" t="s">
        <v>90</v>
      </c>
      <c r="F23" s="268">
        <v>2.63E-2</v>
      </c>
      <c r="G23" s="5" t="s">
        <v>24</v>
      </c>
      <c r="H23" s="7">
        <f t="shared" si="1"/>
        <v>3.2883766666666665E-4</v>
      </c>
      <c r="I23" s="334" t="str">
        <f t="shared" si="2"/>
        <v>tCO2/㎥</v>
      </c>
    </row>
    <row r="24" spans="2:9" x14ac:dyDescent="0.4">
      <c r="B24" s="333" t="s">
        <v>45</v>
      </c>
      <c r="C24" s="269">
        <v>8.41</v>
      </c>
      <c r="D24" s="8" t="str">
        <f t="shared" si="3"/>
        <v>MJ/㎥</v>
      </c>
      <c r="E24" s="8" t="s">
        <v>90</v>
      </c>
      <c r="F24" s="268">
        <v>3.8399999999999997E-2</v>
      </c>
      <c r="G24" s="214" t="s">
        <v>24</v>
      </c>
      <c r="H24" s="215">
        <f t="shared" si="1"/>
        <v>1.1841279999999998E-3</v>
      </c>
      <c r="I24" s="334" t="str">
        <f t="shared" si="2"/>
        <v>tCO2/㎥</v>
      </c>
    </row>
    <row r="25" spans="2:9" x14ac:dyDescent="0.4">
      <c r="B25" s="333" t="s">
        <v>46</v>
      </c>
      <c r="C25" s="6">
        <v>45</v>
      </c>
      <c r="D25" s="8" t="str">
        <f t="shared" si="3"/>
        <v>MJ/㎥</v>
      </c>
      <c r="E25" s="8" t="s">
        <v>90</v>
      </c>
      <c r="F25" s="268">
        <v>1.3599999999999999E-2</v>
      </c>
      <c r="G25" s="214" t="s">
        <v>24</v>
      </c>
      <c r="H25" s="215">
        <f t="shared" si="1"/>
        <v>2.2440000000000003E-3</v>
      </c>
      <c r="I25" s="334" t="str">
        <f>"tCO2/"&amp;E25</f>
        <v>tCO2/㎥</v>
      </c>
    </row>
    <row r="26" spans="2:9" x14ac:dyDescent="0.4">
      <c r="B26" s="334" t="s">
        <v>47</v>
      </c>
      <c r="C26" s="269">
        <v>1.02</v>
      </c>
      <c r="D26" s="8" t="str">
        <f>"MJ/"&amp;E26</f>
        <v>MJ/MJ</v>
      </c>
      <c r="E26" s="8" t="s">
        <v>509</v>
      </c>
      <c r="F26" s="270">
        <v>0.06</v>
      </c>
      <c r="G26" s="216" t="s">
        <v>48</v>
      </c>
      <c r="H26" s="215">
        <f>$C26*F26/1000</f>
        <v>6.1199999999999997E-5</v>
      </c>
      <c r="I26" s="334" t="str">
        <f>"tCO2/"&amp;E26</f>
        <v>tCO2/MJ</v>
      </c>
    </row>
    <row r="27" spans="2:9" x14ac:dyDescent="0.4">
      <c r="B27" s="334" t="s">
        <v>49</v>
      </c>
      <c r="C27" s="269">
        <v>1.36</v>
      </c>
      <c r="D27" s="8" t="str">
        <f>"MJ/"&amp;E27</f>
        <v>MJ/MJ</v>
      </c>
      <c r="E27" s="8" t="s">
        <v>509</v>
      </c>
      <c r="F27" s="270">
        <v>5.7000000000000002E-2</v>
      </c>
      <c r="G27" s="216" t="s">
        <v>48</v>
      </c>
      <c r="H27" s="215">
        <f t="shared" ref="H27:H29" si="4">$C27*F27/1000</f>
        <v>7.7520000000000003E-5</v>
      </c>
      <c r="I27" s="334" t="str">
        <f t="shared" si="2"/>
        <v>tCO2/MJ</v>
      </c>
    </row>
    <row r="28" spans="2:9" x14ac:dyDescent="0.4">
      <c r="B28" s="334" t="s">
        <v>50</v>
      </c>
      <c r="C28" s="269">
        <v>1.36</v>
      </c>
      <c r="D28" s="8" t="str">
        <f>"MJ/"&amp;E28</f>
        <v>MJ/MJ</v>
      </c>
      <c r="E28" s="8" t="s">
        <v>509</v>
      </c>
      <c r="F28" s="270">
        <v>5.7000000000000002E-2</v>
      </c>
      <c r="G28" s="216" t="s">
        <v>48</v>
      </c>
      <c r="H28" s="215">
        <f t="shared" si="4"/>
        <v>7.7520000000000003E-5</v>
      </c>
      <c r="I28" s="334" t="str">
        <f t="shared" si="2"/>
        <v>tCO2/MJ</v>
      </c>
    </row>
    <row r="29" spans="2:9" x14ac:dyDescent="0.4">
      <c r="B29" s="334" t="s">
        <v>51</v>
      </c>
      <c r="C29" s="269">
        <v>1.36</v>
      </c>
      <c r="D29" s="8" t="str">
        <f>"MJ/"&amp;E29</f>
        <v>MJ/MJ</v>
      </c>
      <c r="E29" s="8" t="s">
        <v>509</v>
      </c>
      <c r="F29" s="270">
        <v>5.7000000000000002E-2</v>
      </c>
      <c r="G29" s="216" t="s">
        <v>48</v>
      </c>
      <c r="H29" s="215">
        <f t="shared" si="4"/>
        <v>7.7520000000000003E-5</v>
      </c>
      <c r="I29" s="334" t="str">
        <f t="shared" si="2"/>
        <v>tCO2/MJ</v>
      </c>
    </row>
    <row r="30" spans="2:9" ht="18" customHeight="1" x14ac:dyDescent="0.4">
      <c r="B30" s="335" t="s">
        <v>0</v>
      </c>
      <c r="C30" s="269">
        <v>9.9700000000000006</v>
      </c>
      <c r="D30" s="8" t="str">
        <f t="shared" si="3"/>
        <v>MJ/kWh</v>
      </c>
      <c r="E30" s="8" t="s">
        <v>5</v>
      </c>
      <c r="F30" s="9">
        <v>4.5600000000000003E-4</v>
      </c>
      <c r="G30" s="216" t="s">
        <v>52</v>
      </c>
      <c r="H30" s="215">
        <f>F30</f>
        <v>4.5600000000000003E-4</v>
      </c>
      <c r="I30" s="334" t="str">
        <f t="shared" si="2"/>
        <v>tCO2/kWh</v>
      </c>
    </row>
  </sheetData>
  <sheetProtection algorithmName="SHA-512" hashValue="rqOLAMFSOZug96njE1AsrzvDVx/Zs2qX4bojShDSxsN5HYKXN1GBBIFGPJjNy1CJNdWHkUvuteqgnvGsJahYbw==" saltValue="qa53g1HNNeMoshODPx6Btw==" spinCount="100000" sheet="1" objects="1" scenarios="1" formatCells="0" formatColumns="0" formatRows="0"/>
  <phoneticPr fontId="5"/>
  <conditionalFormatting sqref="B30">
    <cfRule type="cellIs" dxfId="4" priority="1" operator="equal">
      <formula>"電気事業者名を選択"</formula>
    </cfRule>
  </conditionalFormatting>
  <conditionalFormatting sqref="C30">
    <cfRule type="containsErrors" dxfId="3" priority="3">
      <formula>ISERROR(C30)</formula>
    </cfRule>
  </conditionalFormatting>
  <conditionalFormatting sqref="F30:G30">
    <cfRule type="containsErrors" dxfId="2" priority="2">
      <formula>ISERROR(F30)</formula>
    </cfRule>
  </conditionalFormatting>
  <pageMargins left="0.7" right="0.7" top="0.75" bottom="0.75" header="0.3" footer="0.3"/>
  <pageSetup paperSize="9" scale="6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F36"/>
  <sheetViews>
    <sheetView workbookViewId="0">
      <selection activeCell="B30" sqref="B30"/>
    </sheetView>
  </sheetViews>
  <sheetFormatPr defaultColWidth="8.625" defaultRowHeight="18.75" x14ac:dyDescent="0.4"/>
  <cols>
    <col min="1" max="16384" width="8.625" style="4"/>
  </cols>
  <sheetData>
    <row r="2" spans="1:3" x14ac:dyDescent="0.4">
      <c r="A2" s="22" t="s">
        <v>99</v>
      </c>
      <c r="B2" s="23" t="s">
        <v>100</v>
      </c>
      <c r="C2"/>
    </row>
    <row r="3" spans="1:3" x14ac:dyDescent="0.4">
      <c r="A3" s="1"/>
      <c r="B3" s="1" t="s">
        <v>96</v>
      </c>
      <c r="C3" s="1" t="s">
        <v>109</v>
      </c>
    </row>
    <row r="4" spans="1:3" x14ac:dyDescent="0.4">
      <c r="A4" s="24" t="s">
        <v>7</v>
      </c>
      <c r="B4" s="174" t="s">
        <v>97</v>
      </c>
      <c r="C4" s="25">
        <f t="shared" ref="C4:C15" si="0">IF($B$2="事務所",IF(B4="冷房",B21,C21),IF(B4="冷房",D21,E21))</f>
        <v>0.16</v>
      </c>
    </row>
    <row r="5" spans="1:3" x14ac:dyDescent="0.4">
      <c r="A5" s="24" t="s">
        <v>9</v>
      </c>
      <c r="B5" s="174" t="s">
        <v>97</v>
      </c>
      <c r="C5" s="25">
        <f t="shared" si="0"/>
        <v>0.25700000000000001</v>
      </c>
    </row>
    <row r="6" spans="1:3" x14ac:dyDescent="0.4">
      <c r="A6" s="24" t="s">
        <v>10</v>
      </c>
      <c r="B6" s="174" t="s">
        <v>97</v>
      </c>
      <c r="C6" s="25">
        <f t="shared" si="0"/>
        <v>0.317</v>
      </c>
    </row>
    <row r="7" spans="1:3" x14ac:dyDescent="0.4">
      <c r="A7" s="24" t="s">
        <v>11</v>
      </c>
      <c r="B7" s="174" t="s">
        <v>97</v>
      </c>
      <c r="C7" s="25">
        <f t="shared" si="0"/>
        <v>0.57299999999999995</v>
      </c>
    </row>
    <row r="8" spans="1:3" x14ac:dyDescent="0.4">
      <c r="A8" s="24" t="s">
        <v>12</v>
      </c>
      <c r="B8" s="174" t="s">
        <v>97</v>
      </c>
      <c r="C8" s="25">
        <f t="shared" si="0"/>
        <v>0.61499999999999999</v>
      </c>
    </row>
    <row r="9" spans="1:3" x14ac:dyDescent="0.4">
      <c r="A9" s="24" t="s">
        <v>13</v>
      </c>
      <c r="B9" s="174" t="s">
        <v>97</v>
      </c>
      <c r="C9" s="25">
        <f t="shared" si="0"/>
        <v>0.48399999999999999</v>
      </c>
    </row>
    <row r="10" spans="1:3" x14ac:dyDescent="0.4">
      <c r="A10" s="24" t="s">
        <v>14</v>
      </c>
      <c r="B10" s="174" t="s">
        <v>97</v>
      </c>
      <c r="C10" s="25">
        <f t="shared" si="0"/>
        <v>0.23499999999999999</v>
      </c>
    </row>
    <row r="11" spans="1:3" x14ac:dyDescent="0.4">
      <c r="A11" s="24" t="s">
        <v>15</v>
      </c>
      <c r="B11" s="174" t="s">
        <v>97</v>
      </c>
      <c r="C11" s="25">
        <f t="shared" si="0"/>
        <v>0.13600000000000001</v>
      </c>
    </row>
    <row r="12" spans="1:3" x14ac:dyDescent="0.4">
      <c r="A12" s="24" t="s">
        <v>16</v>
      </c>
      <c r="B12" s="174" t="s">
        <v>98</v>
      </c>
      <c r="C12" s="25">
        <f t="shared" si="0"/>
        <v>0.151</v>
      </c>
    </row>
    <row r="13" spans="1:3" x14ac:dyDescent="0.4">
      <c r="A13" s="24" t="s">
        <v>17</v>
      </c>
      <c r="B13" s="174" t="s">
        <v>98</v>
      </c>
      <c r="C13" s="25">
        <f t="shared" si="0"/>
        <v>0.19900000000000001</v>
      </c>
    </row>
    <row r="14" spans="1:3" x14ac:dyDescent="0.4">
      <c r="A14" s="24" t="s">
        <v>18</v>
      </c>
      <c r="B14" s="174" t="s">
        <v>98</v>
      </c>
      <c r="C14" s="25">
        <f t="shared" si="0"/>
        <v>0.193</v>
      </c>
    </row>
    <row r="15" spans="1:3" x14ac:dyDescent="0.4">
      <c r="A15" s="24" t="s">
        <v>19</v>
      </c>
      <c r="B15" s="174" t="s">
        <v>98</v>
      </c>
      <c r="C15" s="25">
        <f t="shared" si="0"/>
        <v>0.14599999999999999</v>
      </c>
    </row>
    <row r="16" spans="1:3" x14ac:dyDescent="0.4">
      <c r="A16" s="702" t="s">
        <v>367</v>
      </c>
      <c r="B16" s="703"/>
      <c r="C16" s="26">
        <f>AVERAGEIFS($C$4:$C$15,$B$4:$B$15,"冷房")</f>
        <v>0.34712499999999996</v>
      </c>
    </row>
    <row r="17" spans="1:6" x14ac:dyDescent="0.4">
      <c r="A17" s="702" t="s">
        <v>368</v>
      </c>
      <c r="B17" s="703"/>
      <c r="C17" s="26">
        <f>AVERAGEIFS($C$4:$C$15,$B$4:$B$15,"暖房")</f>
        <v>0.17224999999999999</v>
      </c>
    </row>
    <row r="19" spans="1:6" x14ac:dyDescent="0.4">
      <c r="A19" s="13"/>
      <c r="B19" s="13" t="s">
        <v>101</v>
      </c>
      <c r="C19" s="13" t="s">
        <v>101</v>
      </c>
      <c r="D19" s="13" t="s">
        <v>102</v>
      </c>
      <c r="E19" s="13" t="s">
        <v>102</v>
      </c>
      <c r="F19" s="13" t="s">
        <v>103</v>
      </c>
    </row>
    <row r="20" spans="1:6" x14ac:dyDescent="0.4">
      <c r="A20" s="13"/>
      <c r="B20" s="13" t="s">
        <v>104</v>
      </c>
      <c r="C20" s="13" t="s">
        <v>105</v>
      </c>
      <c r="D20" s="13" t="s">
        <v>104</v>
      </c>
      <c r="E20" s="13" t="s">
        <v>105</v>
      </c>
      <c r="F20" s="13"/>
    </row>
    <row r="21" spans="1:6" x14ac:dyDescent="0.4">
      <c r="A21" s="13" t="s">
        <v>7</v>
      </c>
      <c r="B21" s="14">
        <v>0.16</v>
      </c>
      <c r="C21" s="14">
        <v>8.7999999999999995E-2</v>
      </c>
      <c r="D21" s="14">
        <v>0.13700000000000001</v>
      </c>
      <c r="E21" s="14">
        <v>0.151</v>
      </c>
      <c r="F21" s="15">
        <v>0</v>
      </c>
    </row>
    <row r="22" spans="1:6" x14ac:dyDescent="0.4">
      <c r="A22" s="13" t="s">
        <v>9</v>
      </c>
      <c r="B22" s="14">
        <v>0.25700000000000001</v>
      </c>
      <c r="C22" s="14">
        <v>4.4999999999999998E-2</v>
      </c>
      <c r="D22" s="14">
        <v>0.20599999999999999</v>
      </c>
      <c r="E22" s="14">
        <v>0.13200000000000001</v>
      </c>
      <c r="F22" s="15">
        <v>0</v>
      </c>
    </row>
    <row r="23" spans="1:6" x14ac:dyDescent="0.4">
      <c r="A23" s="13" t="s">
        <v>10</v>
      </c>
      <c r="B23" s="14">
        <v>0.317</v>
      </c>
      <c r="C23" s="14">
        <v>0</v>
      </c>
      <c r="D23" s="14">
        <v>0.249</v>
      </c>
      <c r="E23" s="14">
        <v>0</v>
      </c>
      <c r="F23" s="15">
        <v>0</v>
      </c>
    </row>
    <row r="24" spans="1:6" x14ac:dyDescent="0.4">
      <c r="A24" s="13" t="s">
        <v>11</v>
      </c>
      <c r="B24" s="14">
        <v>0.57299999999999995</v>
      </c>
      <c r="C24" s="14">
        <v>0</v>
      </c>
      <c r="D24" s="14">
        <v>0.54400000000000004</v>
      </c>
      <c r="E24" s="14">
        <v>0</v>
      </c>
      <c r="F24" s="15">
        <v>0</v>
      </c>
    </row>
    <row r="25" spans="1:6" x14ac:dyDescent="0.4">
      <c r="A25" s="13" t="s">
        <v>12</v>
      </c>
      <c r="B25" s="14">
        <v>0.61499999999999999</v>
      </c>
      <c r="C25" s="14">
        <v>0</v>
      </c>
      <c r="D25" s="14">
        <v>0.53400000000000003</v>
      </c>
      <c r="E25" s="14">
        <v>0</v>
      </c>
      <c r="F25" s="15">
        <v>0</v>
      </c>
    </row>
    <row r="26" spans="1:6" x14ac:dyDescent="0.4">
      <c r="A26" s="13" t="s">
        <v>13</v>
      </c>
      <c r="B26" s="14">
        <v>0.48399999999999999</v>
      </c>
      <c r="C26" s="14">
        <v>0</v>
      </c>
      <c r="D26" s="14">
        <v>0.432</v>
      </c>
      <c r="E26" s="14">
        <v>0</v>
      </c>
      <c r="F26" s="15">
        <v>0</v>
      </c>
    </row>
    <row r="27" spans="1:6" x14ac:dyDescent="0.4">
      <c r="A27" s="13" t="s">
        <v>14</v>
      </c>
      <c r="B27" s="14">
        <v>0.23499999999999999</v>
      </c>
      <c r="C27" s="14">
        <v>0</v>
      </c>
      <c r="D27" s="14">
        <v>0.20599999999999999</v>
      </c>
      <c r="E27" s="14">
        <v>6.2E-2</v>
      </c>
      <c r="F27" s="15">
        <v>0</v>
      </c>
    </row>
    <row r="28" spans="1:6" x14ac:dyDescent="0.4">
      <c r="A28" s="13" t="s">
        <v>15</v>
      </c>
      <c r="B28" s="14">
        <v>0.13600000000000001</v>
      </c>
      <c r="C28" s="14">
        <v>0.09</v>
      </c>
      <c r="D28" s="14">
        <v>0.129</v>
      </c>
      <c r="E28" s="14">
        <v>0.17100000000000001</v>
      </c>
      <c r="F28" s="15">
        <v>0</v>
      </c>
    </row>
    <row r="29" spans="1:6" x14ac:dyDescent="0.4">
      <c r="A29" s="13" t="s">
        <v>16</v>
      </c>
      <c r="B29" s="14">
        <v>0</v>
      </c>
      <c r="C29" s="14">
        <v>0.151</v>
      </c>
      <c r="D29" s="14">
        <v>0</v>
      </c>
      <c r="E29" s="14">
        <v>0.312</v>
      </c>
      <c r="F29" s="15">
        <v>0</v>
      </c>
    </row>
    <row r="30" spans="1:6" x14ac:dyDescent="0.4">
      <c r="A30" s="13" t="s">
        <v>17</v>
      </c>
      <c r="B30" s="14">
        <v>0</v>
      </c>
      <c r="C30" s="14">
        <v>0.19900000000000001</v>
      </c>
      <c r="D30" s="14">
        <v>0</v>
      </c>
      <c r="E30" s="14">
        <v>0.44600000000000001</v>
      </c>
      <c r="F30" s="15">
        <v>0</v>
      </c>
    </row>
    <row r="31" spans="1:6" x14ac:dyDescent="0.4">
      <c r="A31" s="13" t="s">
        <v>18</v>
      </c>
      <c r="B31" s="14">
        <v>0</v>
      </c>
      <c r="C31" s="14">
        <v>0.193</v>
      </c>
      <c r="D31" s="14">
        <v>0</v>
      </c>
      <c r="E31" s="14">
        <v>0.432</v>
      </c>
      <c r="F31" s="15">
        <v>0</v>
      </c>
    </row>
    <row r="32" spans="1:6" x14ac:dyDescent="0.4">
      <c r="A32" s="13" t="s">
        <v>19</v>
      </c>
      <c r="B32" s="14">
        <v>0.188</v>
      </c>
      <c r="C32" s="14">
        <v>0.14599999999999999</v>
      </c>
      <c r="D32" s="14">
        <v>0.107</v>
      </c>
      <c r="E32" s="14">
        <v>0.32500000000000001</v>
      </c>
      <c r="F32" s="15">
        <v>0</v>
      </c>
    </row>
    <row r="33" spans="1:6" x14ac:dyDescent="0.4">
      <c r="F33" s="4" t="s">
        <v>106</v>
      </c>
    </row>
    <row r="35" spans="1:6" x14ac:dyDescent="0.4">
      <c r="A35" s="4" t="s">
        <v>107</v>
      </c>
    </row>
    <row r="36" spans="1:6" x14ac:dyDescent="0.4">
      <c r="A36" s="4" t="s">
        <v>108</v>
      </c>
    </row>
  </sheetData>
  <sheetProtection formatCells="0" formatColumns="0" formatRows="0"/>
  <mergeCells count="2">
    <mergeCell ref="A16:B16"/>
    <mergeCell ref="A17:B17"/>
  </mergeCells>
  <phoneticPr fontId="5"/>
  <conditionalFormatting sqref="B4:B15">
    <cfRule type="cellIs" dxfId="1" priority="1" operator="equal">
      <formula>"暖房"</formula>
    </cfRule>
    <cfRule type="cellIs" dxfId="0" priority="2" operator="equal">
      <formula>"冷房"</formula>
    </cfRule>
  </conditionalFormatting>
  <dataValidations count="3">
    <dataValidation type="decimal" allowBlank="1" showInputMessage="1" showErrorMessage="1" sqref="F21:F32" xr:uid="{00000000-0002-0000-1000-000000000000}">
      <formula1>0</formula1>
      <formula2>1</formula2>
    </dataValidation>
    <dataValidation type="list" allowBlank="1" showInputMessage="1" showErrorMessage="1" sqref="B2" xr:uid="{00000000-0002-0000-1000-000001000000}">
      <formula1>"事務所,店舗,標準外"</formula1>
    </dataValidation>
    <dataValidation type="list" allowBlank="1" showInputMessage="1" showErrorMessage="1" sqref="B4:B15" xr:uid="{00000000-0002-0000-1000-000002000000}">
      <formula1>"冷房,暖房"</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22"/>
  <sheetViews>
    <sheetView workbookViewId="0">
      <selection activeCell="B30" sqref="B30"/>
    </sheetView>
  </sheetViews>
  <sheetFormatPr defaultRowHeight="18.75" x14ac:dyDescent="0.4"/>
  <cols>
    <col min="2" max="2" width="11.625" customWidth="1"/>
  </cols>
  <sheetData>
    <row r="1" spans="1:6" x14ac:dyDescent="0.4">
      <c r="B1" t="s">
        <v>551</v>
      </c>
      <c r="C1" t="s">
        <v>376</v>
      </c>
      <c r="D1" t="s">
        <v>552</v>
      </c>
      <c r="E1" t="s">
        <v>377</v>
      </c>
      <c r="F1" t="s">
        <v>381</v>
      </c>
    </row>
    <row r="2" spans="1:6" x14ac:dyDescent="0.4">
      <c r="A2" t="s">
        <v>374</v>
      </c>
      <c r="B2" s="256">
        <v>0.75</v>
      </c>
      <c r="C2" s="175">
        <v>0.72099999999999997</v>
      </c>
      <c r="D2" s="175">
        <v>0.72099999999999997</v>
      </c>
      <c r="E2" s="175">
        <v>0.7</v>
      </c>
      <c r="F2" s="175"/>
    </row>
    <row r="3" spans="1:6" x14ac:dyDescent="0.4">
      <c r="A3" t="s">
        <v>374</v>
      </c>
      <c r="B3" s="257">
        <v>1.1000000000000001</v>
      </c>
      <c r="C3" s="175">
        <v>0.75</v>
      </c>
      <c r="D3" s="175">
        <v>0.75</v>
      </c>
      <c r="E3" s="175">
        <v>0.72900000000000009</v>
      </c>
      <c r="F3" s="175"/>
    </row>
    <row r="4" spans="1:6" x14ac:dyDescent="0.4">
      <c r="A4" t="s">
        <v>374</v>
      </c>
      <c r="B4" s="257">
        <v>1.5</v>
      </c>
      <c r="C4" s="175">
        <v>0.77200000000000002</v>
      </c>
      <c r="D4" s="175">
        <v>0.77200000000000002</v>
      </c>
      <c r="E4" s="175">
        <v>0.752</v>
      </c>
      <c r="F4" s="175"/>
    </row>
    <row r="5" spans="1:6" x14ac:dyDescent="0.4">
      <c r="A5" t="s">
        <v>374</v>
      </c>
      <c r="B5" s="257">
        <v>2.2000000000000002</v>
      </c>
      <c r="C5" s="175">
        <v>0.79700000000000004</v>
      </c>
      <c r="D5" s="175">
        <v>0.79700000000000004</v>
      </c>
      <c r="E5" s="175">
        <v>0.77700000000000002</v>
      </c>
      <c r="F5" s="175"/>
    </row>
    <row r="6" spans="1:6" x14ac:dyDescent="0.4">
      <c r="A6" t="s">
        <v>374</v>
      </c>
      <c r="B6" s="257">
        <v>3</v>
      </c>
      <c r="C6" s="175">
        <v>0.81499999999999995</v>
      </c>
      <c r="D6" s="175">
        <v>0.81499999999999995</v>
      </c>
      <c r="E6" s="175">
        <v>0.79700000000000004</v>
      </c>
      <c r="F6" s="175"/>
    </row>
    <row r="7" spans="1:6" x14ac:dyDescent="0.4">
      <c r="A7" t="s">
        <v>374</v>
      </c>
      <c r="B7" s="257">
        <v>3.7</v>
      </c>
      <c r="C7" s="175">
        <v>0.82700000000000007</v>
      </c>
      <c r="D7" s="175">
        <v>0.82700000000000007</v>
      </c>
      <c r="E7" s="175">
        <v>0.80900000000000005</v>
      </c>
      <c r="F7" s="175"/>
    </row>
    <row r="8" spans="1:6" x14ac:dyDescent="0.4">
      <c r="A8" t="s">
        <v>374</v>
      </c>
      <c r="B8" s="257">
        <v>4</v>
      </c>
      <c r="C8" s="175">
        <v>0.83099999999999996</v>
      </c>
      <c r="D8" s="175">
        <v>0.83099999999999996</v>
      </c>
      <c r="E8" s="175">
        <v>0.81400000000000006</v>
      </c>
      <c r="F8" s="175"/>
    </row>
    <row r="9" spans="1:6" x14ac:dyDescent="0.4">
      <c r="A9" t="s">
        <v>374</v>
      </c>
      <c r="B9" s="257">
        <v>5.5</v>
      </c>
      <c r="C9" s="175">
        <v>0.84699999999999998</v>
      </c>
      <c r="D9" s="175">
        <v>0.84699999999999998</v>
      </c>
      <c r="E9" s="175">
        <v>0.83099999999999996</v>
      </c>
      <c r="F9" s="175"/>
    </row>
    <row r="10" spans="1:6" x14ac:dyDescent="0.4">
      <c r="A10" t="s">
        <v>374</v>
      </c>
      <c r="B10" s="257">
        <v>7.5</v>
      </c>
      <c r="C10" s="175">
        <v>0.86</v>
      </c>
      <c r="D10" s="175">
        <v>0.86</v>
      </c>
      <c r="E10" s="175">
        <v>0.84699999999999998</v>
      </c>
      <c r="F10" s="175"/>
    </row>
    <row r="11" spans="1:6" x14ac:dyDescent="0.4">
      <c r="A11" t="s">
        <v>374</v>
      </c>
      <c r="B11" s="258">
        <v>11</v>
      </c>
      <c r="C11" s="175">
        <v>0.87599999999999989</v>
      </c>
      <c r="D11" s="175">
        <v>0.87599999999999989</v>
      </c>
      <c r="E11" s="175">
        <v>0.8640000000000001</v>
      </c>
      <c r="F11" s="175"/>
    </row>
    <row r="12" spans="1:6" x14ac:dyDescent="0.4">
      <c r="A12" t="s">
        <v>374</v>
      </c>
      <c r="B12" s="258">
        <v>15</v>
      </c>
      <c r="C12" s="175">
        <v>0.88700000000000001</v>
      </c>
      <c r="D12" s="175">
        <v>0.88700000000000001</v>
      </c>
      <c r="E12" s="175">
        <v>0.877</v>
      </c>
      <c r="F12" s="175"/>
    </row>
    <row r="13" spans="1:6" x14ac:dyDescent="0.4">
      <c r="A13" t="s">
        <v>374</v>
      </c>
      <c r="B13" s="258">
        <v>18.5</v>
      </c>
      <c r="C13" s="175">
        <v>0.89300000000000002</v>
      </c>
      <c r="D13" s="175">
        <v>0.89300000000000002</v>
      </c>
      <c r="E13" s="175">
        <v>0.8859999999999999</v>
      </c>
      <c r="F13" s="175"/>
    </row>
    <row r="14" spans="1:6" x14ac:dyDescent="0.4">
      <c r="A14" t="s">
        <v>374</v>
      </c>
      <c r="B14" s="258">
        <v>22</v>
      </c>
      <c r="C14" s="175">
        <v>0.89900000000000002</v>
      </c>
      <c r="D14" s="175">
        <v>0.89900000000000002</v>
      </c>
      <c r="E14" s="175">
        <v>0.89200000000000002</v>
      </c>
      <c r="F14" s="175"/>
    </row>
    <row r="15" spans="1:6" x14ac:dyDescent="0.4">
      <c r="A15" t="s">
        <v>374</v>
      </c>
      <c r="B15" s="258">
        <v>30</v>
      </c>
      <c r="C15" s="175">
        <v>0.90700000000000003</v>
      </c>
      <c r="D15" s="175">
        <v>0.90700000000000003</v>
      </c>
      <c r="E15" s="175">
        <v>0.90200000000000002</v>
      </c>
      <c r="F15" s="175"/>
    </row>
    <row r="16" spans="1:6" x14ac:dyDescent="0.4">
      <c r="A16" t="s">
        <v>374</v>
      </c>
      <c r="B16" s="258">
        <v>37</v>
      </c>
      <c r="C16" s="175">
        <v>0.91200000000000003</v>
      </c>
      <c r="D16" s="175">
        <v>0.91200000000000003</v>
      </c>
      <c r="E16" s="175">
        <v>0.90799999999999992</v>
      </c>
      <c r="F16" s="175"/>
    </row>
    <row r="17" spans="1:6" x14ac:dyDescent="0.4">
      <c r="A17" t="s">
        <v>374</v>
      </c>
      <c r="B17" s="258">
        <v>45</v>
      </c>
      <c r="C17" s="175">
        <v>0.91700000000000004</v>
      </c>
      <c r="D17" s="175">
        <v>0.91700000000000004</v>
      </c>
      <c r="E17" s="175">
        <v>0.91400000000000003</v>
      </c>
      <c r="F17" s="175"/>
    </row>
    <row r="18" spans="1:6" x14ac:dyDescent="0.4">
      <c r="A18" t="s">
        <v>374</v>
      </c>
      <c r="B18" s="258">
        <v>55</v>
      </c>
      <c r="C18" s="175">
        <v>0.92099999999999993</v>
      </c>
      <c r="D18" s="175">
        <v>0.92099999999999993</v>
      </c>
      <c r="E18" s="175">
        <v>0.91900000000000004</v>
      </c>
      <c r="F18" s="175"/>
    </row>
    <row r="19" spans="1:6" x14ac:dyDescent="0.4">
      <c r="A19" t="s">
        <v>374</v>
      </c>
      <c r="B19" s="258">
        <v>75</v>
      </c>
      <c r="C19" s="175">
        <v>0.92700000000000005</v>
      </c>
      <c r="D19" s="175">
        <v>0.92700000000000005</v>
      </c>
      <c r="E19" s="175">
        <v>0.92599999999999993</v>
      </c>
      <c r="F19" s="175"/>
    </row>
    <row r="20" spans="1:6" x14ac:dyDescent="0.4">
      <c r="A20" t="s">
        <v>374</v>
      </c>
      <c r="B20" s="258">
        <v>90</v>
      </c>
      <c r="C20" s="175">
        <v>0.93</v>
      </c>
      <c r="D20" s="175">
        <v>0.93</v>
      </c>
      <c r="E20" s="175">
        <v>0.92900000000000005</v>
      </c>
      <c r="F20" s="175"/>
    </row>
    <row r="21" spans="1:6" x14ac:dyDescent="0.4">
      <c r="A21" t="s">
        <v>374</v>
      </c>
      <c r="B21" s="258">
        <v>110</v>
      </c>
      <c r="C21" s="175">
        <v>0.93299999999999994</v>
      </c>
      <c r="D21" s="175">
        <v>0.93299999999999994</v>
      </c>
      <c r="E21" s="175">
        <v>0.93299999999999994</v>
      </c>
      <c r="F21" s="175"/>
    </row>
    <row r="22" spans="1:6" x14ac:dyDescent="0.4">
      <c r="A22" t="s">
        <v>374</v>
      </c>
      <c r="B22" s="258">
        <v>132</v>
      </c>
      <c r="C22" s="175">
        <v>0.93500000000000005</v>
      </c>
      <c r="D22" s="175">
        <v>0.93500000000000005</v>
      </c>
      <c r="E22" s="175">
        <v>0.93500000000000005</v>
      </c>
      <c r="F22" s="175"/>
    </row>
    <row r="23" spans="1:6" x14ac:dyDescent="0.4">
      <c r="A23" t="s">
        <v>374</v>
      </c>
      <c r="B23" s="258">
        <v>160</v>
      </c>
      <c r="C23" s="175">
        <v>0.93799999999999994</v>
      </c>
      <c r="D23" s="175">
        <v>0.93799999999999994</v>
      </c>
      <c r="E23" s="175">
        <v>0.93799999999999994</v>
      </c>
      <c r="F23" s="175"/>
    </row>
    <row r="24" spans="1:6" x14ac:dyDescent="0.4">
      <c r="A24" t="s">
        <v>373</v>
      </c>
      <c r="B24" s="258">
        <v>185</v>
      </c>
      <c r="C24" s="175">
        <v>0.94</v>
      </c>
      <c r="D24" s="175">
        <v>0.94</v>
      </c>
      <c r="E24" s="175">
        <v>0.94</v>
      </c>
      <c r="F24" s="175"/>
    </row>
    <row r="25" spans="1:6" x14ac:dyDescent="0.4">
      <c r="A25" t="s">
        <v>373</v>
      </c>
      <c r="B25" s="258">
        <v>200</v>
      </c>
      <c r="C25" s="175">
        <v>0.94</v>
      </c>
      <c r="D25" s="175">
        <v>0.94</v>
      </c>
      <c r="E25" s="175">
        <v>0.94</v>
      </c>
      <c r="F25" s="175"/>
    </row>
    <row r="26" spans="1:6" x14ac:dyDescent="0.4">
      <c r="A26" t="s">
        <v>373</v>
      </c>
      <c r="B26" s="258">
        <v>220</v>
      </c>
      <c r="C26" s="175">
        <v>0.94</v>
      </c>
      <c r="D26" s="175">
        <v>0.94</v>
      </c>
      <c r="E26" s="175">
        <v>0.94</v>
      </c>
      <c r="F26" s="175"/>
    </row>
    <row r="27" spans="1:6" x14ac:dyDescent="0.4">
      <c r="A27" t="s">
        <v>373</v>
      </c>
      <c r="B27" s="258">
        <v>250</v>
      </c>
      <c r="C27" s="175">
        <v>0.94</v>
      </c>
      <c r="D27" s="175">
        <v>0.94</v>
      </c>
      <c r="E27" s="175">
        <v>0.94</v>
      </c>
      <c r="F27" s="175"/>
    </row>
    <row r="28" spans="1:6" x14ac:dyDescent="0.4">
      <c r="A28" t="s">
        <v>373</v>
      </c>
      <c r="B28" s="258">
        <v>280</v>
      </c>
      <c r="C28" s="175">
        <v>0.94</v>
      </c>
      <c r="D28" s="175">
        <v>0.94</v>
      </c>
      <c r="E28" s="175">
        <v>0.94</v>
      </c>
      <c r="F28" s="175"/>
    </row>
    <row r="29" spans="1:6" x14ac:dyDescent="0.4">
      <c r="A29" t="s">
        <v>373</v>
      </c>
      <c r="B29" s="258">
        <v>300</v>
      </c>
      <c r="C29" s="175">
        <v>0.94</v>
      </c>
      <c r="D29" s="175">
        <v>0.94</v>
      </c>
      <c r="E29" s="175">
        <v>0.94</v>
      </c>
      <c r="F29" s="175"/>
    </row>
    <row r="30" spans="1:6" x14ac:dyDescent="0.4">
      <c r="A30" t="s">
        <v>373</v>
      </c>
      <c r="B30" s="258">
        <v>315</v>
      </c>
      <c r="C30" s="175">
        <v>0.94</v>
      </c>
      <c r="D30" s="175">
        <v>0.94</v>
      </c>
      <c r="E30" s="175">
        <v>0.94</v>
      </c>
      <c r="F30" s="175"/>
    </row>
    <row r="31" spans="1:6" x14ac:dyDescent="0.4">
      <c r="A31" t="s">
        <v>374</v>
      </c>
      <c r="B31" s="258">
        <v>355</v>
      </c>
      <c r="C31" s="175">
        <v>0.94</v>
      </c>
      <c r="D31" s="175">
        <v>0.94</v>
      </c>
      <c r="E31" s="175">
        <v>0.94</v>
      </c>
      <c r="F31" s="175"/>
    </row>
    <row r="32" spans="1:6" x14ac:dyDescent="0.4">
      <c r="A32" t="s">
        <v>374</v>
      </c>
      <c r="B32" s="258">
        <v>375</v>
      </c>
      <c r="C32" s="175">
        <v>0.94</v>
      </c>
      <c r="D32" s="175">
        <v>0.94</v>
      </c>
      <c r="E32" s="175">
        <v>0.94</v>
      </c>
      <c r="F32" s="175"/>
    </row>
    <row r="33" spans="1:6" x14ac:dyDescent="0.4">
      <c r="A33" t="s">
        <v>378</v>
      </c>
      <c r="B33" s="256">
        <v>0.75</v>
      </c>
      <c r="C33" s="175">
        <v>0.77400000000000002</v>
      </c>
      <c r="D33" s="175">
        <v>0.79599999999999993</v>
      </c>
      <c r="E33" s="175">
        <v>0.75900000000000001</v>
      </c>
      <c r="F33" s="175"/>
    </row>
    <row r="34" spans="1:6" x14ac:dyDescent="0.4">
      <c r="A34" t="s">
        <v>378</v>
      </c>
      <c r="B34" s="257">
        <v>1.1000000000000001</v>
      </c>
      <c r="C34" s="175">
        <v>0.79599999999999993</v>
      </c>
      <c r="D34" s="175">
        <v>0.81400000000000006</v>
      </c>
      <c r="E34" s="175">
        <v>0.78099999999999992</v>
      </c>
      <c r="F34" s="175"/>
    </row>
    <row r="35" spans="1:6" x14ac:dyDescent="0.4">
      <c r="A35" t="s">
        <v>378</v>
      </c>
      <c r="B35" s="257">
        <v>1.5</v>
      </c>
      <c r="C35" s="175">
        <v>0.81299999999999994</v>
      </c>
      <c r="D35" s="175">
        <v>0.82799999999999996</v>
      </c>
      <c r="E35" s="175">
        <v>0.79799999999999993</v>
      </c>
      <c r="F35" s="175"/>
    </row>
    <row r="36" spans="1:6" x14ac:dyDescent="0.4">
      <c r="A36" t="s">
        <v>378</v>
      </c>
      <c r="B36" s="257">
        <v>2.2000000000000002</v>
      </c>
      <c r="C36" s="175">
        <v>0.83200000000000007</v>
      </c>
      <c r="D36" s="175">
        <v>0.84299999999999997</v>
      </c>
      <c r="E36" s="175">
        <v>0.81799999999999995</v>
      </c>
      <c r="F36" s="175"/>
    </row>
    <row r="37" spans="1:6" x14ac:dyDescent="0.4">
      <c r="A37" t="s">
        <v>378</v>
      </c>
      <c r="B37" s="257">
        <v>3</v>
      </c>
      <c r="C37" s="175">
        <v>0.84599999999999997</v>
      </c>
      <c r="D37" s="175">
        <v>0.85499999999999998</v>
      </c>
      <c r="E37" s="175">
        <v>0.83299999999999996</v>
      </c>
      <c r="F37" s="175"/>
    </row>
    <row r="38" spans="1:6" x14ac:dyDescent="0.4">
      <c r="A38" t="s">
        <v>378</v>
      </c>
      <c r="B38" s="257">
        <v>3.7</v>
      </c>
      <c r="C38" s="175">
        <v>0.85499999999999998</v>
      </c>
      <c r="D38" s="175">
        <v>0.86299999999999999</v>
      </c>
      <c r="E38" s="175">
        <v>0.84299999999999997</v>
      </c>
      <c r="F38" s="175"/>
    </row>
    <row r="39" spans="1:6" x14ac:dyDescent="0.4">
      <c r="A39" t="s">
        <v>378</v>
      </c>
      <c r="B39" s="257">
        <v>4</v>
      </c>
      <c r="C39" s="175">
        <v>0.85799999999999998</v>
      </c>
      <c r="D39" s="175">
        <v>0.86599999999999999</v>
      </c>
      <c r="E39" s="175">
        <v>0.84599999999999997</v>
      </c>
      <c r="F39" s="175"/>
    </row>
    <row r="40" spans="1:6" x14ac:dyDescent="0.4">
      <c r="A40" t="s">
        <v>378</v>
      </c>
      <c r="B40" s="257">
        <v>5.5</v>
      </c>
      <c r="C40" s="175">
        <v>0.87</v>
      </c>
      <c r="D40" s="175">
        <v>0.877</v>
      </c>
      <c r="E40" s="175">
        <v>0.86</v>
      </c>
      <c r="F40" s="175"/>
    </row>
    <row r="41" spans="1:6" x14ac:dyDescent="0.4">
      <c r="A41" t="s">
        <v>378</v>
      </c>
      <c r="B41" s="257">
        <v>7.5</v>
      </c>
      <c r="C41" s="175">
        <v>0.88099999999999989</v>
      </c>
      <c r="D41" s="175">
        <v>0.88700000000000001</v>
      </c>
      <c r="E41" s="175">
        <v>0.872</v>
      </c>
      <c r="F41" s="175"/>
    </row>
    <row r="42" spans="1:6" x14ac:dyDescent="0.4">
      <c r="A42" t="s">
        <v>378</v>
      </c>
      <c r="B42" s="258">
        <v>11</v>
      </c>
      <c r="C42" s="175">
        <v>0.89400000000000002</v>
      </c>
      <c r="D42" s="175">
        <v>0.89800000000000002</v>
      </c>
      <c r="E42" s="175">
        <v>0.88700000000000001</v>
      </c>
      <c r="F42" s="175"/>
    </row>
    <row r="43" spans="1:6" x14ac:dyDescent="0.4">
      <c r="A43" t="s">
        <v>378</v>
      </c>
      <c r="B43" s="258">
        <v>15</v>
      </c>
      <c r="C43" s="175">
        <v>0.90300000000000002</v>
      </c>
      <c r="D43" s="175">
        <v>0.90599999999999992</v>
      </c>
      <c r="E43" s="175">
        <v>0.89700000000000002</v>
      </c>
      <c r="F43" s="175"/>
    </row>
    <row r="44" spans="1:6" x14ac:dyDescent="0.4">
      <c r="A44" t="s">
        <v>378</v>
      </c>
      <c r="B44" s="258">
        <v>18.5</v>
      </c>
      <c r="C44" s="175">
        <v>0.90900000000000003</v>
      </c>
      <c r="D44" s="175">
        <v>0.91200000000000003</v>
      </c>
      <c r="E44" s="175">
        <v>0.90400000000000003</v>
      </c>
      <c r="F44" s="175"/>
    </row>
    <row r="45" spans="1:6" x14ac:dyDescent="0.4">
      <c r="A45" t="s">
        <v>378</v>
      </c>
      <c r="B45" s="258">
        <v>22</v>
      </c>
      <c r="C45" s="175">
        <v>0.91299999999999992</v>
      </c>
      <c r="D45" s="175">
        <v>0.91599999999999993</v>
      </c>
      <c r="E45" s="175">
        <v>0.90900000000000003</v>
      </c>
      <c r="F45" s="175"/>
    </row>
    <row r="46" spans="1:6" x14ac:dyDescent="0.4">
      <c r="A46" t="s">
        <v>378</v>
      </c>
      <c r="B46" s="258">
        <v>30</v>
      </c>
      <c r="C46" s="175">
        <v>0.92</v>
      </c>
      <c r="D46" s="175">
        <v>0.92299999999999993</v>
      </c>
      <c r="E46" s="175">
        <v>0.91700000000000004</v>
      </c>
      <c r="F46" s="175"/>
    </row>
    <row r="47" spans="1:6" x14ac:dyDescent="0.4">
      <c r="A47" t="s">
        <v>378</v>
      </c>
      <c r="B47" s="258">
        <v>37</v>
      </c>
      <c r="C47" s="175">
        <v>0.92500000000000004</v>
      </c>
      <c r="D47" s="175">
        <v>0.92700000000000005</v>
      </c>
      <c r="E47" s="175">
        <v>0.92200000000000004</v>
      </c>
      <c r="F47" s="175"/>
    </row>
    <row r="48" spans="1:6" x14ac:dyDescent="0.4">
      <c r="A48" t="s">
        <v>378</v>
      </c>
      <c r="B48" s="258">
        <v>45</v>
      </c>
      <c r="C48" s="175">
        <v>0.92900000000000005</v>
      </c>
      <c r="D48" s="175">
        <v>0.93099999999999994</v>
      </c>
      <c r="E48" s="175">
        <v>0.92700000000000005</v>
      </c>
      <c r="F48" s="175"/>
    </row>
    <row r="49" spans="1:6" x14ac:dyDescent="0.4">
      <c r="A49" t="s">
        <v>378</v>
      </c>
      <c r="B49" s="258">
        <v>55</v>
      </c>
      <c r="C49" s="175">
        <v>0.93200000000000005</v>
      </c>
      <c r="D49" s="175">
        <v>0.93500000000000005</v>
      </c>
      <c r="E49" s="175">
        <v>0.93099999999999994</v>
      </c>
      <c r="F49" s="175"/>
    </row>
    <row r="50" spans="1:6" x14ac:dyDescent="0.4">
      <c r="A50" t="s">
        <v>378</v>
      </c>
      <c r="B50" s="258">
        <v>75</v>
      </c>
      <c r="C50" s="175">
        <v>0.93799999999999994</v>
      </c>
      <c r="D50" s="175">
        <v>0.94</v>
      </c>
      <c r="E50" s="175">
        <v>0.93700000000000006</v>
      </c>
      <c r="F50" s="175"/>
    </row>
    <row r="51" spans="1:6" x14ac:dyDescent="0.4">
      <c r="A51" t="s">
        <v>378</v>
      </c>
      <c r="B51" s="258">
        <v>90</v>
      </c>
      <c r="C51" s="175">
        <v>0.94099999999999995</v>
      </c>
      <c r="D51" s="175">
        <v>0.94200000000000006</v>
      </c>
      <c r="E51" s="175">
        <v>0.94</v>
      </c>
      <c r="F51" s="175"/>
    </row>
    <row r="52" spans="1:6" x14ac:dyDescent="0.4">
      <c r="A52" t="s">
        <v>378</v>
      </c>
      <c r="B52" s="258">
        <v>110</v>
      </c>
      <c r="C52" s="175">
        <v>0.94299999999999995</v>
      </c>
      <c r="D52" s="175">
        <v>0.94499999999999995</v>
      </c>
      <c r="E52" s="175">
        <v>0.94299999999999995</v>
      </c>
      <c r="F52" s="175"/>
    </row>
    <row r="53" spans="1:6" x14ac:dyDescent="0.4">
      <c r="A53" t="s">
        <v>378</v>
      </c>
      <c r="B53" s="258">
        <v>132</v>
      </c>
      <c r="C53" s="175">
        <v>0.94599999999999995</v>
      </c>
      <c r="D53" s="175">
        <v>0.94700000000000006</v>
      </c>
      <c r="E53" s="175">
        <v>0.94599999999999995</v>
      </c>
      <c r="F53" s="175"/>
    </row>
    <row r="54" spans="1:6" x14ac:dyDescent="0.4">
      <c r="A54" t="s">
        <v>378</v>
      </c>
      <c r="B54" s="258">
        <v>160</v>
      </c>
      <c r="C54" s="175">
        <v>0.94799999999999995</v>
      </c>
      <c r="D54" s="175">
        <v>0.94900000000000007</v>
      </c>
      <c r="E54" s="175">
        <v>0.94799999999999995</v>
      </c>
      <c r="F54" s="175"/>
    </row>
    <row r="55" spans="1:6" x14ac:dyDescent="0.4">
      <c r="A55" t="s">
        <v>378</v>
      </c>
      <c r="B55" s="258">
        <v>185</v>
      </c>
      <c r="C55" s="175">
        <v>0.95</v>
      </c>
      <c r="D55" s="175">
        <v>0.95099999999999996</v>
      </c>
      <c r="E55" s="175">
        <v>0.95</v>
      </c>
      <c r="F55" s="175"/>
    </row>
    <row r="56" spans="1:6" x14ac:dyDescent="0.4">
      <c r="A56" t="s">
        <v>378</v>
      </c>
      <c r="B56" s="258">
        <v>200</v>
      </c>
      <c r="C56" s="175">
        <v>0.95</v>
      </c>
      <c r="D56" s="175">
        <v>0.95099999999999996</v>
      </c>
      <c r="E56" s="175">
        <v>0.95</v>
      </c>
      <c r="F56" s="175"/>
    </row>
    <row r="57" spans="1:6" x14ac:dyDescent="0.4">
      <c r="A57" t="s">
        <v>378</v>
      </c>
      <c r="B57" s="258">
        <v>220</v>
      </c>
      <c r="C57" s="175">
        <v>0.95</v>
      </c>
      <c r="D57" s="175">
        <v>0.95099999999999996</v>
      </c>
      <c r="E57" s="175">
        <v>0.95</v>
      </c>
      <c r="F57" s="175"/>
    </row>
    <row r="58" spans="1:6" x14ac:dyDescent="0.4">
      <c r="A58" t="s">
        <v>378</v>
      </c>
      <c r="B58" s="258">
        <v>250</v>
      </c>
      <c r="C58" s="175">
        <v>0.95</v>
      </c>
      <c r="D58" s="175">
        <v>0.95099999999999996</v>
      </c>
      <c r="E58" s="175">
        <v>0.95</v>
      </c>
      <c r="F58" s="175"/>
    </row>
    <row r="59" spans="1:6" x14ac:dyDescent="0.4">
      <c r="A59" t="s">
        <v>378</v>
      </c>
      <c r="B59" s="258">
        <v>280</v>
      </c>
      <c r="C59" s="175">
        <v>0.95</v>
      </c>
      <c r="D59" s="175">
        <v>0.95099999999999996</v>
      </c>
      <c r="E59" s="175">
        <v>0.95</v>
      </c>
      <c r="F59" s="175"/>
    </row>
    <row r="60" spans="1:6" x14ac:dyDescent="0.4">
      <c r="A60" t="s">
        <v>378</v>
      </c>
      <c r="B60" s="258">
        <v>300</v>
      </c>
      <c r="C60" s="175">
        <v>0.95</v>
      </c>
      <c r="D60" s="175">
        <v>0.95099999999999996</v>
      </c>
      <c r="E60" s="175">
        <v>0.95</v>
      </c>
      <c r="F60" s="175"/>
    </row>
    <row r="61" spans="1:6" x14ac:dyDescent="0.4">
      <c r="A61" t="s">
        <v>378</v>
      </c>
      <c r="B61" s="258">
        <v>315</v>
      </c>
      <c r="C61" s="175">
        <v>0.95</v>
      </c>
      <c r="D61" s="175">
        <v>0.95099999999999996</v>
      </c>
      <c r="E61" s="175">
        <v>0.95</v>
      </c>
      <c r="F61" s="175"/>
    </row>
    <row r="62" spans="1:6" x14ac:dyDescent="0.4">
      <c r="A62" t="s">
        <v>378</v>
      </c>
      <c r="B62" s="258">
        <v>355</v>
      </c>
      <c r="C62" s="175">
        <v>0.95</v>
      </c>
      <c r="D62" s="175">
        <v>0.95099999999999996</v>
      </c>
      <c r="E62" s="175">
        <v>0.95</v>
      </c>
      <c r="F62" s="175"/>
    </row>
    <row r="63" spans="1:6" x14ac:dyDescent="0.4">
      <c r="A63" t="s">
        <v>378</v>
      </c>
      <c r="B63" s="258">
        <v>375</v>
      </c>
      <c r="C63" s="175">
        <v>0.95</v>
      </c>
      <c r="D63" s="175">
        <v>0.95099999999999996</v>
      </c>
      <c r="E63" s="175">
        <v>0.95</v>
      </c>
      <c r="F63" s="175"/>
    </row>
    <row r="64" spans="1:6" x14ac:dyDescent="0.4">
      <c r="A64" t="s">
        <v>379</v>
      </c>
      <c r="B64" s="256">
        <v>0.75</v>
      </c>
      <c r="C64" s="175">
        <v>0.80700000000000005</v>
      </c>
      <c r="D64" s="175">
        <v>0.82499999999999996</v>
      </c>
      <c r="E64" s="175">
        <v>0.78900000000000003</v>
      </c>
      <c r="F64" s="175"/>
    </row>
    <row r="65" spans="1:6" x14ac:dyDescent="0.4">
      <c r="A65" t="s">
        <v>379</v>
      </c>
      <c r="B65" s="257">
        <v>1.1000000000000001</v>
      </c>
      <c r="C65" s="175">
        <v>0.82700000000000007</v>
      </c>
      <c r="D65" s="175">
        <v>0.84099999999999997</v>
      </c>
      <c r="E65" s="175">
        <v>0.81</v>
      </c>
      <c r="F65" s="175"/>
    </row>
    <row r="66" spans="1:6" x14ac:dyDescent="0.4">
      <c r="A66" t="s">
        <v>379</v>
      </c>
      <c r="B66" s="257">
        <v>1.5</v>
      </c>
      <c r="C66" s="175">
        <v>0.84200000000000008</v>
      </c>
      <c r="D66" s="175">
        <v>0.85299999999999998</v>
      </c>
      <c r="E66" s="175">
        <v>0.82499999999999996</v>
      </c>
      <c r="F66" s="175"/>
    </row>
    <row r="67" spans="1:6" x14ac:dyDescent="0.4">
      <c r="A67" t="s">
        <v>379</v>
      </c>
      <c r="B67" s="257">
        <v>2.2000000000000002</v>
      </c>
      <c r="C67" s="175">
        <v>0.8590000000000001</v>
      </c>
      <c r="D67" s="175">
        <v>0.86699999999999999</v>
      </c>
      <c r="E67" s="175">
        <v>0.84299999999999997</v>
      </c>
      <c r="F67" s="175"/>
    </row>
    <row r="68" spans="1:6" x14ac:dyDescent="0.4">
      <c r="A68" t="s">
        <v>379</v>
      </c>
      <c r="B68" s="257">
        <v>3</v>
      </c>
      <c r="C68" s="175">
        <v>0.871</v>
      </c>
      <c r="D68" s="175">
        <v>0.877</v>
      </c>
      <c r="E68" s="175">
        <v>0.85599999999999998</v>
      </c>
      <c r="F68" s="175"/>
    </row>
    <row r="69" spans="1:6" x14ac:dyDescent="0.4">
      <c r="A69" t="s">
        <v>379</v>
      </c>
      <c r="B69" s="257">
        <v>3.7</v>
      </c>
      <c r="C69" s="175">
        <v>0.878</v>
      </c>
      <c r="D69" s="175">
        <v>0.88400000000000001</v>
      </c>
      <c r="E69" s="175">
        <v>0.86499999999999999</v>
      </c>
      <c r="F69" s="175"/>
    </row>
    <row r="70" spans="1:6" x14ac:dyDescent="0.4">
      <c r="A70" t="s">
        <v>379</v>
      </c>
      <c r="B70" s="257">
        <v>4</v>
      </c>
      <c r="C70" s="175">
        <v>0.88099999999999989</v>
      </c>
      <c r="D70" s="175">
        <v>0.8859999999999999</v>
      </c>
      <c r="E70" s="175">
        <v>0.86799999999999999</v>
      </c>
      <c r="F70" s="175"/>
    </row>
    <row r="71" spans="1:6" x14ac:dyDescent="0.4">
      <c r="A71" t="s">
        <v>379</v>
      </c>
      <c r="B71" s="257">
        <v>5.5</v>
      </c>
      <c r="C71" s="175">
        <v>0.89200000000000002</v>
      </c>
      <c r="D71" s="175">
        <v>0.89599999999999991</v>
      </c>
      <c r="E71" s="175">
        <v>0.88</v>
      </c>
      <c r="F71" s="175"/>
    </row>
    <row r="72" spans="1:6" x14ac:dyDescent="0.4">
      <c r="A72" t="s">
        <v>379</v>
      </c>
      <c r="B72" s="257">
        <v>7.5</v>
      </c>
      <c r="C72" s="175">
        <v>0.90099999999999991</v>
      </c>
      <c r="D72" s="175">
        <v>0.90400000000000003</v>
      </c>
      <c r="E72" s="175">
        <v>0.8909999999999999</v>
      </c>
      <c r="F72" s="175"/>
    </row>
    <row r="73" spans="1:6" x14ac:dyDescent="0.4">
      <c r="A73" t="s">
        <v>379</v>
      </c>
      <c r="B73" s="258">
        <v>11</v>
      </c>
      <c r="C73" s="175">
        <v>0.91200000000000003</v>
      </c>
      <c r="D73" s="175">
        <v>0.91400000000000003</v>
      </c>
      <c r="E73" s="175">
        <v>0.90300000000000002</v>
      </c>
      <c r="F73" s="175"/>
    </row>
    <row r="74" spans="1:6" x14ac:dyDescent="0.4">
      <c r="A74" t="s">
        <v>379</v>
      </c>
      <c r="B74" s="258">
        <v>15</v>
      </c>
      <c r="C74" s="175">
        <v>0.91900000000000004</v>
      </c>
      <c r="D74" s="175">
        <v>0.92099999999999993</v>
      </c>
      <c r="E74" s="175">
        <v>0.91200000000000003</v>
      </c>
      <c r="F74" s="175"/>
    </row>
    <row r="75" spans="1:6" x14ac:dyDescent="0.4">
      <c r="A75" t="s">
        <v>379</v>
      </c>
      <c r="B75" s="258">
        <v>18.5</v>
      </c>
      <c r="C75" s="175">
        <v>0.92400000000000004</v>
      </c>
      <c r="D75" s="175">
        <v>0.92599999999999993</v>
      </c>
      <c r="E75" s="175">
        <v>0.91700000000000004</v>
      </c>
      <c r="F75" s="175"/>
    </row>
    <row r="76" spans="1:6" x14ac:dyDescent="0.4">
      <c r="A76" t="s">
        <v>379</v>
      </c>
      <c r="B76" s="258">
        <v>22</v>
      </c>
      <c r="C76" s="175">
        <v>0.92700000000000005</v>
      </c>
      <c r="D76" s="175">
        <v>0.93</v>
      </c>
      <c r="E76" s="175">
        <v>0.92200000000000004</v>
      </c>
      <c r="F76" s="175"/>
    </row>
    <row r="77" spans="1:6" x14ac:dyDescent="0.4">
      <c r="A77" t="s">
        <v>379</v>
      </c>
      <c r="B77" s="258">
        <v>30</v>
      </c>
      <c r="C77" s="175">
        <v>0.93299999999999994</v>
      </c>
      <c r="D77" s="175">
        <v>0.93599999999999994</v>
      </c>
      <c r="E77" s="175">
        <v>0.92900000000000005</v>
      </c>
      <c r="F77" s="175"/>
    </row>
    <row r="78" spans="1:6" x14ac:dyDescent="0.4">
      <c r="A78" t="s">
        <v>379</v>
      </c>
      <c r="B78" s="258">
        <v>37</v>
      </c>
      <c r="C78" s="175">
        <v>0.93700000000000006</v>
      </c>
      <c r="D78" s="175">
        <v>0.93900000000000006</v>
      </c>
      <c r="E78" s="175">
        <v>0.93299999999999994</v>
      </c>
      <c r="F78" s="175"/>
    </row>
    <row r="79" spans="1:6" x14ac:dyDescent="0.4">
      <c r="A79" t="s">
        <v>379</v>
      </c>
      <c r="B79" s="258">
        <v>45</v>
      </c>
      <c r="C79" s="175">
        <v>0.94</v>
      </c>
      <c r="D79" s="175">
        <v>0.94200000000000006</v>
      </c>
      <c r="E79" s="175">
        <v>0.93700000000000006</v>
      </c>
      <c r="F79" s="175"/>
    </row>
    <row r="80" spans="1:6" x14ac:dyDescent="0.4">
      <c r="A80" t="s">
        <v>379</v>
      </c>
      <c r="B80" s="258">
        <v>55</v>
      </c>
      <c r="C80" s="175">
        <v>0.94299999999999995</v>
      </c>
      <c r="D80" s="175">
        <v>0.94599999999999995</v>
      </c>
      <c r="E80" s="175">
        <v>0.94099999999999995</v>
      </c>
      <c r="F80" s="175"/>
    </row>
    <row r="81" spans="1:6" x14ac:dyDescent="0.4">
      <c r="A81" t="s">
        <v>379</v>
      </c>
      <c r="B81" s="258">
        <v>75</v>
      </c>
      <c r="C81" s="175">
        <v>0.94700000000000006</v>
      </c>
      <c r="D81" s="175">
        <v>0.95</v>
      </c>
      <c r="E81" s="175">
        <v>0.94599999999999995</v>
      </c>
      <c r="F81" s="175"/>
    </row>
    <row r="82" spans="1:6" x14ac:dyDescent="0.4">
      <c r="A82" t="s">
        <v>379</v>
      </c>
      <c r="B82" s="258">
        <v>90</v>
      </c>
      <c r="C82" s="175">
        <v>0.95</v>
      </c>
      <c r="D82" s="175">
        <v>0.95200000000000007</v>
      </c>
      <c r="E82" s="175">
        <v>0.94900000000000007</v>
      </c>
      <c r="F82" s="175"/>
    </row>
    <row r="83" spans="1:6" x14ac:dyDescent="0.4">
      <c r="A83" t="s">
        <v>379</v>
      </c>
      <c r="B83" s="258">
        <v>110</v>
      </c>
      <c r="C83" s="175">
        <v>0.95200000000000007</v>
      </c>
      <c r="D83" s="175">
        <v>0.95400000000000007</v>
      </c>
      <c r="E83" s="175">
        <v>0.95099999999999996</v>
      </c>
      <c r="F83" s="175"/>
    </row>
    <row r="84" spans="1:6" x14ac:dyDescent="0.4">
      <c r="A84" t="s">
        <v>379</v>
      </c>
      <c r="B84" s="258">
        <v>132</v>
      </c>
      <c r="C84" s="175">
        <v>0.95400000000000007</v>
      </c>
      <c r="D84" s="175">
        <v>0.95599999999999996</v>
      </c>
      <c r="E84" s="175">
        <v>0.95400000000000007</v>
      </c>
      <c r="F84" s="175"/>
    </row>
    <row r="85" spans="1:6" x14ac:dyDescent="0.4">
      <c r="A85" t="s">
        <v>379</v>
      </c>
      <c r="B85" s="258">
        <v>160</v>
      </c>
      <c r="C85" s="175">
        <v>0.95599999999999996</v>
      </c>
      <c r="D85" s="175">
        <v>0.95799999999999996</v>
      </c>
      <c r="E85" s="175">
        <v>0.95599999999999996</v>
      </c>
      <c r="F85" s="175"/>
    </row>
    <row r="86" spans="1:6" x14ac:dyDescent="0.4">
      <c r="A86" t="s">
        <v>379</v>
      </c>
      <c r="B86" s="258">
        <v>185</v>
      </c>
      <c r="C86" s="175">
        <v>0.95799999999999996</v>
      </c>
      <c r="D86" s="175">
        <v>0.96</v>
      </c>
      <c r="E86" s="175">
        <v>0.95799999999999996</v>
      </c>
      <c r="F86" s="175"/>
    </row>
    <row r="87" spans="1:6" x14ac:dyDescent="0.4">
      <c r="A87" t="s">
        <v>379</v>
      </c>
      <c r="B87" s="258">
        <v>200</v>
      </c>
      <c r="C87" s="175">
        <v>0.95799999999999996</v>
      </c>
      <c r="D87" s="175">
        <v>0.96</v>
      </c>
      <c r="E87" s="175">
        <v>0.95799999999999996</v>
      </c>
      <c r="F87" s="175"/>
    </row>
    <row r="88" spans="1:6" x14ac:dyDescent="0.4">
      <c r="A88" t="s">
        <v>379</v>
      </c>
      <c r="B88" s="258">
        <v>220</v>
      </c>
      <c r="C88" s="175">
        <v>0.95799999999999996</v>
      </c>
      <c r="D88" s="175">
        <v>0.96</v>
      </c>
      <c r="E88" s="175">
        <v>0.95799999999999996</v>
      </c>
      <c r="F88" s="175"/>
    </row>
    <row r="89" spans="1:6" x14ac:dyDescent="0.4">
      <c r="A89" t="s">
        <v>379</v>
      </c>
      <c r="B89" s="258">
        <v>250</v>
      </c>
      <c r="C89" s="175">
        <v>0.95799999999999996</v>
      </c>
      <c r="D89" s="175">
        <v>0.96</v>
      </c>
      <c r="E89" s="175">
        <v>0.95799999999999996</v>
      </c>
      <c r="F89" s="175"/>
    </row>
    <row r="90" spans="1:6" x14ac:dyDescent="0.4">
      <c r="A90" t="s">
        <v>379</v>
      </c>
      <c r="B90" s="258">
        <v>280</v>
      </c>
      <c r="C90" s="175">
        <v>0.95799999999999996</v>
      </c>
      <c r="D90" s="175">
        <v>0.96</v>
      </c>
      <c r="E90" s="175">
        <v>0.95799999999999996</v>
      </c>
      <c r="F90" s="175"/>
    </row>
    <row r="91" spans="1:6" x14ac:dyDescent="0.4">
      <c r="A91" t="s">
        <v>379</v>
      </c>
      <c r="B91" s="258">
        <v>300</v>
      </c>
      <c r="C91" s="175">
        <v>0.95799999999999996</v>
      </c>
      <c r="D91" s="175">
        <v>0.96</v>
      </c>
      <c r="E91" s="175">
        <v>0.95799999999999996</v>
      </c>
      <c r="F91" s="175"/>
    </row>
    <row r="92" spans="1:6" x14ac:dyDescent="0.4">
      <c r="A92" t="s">
        <v>379</v>
      </c>
      <c r="B92" s="258">
        <v>315</v>
      </c>
      <c r="C92" s="175">
        <v>0.95799999999999996</v>
      </c>
      <c r="D92" s="175">
        <v>0.96</v>
      </c>
      <c r="E92" s="175">
        <v>0.95799999999999996</v>
      </c>
      <c r="F92" s="175"/>
    </row>
    <row r="93" spans="1:6" x14ac:dyDescent="0.4">
      <c r="A93" t="s">
        <v>379</v>
      </c>
      <c r="B93" s="258">
        <v>355</v>
      </c>
      <c r="C93" s="175">
        <v>0.95799999999999996</v>
      </c>
      <c r="D93" s="175">
        <v>0.96</v>
      </c>
      <c r="E93" s="175">
        <v>0.95799999999999996</v>
      </c>
      <c r="F93" s="175"/>
    </row>
    <row r="94" spans="1:6" x14ac:dyDescent="0.4">
      <c r="A94" t="s">
        <v>379</v>
      </c>
      <c r="B94" s="258">
        <v>375</v>
      </c>
      <c r="C94" s="175">
        <v>0.95799999999999996</v>
      </c>
      <c r="D94" s="175">
        <v>0.96</v>
      </c>
      <c r="E94" s="175">
        <v>0.95799999999999996</v>
      </c>
      <c r="F94" s="175"/>
    </row>
    <row r="95" spans="1:6" x14ac:dyDescent="0.4">
      <c r="A95" t="s">
        <v>380</v>
      </c>
      <c r="B95" s="256">
        <v>0.75</v>
      </c>
      <c r="C95" s="175">
        <v>0.83499999999999996</v>
      </c>
      <c r="D95" s="175">
        <v>0.85699999999999998</v>
      </c>
      <c r="E95" s="175">
        <v>0.82700000000000007</v>
      </c>
      <c r="F95" s="175">
        <v>0.78400000000000003</v>
      </c>
    </row>
    <row r="96" spans="1:6" x14ac:dyDescent="0.4">
      <c r="A96" t="s">
        <v>380</v>
      </c>
      <c r="B96" s="257">
        <v>1.1000000000000001</v>
      </c>
      <c r="C96" s="175">
        <v>0.85199999999999998</v>
      </c>
      <c r="D96" s="175">
        <v>0.872</v>
      </c>
      <c r="E96" s="175">
        <v>0.84499999999999997</v>
      </c>
      <c r="F96" s="175">
        <v>0.80799999999999994</v>
      </c>
    </row>
    <row r="97" spans="1:6" x14ac:dyDescent="0.4">
      <c r="A97" t="s">
        <v>380</v>
      </c>
      <c r="B97" s="257">
        <v>1.5</v>
      </c>
      <c r="C97" s="175">
        <v>0.86499999999999999</v>
      </c>
      <c r="D97" s="175">
        <v>0.88200000000000001</v>
      </c>
      <c r="E97" s="175">
        <v>0.8590000000000001</v>
      </c>
      <c r="F97" s="175">
        <v>0.82599999999999996</v>
      </c>
    </row>
    <row r="98" spans="1:6" x14ac:dyDescent="0.4">
      <c r="A98" t="s">
        <v>380</v>
      </c>
      <c r="B98" s="257">
        <v>2.2000000000000002</v>
      </c>
      <c r="C98" s="175">
        <v>0.88</v>
      </c>
      <c r="D98" s="175">
        <v>0.89500000000000002</v>
      </c>
      <c r="E98" s="175">
        <v>0.87400000000000011</v>
      </c>
      <c r="F98" s="175">
        <v>0.84499999999999997</v>
      </c>
    </row>
    <row r="99" spans="1:6" x14ac:dyDescent="0.4">
      <c r="A99" t="s">
        <v>380</v>
      </c>
      <c r="B99" s="257">
        <v>3</v>
      </c>
      <c r="C99" s="175">
        <v>0.8909999999999999</v>
      </c>
      <c r="D99" s="175">
        <v>0.90400000000000003</v>
      </c>
      <c r="E99" s="175">
        <v>0.8859999999999999</v>
      </c>
      <c r="F99" s="175">
        <v>0.8590000000000001</v>
      </c>
    </row>
    <row r="100" spans="1:6" x14ac:dyDescent="0.4">
      <c r="A100" t="s">
        <v>380</v>
      </c>
      <c r="B100" s="257">
        <v>3.7</v>
      </c>
      <c r="C100" s="175">
        <v>0.89700000000000002</v>
      </c>
      <c r="D100" s="175">
        <v>0.90900000000000003</v>
      </c>
      <c r="E100" s="175">
        <v>0.89300000000000002</v>
      </c>
      <c r="F100" s="175">
        <v>0.86799999999999999</v>
      </c>
    </row>
    <row r="101" spans="1:6" x14ac:dyDescent="0.4">
      <c r="A101" t="s">
        <v>380</v>
      </c>
      <c r="B101" s="257">
        <v>4</v>
      </c>
      <c r="C101" s="175">
        <v>0.9</v>
      </c>
      <c r="D101" s="175">
        <v>0.91099999999999992</v>
      </c>
      <c r="E101" s="175">
        <v>0.89500000000000002</v>
      </c>
      <c r="F101" s="175">
        <v>0.871</v>
      </c>
    </row>
    <row r="102" spans="1:6" x14ac:dyDescent="0.4">
      <c r="A102" t="s">
        <v>380</v>
      </c>
      <c r="B102" s="257">
        <v>5.5</v>
      </c>
      <c r="C102" s="175">
        <v>0.90900000000000003</v>
      </c>
      <c r="D102" s="175">
        <v>0.91900000000000004</v>
      </c>
      <c r="E102" s="175">
        <v>0.90500000000000003</v>
      </c>
      <c r="F102" s="175">
        <v>0.88300000000000001</v>
      </c>
    </row>
    <row r="103" spans="1:6" x14ac:dyDescent="0.4">
      <c r="A103" t="s">
        <v>380</v>
      </c>
      <c r="B103" s="257">
        <v>7.5</v>
      </c>
      <c r="C103" s="175">
        <v>0.91700000000000004</v>
      </c>
      <c r="D103" s="175">
        <v>0.92599999999999993</v>
      </c>
      <c r="E103" s="175">
        <v>0.91299999999999992</v>
      </c>
      <c r="F103" s="175">
        <v>0.89300000000000002</v>
      </c>
    </row>
    <row r="104" spans="1:6" x14ac:dyDescent="0.4">
      <c r="A104" t="s">
        <v>380</v>
      </c>
      <c r="B104" s="258">
        <v>11</v>
      </c>
      <c r="C104" s="175">
        <v>0.92599999999999993</v>
      </c>
      <c r="D104" s="175">
        <v>0.93299999999999994</v>
      </c>
      <c r="E104" s="175">
        <v>0.92299999999999993</v>
      </c>
      <c r="F104" s="175">
        <v>0.90400000000000003</v>
      </c>
    </row>
    <row r="105" spans="1:6" x14ac:dyDescent="0.4">
      <c r="A105" t="s">
        <v>380</v>
      </c>
      <c r="B105" s="258">
        <v>15</v>
      </c>
      <c r="C105" s="175">
        <v>0.93299999999999994</v>
      </c>
      <c r="D105" s="175">
        <v>0.93900000000000006</v>
      </c>
      <c r="E105" s="175">
        <v>0.92900000000000005</v>
      </c>
      <c r="F105" s="175">
        <v>0.91200000000000003</v>
      </c>
    </row>
    <row r="106" spans="1:6" x14ac:dyDescent="0.4">
      <c r="A106" t="s">
        <v>380</v>
      </c>
      <c r="B106" s="258">
        <v>18.5</v>
      </c>
      <c r="C106" s="175">
        <v>0.93700000000000006</v>
      </c>
      <c r="D106" s="175">
        <v>0.94200000000000006</v>
      </c>
      <c r="E106" s="175">
        <v>0.93400000000000005</v>
      </c>
      <c r="F106" s="175">
        <v>0.91700000000000004</v>
      </c>
    </row>
    <row r="107" spans="1:6" x14ac:dyDescent="0.4">
      <c r="A107" t="s">
        <v>380</v>
      </c>
      <c r="B107" s="258">
        <v>22</v>
      </c>
      <c r="C107" s="175">
        <v>0.94</v>
      </c>
      <c r="D107" s="175">
        <v>0.94499999999999995</v>
      </c>
      <c r="E107" s="175">
        <v>0.93700000000000006</v>
      </c>
      <c r="F107" s="175">
        <v>0.92099999999999993</v>
      </c>
    </row>
    <row r="108" spans="1:6" x14ac:dyDescent="0.4">
      <c r="A108" t="s">
        <v>380</v>
      </c>
      <c r="B108" s="258">
        <v>30</v>
      </c>
      <c r="C108" s="175">
        <v>0.94499999999999995</v>
      </c>
      <c r="D108" s="175">
        <v>0.94900000000000007</v>
      </c>
      <c r="E108" s="175">
        <v>0.94200000000000006</v>
      </c>
      <c r="F108" s="175">
        <v>0.92700000000000005</v>
      </c>
    </row>
    <row r="109" spans="1:6" x14ac:dyDescent="0.4">
      <c r="A109" t="s">
        <v>380</v>
      </c>
      <c r="B109" s="258">
        <v>37</v>
      </c>
      <c r="C109" s="175">
        <v>0.94799999999999995</v>
      </c>
      <c r="D109" s="175">
        <v>0.95200000000000007</v>
      </c>
      <c r="E109" s="175">
        <v>0.94499999999999995</v>
      </c>
      <c r="F109" s="175">
        <v>0.93099999999999994</v>
      </c>
    </row>
    <row r="110" spans="1:6" x14ac:dyDescent="0.4">
      <c r="A110" t="s">
        <v>380</v>
      </c>
      <c r="B110" s="258">
        <v>45</v>
      </c>
      <c r="C110" s="175">
        <v>0.95</v>
      </c>
      <c r="D110" s="175">
        <v>0.95400000000000007</v>
      </c>
      <c r="E110" s="175">
        <v>0.94799999999999995</v>
      </c>
      <c r="F110" s="175">
        <v>0.93400000000000005</v>
      </c>
    </row>
    <row r="111" spans="1:6" x14ac:dyDescent="0.4">
      <c r="A111" t="s">
        <v>380</v>
      </c>
      <c r="B111" s="258">
        <v>55</v>
      </c>
      <c r="C111" s="175">
        <v>0.95299999999999996</v>
      </c>
      <c r="D111" s="175">
        <v>0.95700000000000007</v>
      </c>
      <c r="E111" s="175">
        <v>0.95099999999999996</v>
      </c>
      <c r="F111" s="175">
        <v>0.93700000000000006</v>
      </c>
    </row>
    <row r="112" spans="1:6" x14ac:dyDescent="0.4">
      <c r="A112" t="s">
        <v>380</v>
      </c>
      <c r="B112" s="258">
        <v>75</v>
      </c>
      <c r="C112" s="175">
        <v>0.95599999999999996</v>
      </c>
      <c r="D112" s="175">
        <v>0.96</v>
      </c>
      <c r="E112" s="175">
        <v>0.95400000000000007</v>
      </c>
      <c r="F112" s="175">
        <v>0.94200000000000006</v>
      </c>
    </row>
    <row r="113" spans="1:6" x14ac:dyDescent="0.4">
      <c r="A113" t="s">
        <v>380</v>
      </c>
      <c r="B113" s="258">
        <v>90</v>
      </c>
      <c r="C113" s="175">
        <v>0.95799999999999996</v>
      </c>
      <c r="D113" s="175">
        <v>0.96099999999999997</v>
      </c>
      <c r="E113" s="175">
        <v>0.95599999999999996</v>
      </c>
      <c r="F113" s="175">
        <v>0.94400000000000006</v>
      </c>
    </row>
    <row r="114" spans="1:6" x14ac:dyDescent="0.4">
      <c r="A114" t="s">
        <v>380</v>
      </c>
      <c r="B114" s="258">
        <v>110</v>
      </c>
      <c r="C114" s="175">
        <v>0.96</v>
      </c>
      <c r="D114" s="175">
        <v>0.96299999999999997</v>
      </c>
      <c r="E114" s="175">
        <v>0.95799999999999996</v>
      </c>
      <c r="F114" s="175">
        <v>0.94700000000000006</v>
      </c>
    </row>
    <row r="115" spans="1:6" x14ac:dyDescent="0.4">
      <c r="A115" t="s">
        <v>380</v>
      </c>
      <c r="B115" s="258">
        <v>132</v>
      </c>
      <c r="C115" s="175">
        <v>0.96200000000000008</v>
      </c>
      <c r="D115" s="175">
        <v>0.96400000000000008</v>
      </c>
      <c r="E115" s="175">
        <v>0.96</v>
      </c>
      <c r="F115" s="175">
        <v>0.94900000000000007</v>
      </c>
    </row>
    <row r="116" spans="1:6" x14ac:dyDescent="0.4">
      <c r="A116" t="s">
        <v>380</v>
      </c>
      <c r="B116" s="258">
        <v>160</v>
      </c>
      <c r="C116" s="175">
        <v>0.96299999999999997</v>
      </c>
      <c r="D116" s="175">
        <v>0.96599999999999997</v>
      </c>
      <c r="E116" s="175">
        <v>0.96200000000000008</v>
      </c>
      <c r="F116" s="175">
        <v>0.95099999999999996</v>
      </c>
    </row>
    <row r="117" spans="1:6" x14ac:dyDescent="0.4">
      <c r="A117" t="s">
        <v>380</v>
      </c>
      <c r="B117" s="258">
        <v>200</v>
      </c>
      <c r="C117" s="175">
        <v>0.96499999999999997</v>
      </c>
      <c r="D117" s="175">
        <v>0.96700000000000008</v>
      </c>
      <c r="E117" s="175">
        <v>0.96299999999999997</v>
      </c>
      <c r="F117" s="175">
        <v>0.95400000000000007</v>
      </c>
    </row>
    <row r="118" spans="1:6" x14ac:dyDescent="0.4">
      <c r="A118" t="s">
        <v>380</v>
      </c>
      <c r="B118" s="258">
        <v>250</v>
      </c>
      <c r="C118" s="175">
        <v>0.96499999999999997</v>
      </c>
      <c r="D118" s="175">
        <v>0.96700000000000008</v>
      </c>
      <c r="E118" s="175">
        <v>0.96499999999999997</v>
      </c>
      <c r="F118" s="175">
        <v>0.95400000000000007</v>
      </c>
    </row>
    <row r="119" spans="1:6" x14ac:dyDescent="0.4">
      <c r="A119" t="s">
        <v>380</v>
      </c>
      <c r="B119" s="258">
        <v>315</v>
      </c>
      <c r="C119" s="259">
        <v>0.96499999999999997</v>
      </c>
      <c r="D119" s="259">
        <v>0.96700000000000008</v>
      </c>
      <c r="E119" s="259">
        <v>0.96599999999999997</v>
      </c>
      <c r="F119" s="259">
        <v>0.95400000000000007</v>
      </c>
    </row>
    <row r="120" spans="1:6" x14ac:dyDescent="0.4">
      <c r="A120" t="s">
        <v>380</v>
      </c>
      <c r="B120" s="260">
        <v>355</v>
      </c>
      <c r="C120" s="259">
        <v>0.96499999999999997</v>
      </c>
      <c r="D120" s="259">
        <v>0.96700000000000008</v>
      </c>
      <c r="E120" s="259">
        <v>0.96599999999999997</v>
      </c>
      <c r="F120" s="259">
        <v>0.95400000000000007</v>
      </c>
    </row>
    <row r="121" spans="1:6" x14ac:dyDescent="0.4">
      <c r="A121" t="s">
        <v>380</v>
      </c>
      <c r="B121" s="260">
        <v>375</v>
      </c>
      <c r="C121" s="175">
        <v>0.96499999999999997</v>
      </c>
      <c r="D121" s="175">
        <v>0.96700000000000008</v>
      </c>
      <c r="E121" s="175">
        <v>0.96599999999999997</v>
      </c>
      <c r="F121" s="175">
        <v>0.95400000000000007</v>
      </c>
    </row>
    <row r="122" spans="1:6" x14ac:dyDescent="0.4">
      <c r="A122" t="s">
        <v>380</v>
      </c>
      <c r="B122" s="258">
        <v>1000</v>
      </c>
      <c r="C122" s="259">
        <v>0.96499999999999997</v>
      </c>
      <c r="D122" s="259">
        <v>0.96700000000000008</v>
      </c>
      <c r="E122" s="259">
        <v>0.96599999999999997</v>
      </c>
      <c r="F122" s="259">
        <v>0.95400000000000007</v>
      </c>
    </row>
  </sheetData>
  <sheetProtection formatCells="0" formatColumns="0" formatRows="0"/>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11"/>
  <sheetViews>
    <sheetView view="pageBreakPreview" zoomScale="55" zoomScaleNormal="70" zoomScaleSheetLayoutView="55" workbookViewId="0">
      <selection activeCell="F196" sqref="F196"/>
    </sheetView>
  </sheetViews>
  <sheetFormatPr defaultColWidth="8.875" defaultRowHeight="18.75" x14ac:dyDescent="0.4"/>
  <cols>
    <col min="2" max="2" width="9.125" customWidth="1"/>
    <col min="3" max="22" width="9.375" customWidth="1"/>
  </cols>
  <sheetData>
    <row r="1" spans="1:22" s="264" customFormat="1" ht="30" x14ac:dyDescent="0.6">
      <c r="A1" s="263" t="s">
        <v>558</v>
      </c>
    </row>
    <row r="2" spans="1:22" s="264" customFormat="1" ht="30" x14ac:dyDescent="0.6">
      <c r="A2" s="263"/>
    </row>
    <row r="3" spans="1:22" s="264" customFormat="1" ht="30" x14ac:dyDescent="0.6">
      <c r="A3" s="263"/>
    </row>
    <row r="4" spans="1:22" s="264" customFormat="1" ht="18" customHeight="1" x14ac:dyDescent="0.6">
      <c r="A4" s="263"/>
    </row>
    <row r="5" spans="1:22" s="264" customFormat="1" ht="18" customHeight="1" x14ac:dyDescent="0.6">
      <c r="A5" s="263"/>
    </row>
    <row r="6" spans="1:22" s="264" customFormat="1" ht="18" customHeight="1" x14ac:dyDescent="0.6">
      <c r="A6" s="263"/>
    </row>
    <row r="7" spans="1:22" s="264" customFormat="1" ht="18" customHeight="1" x14ac:dyDescent="0.6">
      <c r="A7" s="263"/>
    </row>
    <row r="8" spans="1:22" s="264" customFormat="1" ht="18" customHeight="1" x14ac:dyDescent="0.6">
      <c r="A8" s="263"/>
    </row>
    <row r="9" spans="1:22" s="264" customFormat="1" ht="18" customHeight="1" x14ac:dyDescent="0.6">
      <c r="A9" s="263"/>
    </row>
    <row r="10" spans="1:22" s="264" customFormat="1" x14ac:dyDescent="0.4">
      <c r="B10" s="596" t="s">
        <v>139</v>
      </c>
      <c r="C10" s="193" t="s">
        <v>76</v>
      </c>
      <c r="D10" s="193"/>
      <c r="E10" s="342"/>
      <c r="F10" s="193"/>
      <c r="G10" s="193"/>
      <c r="H10" s="193"/>
      <c r="I10" s="193"/>
      <c r="J10" s="193"/>
      <c r="K10" s="193"/>
      <c r="L10" s="193"/>
      <c r="M10" s="193" t="s">
        <v>86</v>
      </c>
      <c r="N10" s="193"/>
      <c r="O10" s="193"/>
      <c r="P10" s="193"/>
      <c r="Q10" s="193"/>
      <c r="R10" s="193"/>
      <c r="S10" s="193"/>
      <c r="T10" s="193"/>
      <c r="U10" s="193" t="s">
        <v>93</v>
      </c>
      <c r="V10" s="193"/>
    </row>
    <row r="11" spans="1:22" s="264" customFormat="1" ht="33" x14ac:dyDescent="0.4">
      <c r="B11" s="597"/>
      <c r="C11" s="343" t="s">
        <v>165</v>
      </c>
      <c r="D11" s="343" t="s">
        <v>390</v>
      </c>
      <c r="E11" s="344" t="s">
        <v>85</v>
      </c>
      <c r="F11" s="343" t="s">
        <v>885</v>
      </c>
      <c r="G11" s="343" t="s">
        <v>502</v>
      </c>
      <c r="H11" s="343" t="s">
        <v>503</v>
      </c>
      <c r="I11" s="343" t="s">
        <v>886</v>
      </c>
      <c r="J11" s="343" t="s">
        <v>887</v>
      </c>
      <c r="K11" s="343" t="s">
        <v>504</v>
      </c>
      <c r="L11" s="343" t="s">
        <v>442</v>
      </c>
      <c r="M11" s="343" t="s">
        <v>165</v>
      </c>
      <c r="N11" s="343" t="s">
        <v>391</v>
      </c>
      <c r="O11" s="343" t="s">
        <v>95</v>
      </c>
      <c r="P11" s="343" t="s">
        <v>503</v>
      </c>
      <c r="Q11" s="343" t="s">
        <v>888</v>
      </c>
      <c r="R11" s="343" t="s">
        <v>889</v>
      </c>
      <c r="S11" s="343" t="s">
        <v>505</v>
      </c>
      <c r="T11" s="343" t="s">
        <v>443</v>
      </c>
      <c r="U11" s="345" t="s">
        <v>451</v>
      </c>
      <c r="V11" s="345" t="s">
        <v>452</v>
      </c>
    </row>
    <row r="12" spans="1:22" s="264" customFormat="1" x14ac:dyDescent="0.4">
      <c r="B12" s="194" t="s">
        <v>138</v>
      </c>
      <c r="C12" s="194"/>
      <c r="D12" s="190" t="s">
        <v>78</v>
      </c>
      <c r="E12" s="346" t="s">
        <v>77</v>
      </c>
      <c r="F12" s="190" t="s">
        <v>79</v>
      </c>
      <c r="G12" s="190" t="s">
        <v>81</v>
      </c>
      <c r="H12" s="341"/>
      <c r="I12" s="190" t="s">
        <v>463</v>
      </c>
      <c r="J12" s="195" t="s">
        <v>82</v>
      </c>
      <c r="K12" s="190" t="s">
        <v>84</v>
      </c>
      <c r="L12" s="196" t="s">
        <v>62</v>
      </c>
      <c r="M12" s="196"/>
      <c r="N12" s="190" t="s">
        <v>78</v>
      </c>
      <c r="O12" s="190" t="s">
        <v>77</v>
      </c>
      <c r="P12" s="341"/>
      <c r="Q12" s="190" t="s">
        <v>463</v>
      </c>
      <c r="R12" s="190" t="s">
        <v>82</v>
      </c>
      <c r="S12" s="190" t="s">
        <v>84</v>
      </c>
      <c r="T12" s="196" t="s">
        <v>62</v>
      </c>
      <c r="U12" s="190" t="s">
        <v>84</v>
      </c>
      <c r="V12" s="196" t="s">
        <v>62</v>
      </c>
    </row>
    <row r="13" spans="1:22" s="264" customFormat="1" x14ac:dyDescent="0.4">
      <c r="B13" s="243" t="s">
        <v>506</v>
      </c>
      <c r="C13" s="197" t="s">
        <v>507</v>
      </c>
      <c r="D13" s="198">
        <v>64</v>
      </c>
      <c r="E13" s="347">
        <v>60</v>
      </c>
      <c r="F13" s="199">
        <v>8</v>
      </c>
      <c r="G13" s="199">
        <v>250</v>
      </c>
      <c r="H13" s="200"/>
      <c r="I13" s="199"/>
      <c r="J13" s="201">
        <f>IF(H13="",F13*G13,F13*G13*I13/100)</f>
        <v>2000</v>
      </c>
      <c r="K13" s="201">
        <f>D13*E13*J13/1000</f>
        <v>7680</v>
      </c>
      <c r="L13" s="348">
        <f>K13*係数!$H$30</f>
        <v>3.5020800000000003</v>
      </c>
      <c r="M13" s="202" t="s">
        <v>508</v>
      </c>
      <c r="N13" s="198">
        <v>26.3</v>
      </c>
      <c r="O13" s="199">
        <v>60</v>
      </c>
      <c r="P13" s="200" t="s">
        <v>316</v>
      </c>
      <c r="Q13" s="199">
        <v>20</v>
      </c>
      <c r="R13" s="201">
        <f>IF(P13="",J13,J13*Q13/100)</f>
        <v>400</v>
      </c>
      <c r="S13" s="201">
        <f>N13*O13*R13/1000</f>
        <v>631.20000000000005</v>
      </c>
      <c r="T13" s="348">
        <f>S13*係数!$H$30</f>
        <v>0.28782720000000006</v>
      </c>
      <c r="U13" s="201">
        <f>K13-S13</f>
        <v>7048.8</v>
      </c>
      <c r="V13" s="349">
        <f>L13-T13</f>
        <v>3.2142528000000001</v>
      </c>
    </row>
    <row r="14" spans="1:22" s="264" customFormat="1" ht="19.5" thickBot="1" x14ac:dyDescent="0.45"/>
    <row r="15" spans="1:22" s="264" customFormat="1" x14ac:dyDescent="0.4">
      <c r="L15" s="350" t="s">
        <v>559</v>
      </c>
      <c r="M15" s="351"/>
      <c r="N15" s="351"/>
      <c r="O15" s="351"/>
      <c r="P15" s="352"/>
    </row>
    <row r="16" spans="1:22" s="264" customFormat="1" x14ac:dyDescent="0.4">
      <c r="L16" s="353" t="s">
        <v>560</v>
      </c>
      <c r="M16" s="50" t="s">
        <v>561</v>
      </c>
      <c r="N16" s="50"/>
      <c r="O16" s="50"/>
      <c r="P16" s="354"/>
    </row>
    <row r="17" spans="1:16" s="264" customFormat="1" x14ac:dyDescent="0.4">
      <c r="L17" s="355" t="s">
        <v>562</v>
      </c>
      <c r="M17" s="356"/>
      <c r="N17" s="50"/>
      <c r="O17" s="50"/>
      <c r="P17" s="354"/>
    </row>
    <row r="18" spans="1:16" s="264" customFormat="1" x14ac:dyDescent="0.4">
      <c r="L18" s="592" t="s">
        <v>563</v>
      </c>
      <c r="M18" s="593"/>
      <c r="N18" s="2" t="s">
        <v>564</v>
      </c>
      <c r="O18" s="2" t="s">
        <v>565</v>
      </c>
      <c r="P18" s="357" t="s">
        <v>566</v>
      </c>
    </row>
    <row r="19" spans="1:16" s="264" customFormat="1" x14ac:dyDescent="0.4">
      <c r="L19" s="592" t="s">
        <v>567</v>
      </c>
      <c r="M19" s="593"/>
      <c r="N19" s="2" t="s">
        <v>568</v>
      </c>
      <c r="O19" s="2" t="s">
        <v>569</v>
      </c>
      <c r="P19" s="357" t="s">
        <v>570</v>
      </c>
    </row>
    <row r="20" spans="1:16" s="264" customFormat="1" ht="19.5" thickBot="1" x14ac:dyDescent="0.45">
      <c r="L20" s="594" t="s">
        <v>571</v>
      </c>
      <c r="M20" s="595"/>
      <c r="N20" s="358" t="s">
        <v>572</v>
      </c>
      <c r="O20" s="358" t="s">
        <v>573</v>
      </c>
      <c r="P20" s="359" t="s">
        <v>573</v>
      </c>
    </row>
    <row r="21" spans="1:16" s="264" customFormat="1" x14ac:dyDescent="0.4"/>
    <row r="22" spans="1:16" s="264" customFormat="1" x14ac:dyDescent="0.4"/>
    <row r="23" spans="1:16" s="264" customFormat="1" x14ac:dyDescent="0.4"/>
    <row r="24" spans="1:16" s="264" customFormat="1" x14ac:dyDescent="0.4"/>
    <row r="25" spans="1:16" s="264" customFormat="1" x14ac:dyDescent="0.4"/>
    <row r="26" spans="1:16" s="264" customFormat="1" x14ac:dyDescent="0.4"/>
    <row r="27" spans="1:16" s="264" customFormat="1" x14ac:dyDescent="0.4"/>
    <row r="28" spans="1:16" s="264" customFormat="1" x14ac:dyDescent="0.4"/>
    <row r="29" spans="1:16" s="264" customFormat="1" x14ac:dyDescent="0.4"/>
    <row r="30" spans="1:16" s="361" customFormat="1" ht="30" x14ac:dyDescent="0.6">
      <c r="A30" s="360" t="s">
        <v>574</v>
      </c>
    </row>
    <row r="31" spans="1:16" s="361" customFormat="1" ht="18" customHeight="1" x14ac:dyDescent="0.6">
      <c r="A31" s="360"/>
    </row>
    <row r="32" spans="1:16" s="361" customFormat="1" ht="18" customHeight="1" x14ac:dyDescent="0.6">
      <c r="A32" s="360"/>
    </row>
    <row r="33" spans="1:30" s="363" customFormat="1" x14ac:dyDescent="0.4">
      <c r="A33" s="362"/>
    </row>
    <row r="34" spans="1:30" s="363" customFormat="1" x14ac:dyDescent="0.4">
      <c r="A34" s="362"/>
      <c r="B34" s="187" t="s">
        <v>139</v>
      </c>
      <c r="C34" s="187" t="s">
        <v>109</v>
      </c>
      <c r="O34" s="598"/>
      <c r="P34" s="598"/>
      <c r="Q34" s="598"/>
      <c r="R34" s="598"/>
    </row>
    <row r="35" spans="1:30" s="363" customFormat="1" ht="20.25" x14ac:dyDescent="0.45">
      <c r="A35" s="362"/>
      <c r="B35" s="194" t="s">
        <v>513</v>
      </c>
      <c r="C35" s="265">
        <v>0.4</v>
      </c>
      <c r="O35" s="361"/>
      <c r="P35" s="364"/>
      <c r="Q35" s="364"/>
      <c r="R35" s="365"/>
    </row>
    <row r="36" spans="1:30" s="363" customFormat="1" ht="20.25" x14ac:dyDescent="0.45">
      <c r="A36" s="362"/>
      <c r="B36" s="194" t="s">
        <v>514</v>
      </c>
      <c r="C36" s="265">
        <v>0.4</v>
      </c>
      <c r="O36" s="366"/>
      <c r="P36" s="361"/>
      <c r="Q36" s="361"/>
      <c r="R36" s="364"/>
    </row>
    <row r="37" spans="1:30" s="363" customFormat="1" x14ac:dyDescent="0.4">
      <c r="A37" s="362"/>
      <c r="B37" s="367"/>
      <c r="C37" s="266"/>
    </row>
    <row r="38" spans="1:30" s="361" customFormat="1" x14ac:dyDescent="0.4">
      <c r="B38" s="599" t="s">
        <v>139</v>
      </c>
      <c r="C38" s="218" t="s">
        <v>76</v>
      </c>
      <c r="D38" s="219"/>
      <c r="E38" s="219"/>
      <c r="F38" s="219"/>
      <c r="G38" s="219"/>
      <c r="H38" s="220"/>
      <c r="I38" s="220"/>
      <c r="J38" s="220"/>
      <c r="K38" s="220"/>
      <c r="L38" s="220"/>
      <c r="M38" s="220"/>
      <c r="N38" s="220"/>
      <c r="O38" s="220"/>
      <c r="P38" s="220"/>
      <c r="Q38" s="220"/>
      <c r="R38" s="221"/>
      <c r="S38" s="368" t="s">
        <v>361</v>
      </c>
      <c r="T38" s="369"/>
      <c r="U38" s="222"/>
      <c r="V38" s="222"/>
      <c r="W38" s="222"/>
      <c r="X38" s="222"/>
      <c r="Y38" s="222"/>
      <c r="Z38" s="222"/>
      <c r="AA38" s="222"/>
      <c r="AB38" s="222"/>
      <c r="AC38" s="606" t="s">
        <v>93</v>
      </c>
      <c r="AD38" s="607"/>
    </row>
    <row r="39" spans="1:30" s="361" customFormat="1" x14ac:dyDescent="0.4">
      <c r="B39" s="600"/>
      <c r="C39" s="223"/>
      <c r="D39" s="224"/>
      <c r="E39" s="224"/>
      <c r="F39" s="370"/>
      <c r="G39" s="225" t="s">
        <v>357</v>
      </c>
      <c r="H39" s="371"/>
      <c r="I39" s="222"/>
      <c r="J39" s="222"/>
      <c r="K39" s="222"/>
      <c r="L39" s="225" t="s">
        <v>359</v>
      </c>
      <c r="M39" s="371"/>
      <c r="N39" s="222"/>
      <c r="O39" s="222"/>
      <c r="P39" s="222"/>
      <c r="Q39" s="225" t="s">
        <v>360</v>
      </c>
      <c r="R39" s="222"/>
      <c r="S39" s="223"/>
      <c r="T39" s="224"/>
      <c r="U39" s="225" t="s">
        <v>357</v>
      </c>
      <c r="V39" s="371"/>
      <c r="W39" s="222"/>
      <c r="X39" s="225" t="s">
        <v>359</v>
      </c>
      <c r="Y39" s="371"/>
      <c r="Z39" s="222"/>
      <c r="AA39" s="225" t="s">
        <v>360</v>
      </c>
      <c r="AB39" s="222"/>
      <c r="AC39" s="608"/>
      <c r="AD39" s="609"/>
    </row>
    <row r="40" spans="1:30" s="361" customFormat="1" ht="75" x14ac:dyDescent="0.4">
      <c r="B40" s="601"/>
      <c r="C40" s="372" t="s">
        <v>890</v>
      </c>
      <c r="D40" s="372" t="s">
        <v>891</v>
      </c>
      <c r="E40" s="372" t="s">
        <v>358</v>
      </c>
      <c r="F40" s="372" t="s">
        <v>515</v>
      </c>
      <c r="G40" s="372" t="s">
        <v>892</v>
      </c>
      <c r="H40" s="372" t="s">
        <v>893</v>
      </c>
      <c r="I40" s="372" t="s">
        <v>894</v>
      </c>
      <c r="J40" s="372" t="s">
        <v>895</v>
      </c>
      <c r="K40" s="372" t="s">
        <v>896</v>
      </c>
      <c r="L40" s="372" t="s">
        <v>892</v>
      </c>
      <c r="M40" s="372" t="s">
        <v>897</v>
      </c>
      <c r="N40" s="372" t="s">
        <v>894</v>
      </c>
      <c r="O40" s="372" t="s">
        <v>895</v>
      </c>
      <c r="P40" s="372" t="s">
        <v>898</v>
      </c>
      <c r="Q40" s="372" t="s">
        <v>399</v>
      </c>
      <c r="R40" s="372" t="s">
        <v>401</v>
      </c>
      <c r="S40" s="372" t="s">
        <v>890</v>
      </c>
      <c r="T40" s="372" t="s">
        <v>362</v>
      </c>
      <c r="U40" s="372" t="s">
        <v>516</v>
      </c>
      <c r="V40" s="372" t="s">
        <v>433</v>
      </c>
      <c r="W40" s="372" t="s">
        <v>363</v>
      </c>
      <c r="X40" s="372" t="s">
        <v>517</v>
      </c>
      <c r="Y40" s="372" t="s">
        <v>434</v>
      </c>
      <c r="Z40" s="372" t="s">
        <v>364</v>
      </c>
      <c r="AA40" s="372" t="s">
        <v>400</v>
      </c>
      <c r="AB40" s="372" t="s">
        <v>402</v>
      </c>
      <c r="AC40" s="345" t="s">
        <v>451</v>
      </c>
      <c r="AD40" s="345" t="s">
        <v>452</v>
      </c>
    </row>
    <row r="41" spans="1:30" s="361" customFormat="1" x14ac:dyDescent="0.4">
      <c r="B41" s="373" t="s">
        <v>138</v>
      </c>
      <c r="C41" s="194"/>
      <c r="D41" s="194"/>
      <c r="E41" s="190" t="s">
        <v>77</v>
      </c>
      <c r="F41" s="190"/>
      <c r="G41" s="190" t="s">
        <v>189</v>
      </c>
      <c r="H41" s="190" t="s">
        <v>94</v>
      </c>
      <c r="I41" s="190"/>
      <c r="J41" s="190"/>
      <c r="K41" s="190" t="s">
        <v>82</v>
      </c>
      <c r="L41" s="190" t="s">
        <v>189</v>
      </c>
      <c r="M41" s="190" t="s">
        <v>94</v>
      </c>
      <c r="N41" s="190"/>
      <c r="O41" s="190"/>
      <c r="P41" s="190" t="s">
        <v>82</v>
      </c>
      <c r="Q41" s="190" t="s">
        <v>84</v>
      </c>
      <c r="R41" s="196" t="s">
        <v>62</v>
      </c>
      <c r="S41" s="194"/>
      <c r="T41" s="190" t="s">
        <v>77</v>
      </c>
      <c r="U41" s="190"/>
      <c r="V41" s="190" t="s">
        <v>94</v>
      </c>
      <c r="W41" s="190" t="s">
        <v>82</v>
      </c>
      <c r="X41" s="190"/>
      <c r="Y41" s="190" t="s">
        <v>94</v>
      </c>
      <c r="Z41" s="190" t="s">
        <v>82</v>
      </c>
      <c r="AA41" s="190" t="s">
        <v>84</v>
      </c>
      <c r="AB41" s="196" t="s">
        <v>62</v>
      </c>
      <c r="AC41" s="190" t="s">
        <v>84</v>
      </c>
      <c r="AD41" s="374" t="s">
        <v>62</v>
      </c>
    </row>
    <row r="42" spans="1:30" s="361" customFormat="1" x14ac:dyDescent="0.4">
      <c r="B42" s="375" t="s">
        <v>506</v>
      </c>
      <c r="C42" s="199" t="s">
        <v>518</v>
      </c>
      <c r="D42" s="199">
        <v>2008</v>
      </c>
      <c r="E42" s="199">
        <v>2</v>
      </c>
      <c r="F42" s="376">
        <f>IF(D42="",1,MIN(1.5,(2024-D42)*0.05+1))</f>
        <v>1.5</v>
      </c>
      <c r="G42" s="377">
        <v>28</v>
      </c>
      <c r="H42" s="378">
        <v>7.64</v>
      </c>
      <c r="I42" s="227">
        <v>8</v>
      </c>
      <c r="J42" s="227">
        <f>30+31+31+30</f>
        <v>122</v>
      </c>
      <c r="K42" s="229">
        <f>I42*J42</f>
        <v>976</v>
      </c>
      <c r="L42" s="228">
        <v>31.5</v>
      </c>
      <c r="M42" s="378">
        <v>8.59</v>
      </c>
      <c r="N42" s="227">
        <v>8</v>
      </c>
      <c r="O42" s="227">
        <f>30+31+31+28+31+30</f>
        <v>181</v>
      </c>
      <c r="P42" s="229">
        <f>N42*O42</f>
        <v>1448</v>
      </c>
      <c r="Q42" s="229">
        <f>H42*F42*E42*K42*$C$35+M42*F42*E42*P42*$C$36</f>
        <v>23873.951999999997</v>
      </c>
      <c r="R42" s="348">
        <f>Q42*係数!$H$30</f>
        <v>10.886522112</v>
      </c>
      <c r="S42" s="199" t="s">
        <v>519</v>
      </c>
      <c r="T42" s="199">
        <v>2</v>
      </c>
      <c r="U42" s="377">
        <v>28</v>
      </c>
      <c r="V42" s="378">
        <v>8.48</v>
      </c>
      <c r="W42" s="229">
        <f>IF(K42=0,0,K42)</f>
        <v>976</v>
      </c>
      <c r="X42" s="228">
        <v>31.5</v>
      </c>
      <c r="Y42" s="378">
        <v>7.7</v>
      </c>
      <c r="Z42" s="229">
        <f>IF(P42=0,0,P42)</f>
        <v>1448</v>
      </c>
      <c r="AA42" s="229">
        <f>V42*T42*W42*$C$35+Y42*T42*Z42*$C$36</f>
        <v>15540.864000000001</v>
      </c>
      <c r="AB42" s="348">
        <f>AA42*係数!$H$30</f>
        <v>7.0866339840000014</v>
      </c>
      <c r="AC42" s="229">
        <f>Q42-AA42</f>
        <v>8333.0879999999961</v>
      </c>
      <c r="AD42" s="348">
        <f>R42-AB42</f>
        <v>3.7998881279999983</v>
      </c>
    </row>
    <row r="43" spans="1:30" s="361" customFormat="1" ht="19.5" thickBot="1" x14ac:dyDescent="0.45"/>
    <row r="44" spans="1:30" s="361" customFormat="1" x14ac:dyDescent="0.4">
      <c r="O44" s="350" t="s">
        <v>559</v>
      </c>
      <c r="P44" s="351"/>
      <c r="Q44" s="351"/>
      <c r="R44" s="351"/>
      <c r="S44" s="351"/>
      <c r="T44" s="352"/>
    </row>
    <row r="45" spans="1:30" s="361" customFormat="1" x14ac:dyDescent="0.4">
      <c r="O45" s="379" t="s">
        <v>575</v>
      </c>
      <c r="P45" s="50"/>
      <c r="Q45" s="51"/>
      <c r="R45" s="50" t="s">
        <v>519</v>
      </c>
      <c r="S45" s="50"/>
      <c r="T45" s="354"/>
    </row>
    <row r="46" spans="1:30" s="361" customFormat="1" x14ac:dyDescent="0.4">
      <c r="O46" s="592" t="s">
        <v>576</v>
      </c>
      <c r="P46" s="610"/>
      <c r="Q46" s="51"/>
      <c r="R46" s="49" t="s">
        <v>577</v>
      </c>
      <c r="S46" s="50"/>
      <c r="T46" s="354"/>
    </row>
    <row r="47" spans="1:30" s="361" customFormat="1" x14ac:dyDescent="0.4">
      <c r="O47" s="592" t="s">
        <v>578</v>
      </c>
      <c r="P47" s="605"/>
      <c r="Q47" s="51"/>
      <c r="R47" s="380">
        <v>28</v>
      </c>
      <c r="S47" s="381"/>
      <c r="T47" s="382"/>
    </row>
    <row r="48" spans="1:30" s="361" customFormat="1" x14ac:dyDescent="0.4">
      <c r="O48" s="592" t="s">
        <v>579</v>
      </c>
      <c r="P48" s="605"/>
      <c r="Q48" s="51"/>
      <c r="R48" s="383">
        <v>8.48</v>
      </c>
      <c r="S48" s="381"/>
      <c r="T48" s="382"/>
    </row>
    <row r="49" spans="1:20" s="361" customFormat="1" x14ac:dyDescent="0.4">
      <c r="O49" s="592" t="s">
        <v>580</v>
      </c>
      <c r="P49" s="605"/>
      <c r="Q49" s="51"/>
      <c r="R49" s="380">
        <v>31.5</v>
      </c>
      <c r="S49" s="381"/>
      <c r="T49" s="382"/>
    </row>
    <row r="50" spans="1:20" s="361" customFormat="1" x14ac:dyDescent="0.4">
      <c r="O50" s="353" t="s">
        <v>581</v>
      </c>
      <c r="P50" s="1"/>
      <c r="Q50" s="1"/>
      <c r="R50" s="383">
        <v>7.7</v>
      </c>
      <c r="S50" s="50"/>
      <c r="T50" s="354"/>
    </row>
    <row r="51" spans="1:20" s="361" customFormat="1" x14ac:dyDescent="0.4">
      <c r="O51" s="353" t="s">
        <v>582</v>
      </c>
      <c r="P51" s="1"/>
      <c r="Q51" s="1"/>
      <c r="R51" s="380">
        <v>23.8</v>
      </c>
      <c r="S51" s="50"/>
      <c r="T51" s="354"/>
    </row>
    <row r="52" spans="1:20" s="361" customFormat="1" ht="19.5" thickBot="1" x14ac:dyDescent="0.45">
      <c r="O52" s="384" t="s">
        <v>583</v>
      </c>
      <c r="P52" s="385"/>
      <c r="Q52" s="385"/>
      <c r="R52" s="386">
        <v>13.7</v>
      </c>
      <c r="S52" s="387"/>
      <c r="T52" s="388"/>
    </row>
    <row r="53" spans="1:20" s="361" customFormat="1" x14ac:dyDescent="0.4"/>
    <row r="54" spans="1:20" s="361" customFormat="1" x14ac:dyDescent="0.4"/>
    <row r="55" spans="1:20" s="361" customFormat="1" x14ac:dyDescent="0.4"/>
    <row r="56" spans="1:20" s="361" customFormat="1" x14ac:dyDescent="0.4"/>
    <row r="57" spans="1:20" s="361" customFormat="1" x14ac:dyDescent="0.4"/>
    <row r="58" spans="1:20" s="361" customFormat="1" x14ac:dyDescent="0.4"/>
    <row r="59" spans="1:20" s="390" customFormat="1" ht="30" x14ac:dyDescent="0.6">
      <c r="A59" s="389" t="s">
        <v>584</v>
      </c>
    </row>
    <row r="60" spans="1:20" s="390" customFormat="1" ht="30" x14ac:dyDescent="0.6">
      <c r="A60" s="389"/>
    </row>
    <row r="61" spans="1:20" s="390" customFormat="1" ht="19.350000000000001" customHeight="1" x14ac:dyDescent="0.6">
      <c r="A61" s="389"/>
      <c r="D61" s="391" t="s">
        <v>141</v>
      </c>
      <c r="E61" s="391" t="s">
        <v>112</v>
      </c>
    </row>
    <row r="62" spans="1:20" s="390" customFormat="1" x14ac:dyDescent="0.4">
      <c r="D62" s="182" t="s">
        <v>585</v>
      </c>
      <c r="E62" s="96" t="s">
        <v>586</v>
      </c>
    </row>
    <row r="63" spans="1:20" s="390" customFormat="1" x14ac:dyDescent="0.4"/>
    <row r="64" spans="1:20" s="390" customFormat="1" x14ac:dyDescent="0.4"/>
    <row r="65" spans="2:37" s="390" customFormat="1" x14ac:dyDescent="0.4">
      <c r="B65" s="187"/>
      <c r="C65" s="187" t="s">
        <v>109</v>
      </c>
    </row>
    <row r="66" spans="2:37" s="390" customFormat="1" ht="20.25" x14ac:dyDescent="0.45">
      <c r="B66" s="194" t="s">
        <v>513</v>
      </c>
      <c r="C66" s="265">
        <v>0.4</v>
      </c>
    </row>
    <row r="67" spans="2:37" s="390" customFormat="1" ht="20.25" x14ac:dyDescent="0.45">
      <c r="B67" s="194" t="s">
        <v>514</v>
      </c>
      <c r="C67" s="265">
        <v>0.4</v>
      </c>
    </row>
    <row r="68" spans="2:37" s="390" customFormat="1" x14ac:dyDescent="0.4"/>
    <row r="69" spans="2:37" s="390" customFormat="1" x14ac:dyDescent="0.4">
      <c r="B69" s="599" t="s">
        <v>139</v>
      </c>
      <c r="C69" s="239" t="s">
        <v>76</v>
      </c>
      <c r="D69" s="220"/>
      <c r="E69" s="220"/>
      <c r="F69" s="220"/>
      <c r="G69" s="220"/>
      <c r="H69" s="220"/>
      <c r="I69" s="220"/>
      <c r="J69" s="220"/>
      <c r="K69" s="220"/>
      <c r="L69" s="220"/>
      <c r="M69" s="220"/>
      <c r="N69" s="220"/>
      <c r="O69" s="220"/>
      <c r="P69" s="220"/>
      <c r="Q69" s="220"/>
      <c r="R69" s="220"/>
      <c r="S69" s="220"/>
      <c r="T69" s="220"/>
      <c r="U69" s="221"/>
      <c r="V69" s="368" t="s">
        <v>361</v>
      </c>
      <c r="W69" s="369"/>
      <c r="X69" s="369"/>
      <c r="Y69" s="220"/>
      <c r="Z69" s="222"/>
      <c r="AA69" s="222"/>
      <c r="AB69" s="222"/>
      <c r="AC69" s="220"/>
      <c r="AD69" s="222"/>
      <c r="AE69" s="222"/>
      <c r="AF69" s="220"/>
      <c r="AG69" s="222"/>
      <c r="AH69" s="221"/>
      <c r="AI69" s="606" t="s">
        <v>93</v>
      </c>
      <c r="AJ69" s="611"/>
      <c r="AK69" s="607"/>
    </row>
    <row r="70" spans="2:37" s="390" customFormat="1" x14ac:dyDescent="0.4">
      <c r="B70" s="600"/>
      <c r="C70" s="223"/>
      <c r="D70" s="224"/>
      <c r="E70" s="222"/>
      <c r="F70" s="221"/>
      <c r="G70" s="225" t="s">
        <v>357</v>
      </c>
      <c r="H70" s="371"/>
      <c r="I70" s="222"/>
      <c r="J70" s="222"/>
      <c r="K70" s="222"/>
      <c r="L70" s="222"/>
      <c r="M70" s="225" t="s">
        <v>359</v>
      </c>
      <c r="N70" s="371"/>
      <c r="O70" s="222"/>
      <c r="P70" s="222"/>
      <c r="Q70" s="222"/>
      <c r="R70" s="222"/>
      <c r="S70" s="225" t="s">
        <v>360</v>
      </c>
      <c r="T70" s="222"/>
      <c r="U70" s="221"/>
      <c r="V70" s="223"/>
      <c r="W70" s="224"/>
      <c r="X70" s="224"/>
      <c r="Y70" s="225" t="s">
        <v>357</v>
      </c>
      <c r="Z70" s="222"/>
      <c r="AA70" s="222"/>
      <c r="AB70" s="225" t="s">
        <v>359</v>
      </c>
      <c r="AC70" s="371"/>
      <c r="AD70" s="222"/>
      <c r="AE70" s="222"/>
      <c r="AF70" s="225" t="s">
        <v>360</v>
      </c>
      <c r="AG70" s="222"/>
      <c r="AH70" s="222"/>
      <c r="AI70" s="608"/>
      <c r="AJ70" s="612"/>
      <c r="AK70" s="609"/>
    </row>
    <row r="71" spans="2:37" s="390" customFormat="1" ht="57.75" x14ac:dyDescent="0.4">
      <c r="B71" s="601"/>
      <c r="C71" s="372" t="s">
        <v>890</v>
      </c>
      <c r="D71" s="372" t="s">
        <v>891</v>
      </c>
      <c r="E71" s="372" t="s">
        <v>358</v>
      </c>
      <c r="F71" s="372" t="s">
        <v>525</v>
      </c>
      <c r="G71" s="372" t="s">
        <v>892</v>
      </c>
      <c r="H71" s="372" t="s">
        <v>893</v>
      </c>
      <c r="I71" s="372" t="s">
        <v>899</v>
      </c>
      <c r="J71" s="372" t="s">
        <v>894</v>
      </c>
      <c r="K71" s="372" t="s">
        <v>895</v>
      </c>
      <c r="L71" s="372" t="s">
        <v>896</v>
      </c>
      <c r="M71" s="372" t="s">
        <v>892</v>
      </c>
      <c r="N71" s="372" t="s">
        <v>900</v>
      </c>
      <c r="O71" s="372" t="s">
        <v>901</v>
      </c>
      <c r="P71" s="372" t="s">
        <v>894</v>
      </c>
      <c r="Q71" s="372" t="s">
        <v>895</v>
      </c>
      <c r="R71" s="372" t="s">
        <v>898</v>
      </c>
      <c r="S71" s="372" t="s">
        <v>399</v>
      </c>
      <c r="T71" s="372" t="s">
        <v>435</v>
      </c>
      <c r="U71" s="372" t="s">
        <v>401</v>
      </c>
      <c r="V71" s="372" t="s">
        <v>890</v>
      </c>
      <c r="W71" s="372" t="s">
        <v>362</v>
      </c>
      <c r="X71" s="372" t="s">
        <v>892</v>
      </c>
      <c r="Y71" s="372" t="s">
        <v>902</v>
      </c>
      <c r="Z71" s="372" t="s">
        <v>903</v>
      </c>
      <c r="AA71" s="372" t="s">
        <v>904</v>
      </c>
      <c r="AB71" s="372" t="s">
        <v>892</v>
      </c>
      <c r="AC71" s="372" t="s">
        <v>905</v>
      </c>
      <c r="AD71" s="372" t="s">
        <v>906</v>
      </c>
      <c r="AE71" s="372" t="s">
        <v>907</v>
      </c>
      <c r="AF71" s="372" t="s">
        <v>400</v>
      </c>
      <c r="AG71" s="372" t="s">
        <v>437</v>
      </c>
      <c r="AH71" s="372" t="s">
        <v>438</v>
      </c>
      <c r="AI71" s="345" t="s">
        <v>451</v>
      </c>
      <c r="AJ71" s="372" t="s">
        <v>453</v>
      </c>
      <c r="AK71" s="345" t="s">
        <v>452</v>
      </c>
    </row>
    <row r="72" spans="2:37" s="390" customFormat="1" x14ac:dyDescent="0.4">
      <c r="B72" s="373" t="s">
        <v>138</v>
      </c>
      <c r="C72" s="194"/>
      <c r="D72" s="194"/>
      <c r="E72" s="190" t="s">
        <v>77</v>
      </c>
      <c r="F72" s="190"/>
      <c r="G72" s="190" t="s">
        <v>94</v>
      </c>
      <c r="H72" s="190" t="s">
        <v>94</v>
      </c>
      <c r="I72" s="190" t="s">
        <v>94</v>
      </c>
      <c r="J72" s="190"/>
      <c r="K72" s="190"/>
      <c r="L72" s="190" t="s">
        <v>82</v>
      </c>
      <c r="M72" s="190" t="s">
        <v>94</v>
      </c>
      <c r="N72" s="190" t="s">
        <v>94</v>
      </c>
      <c r="O72" s="190" t="s">
        <v>94</v>
      </c>
      <c r="P72" s="190"/>
      <c r="Q72" s="190"/>
      <c r="R72" s="190" t="s">
        <v>82</v>
      </c>
      <c r="S72" s="190" t="s">
        <v>84</v>
      </c>
      <c r="T72" s="392" t="s">
        <v>110</v>
      </c>
      <c r="U72" s="196" t="s">
        <v>62</v>
      </c>
      <c r="V72" s="194"/>
      <c r="W72" s="190" t="s">
        <v>77</v>
      </c>
      <c r="X72" s="190" t="s">
        <v>94</v>
      </c>
      <c r="Y72" s="190" t="s">
        <v>94</v>
      </c>
      <c r="Z72" s="190" t="s">
        <v>94</v>
      </c>
      <c r="AA72" s="190" t="s">
        <v>82</v>
      </c>
      <c r="AB72" s="190" t="s">
        <v>94</v>
      </c>
      <c r="AC72" s="190" t="s">
        <v>94</v>
      </c>
      <c r="AD72" s="190" t="s">
        <v>94</v>
      </c>
      <c r="AE72" s="190" t="s">
        <v>82</v>
      </c>
      <c r="AF72" s="190" t="s">
        <v>84</v>
      </c>
      <c r="AG72" s="392" t="s">
        <v>110</v>
      </c>
      <c r="AH72" s="196" t="s">
        <v>62</v>
      </c>
      <c r="AI72" s="190" t="s">
        <v>84</v>
      </c>
      <c r="AJ72" s="392" t="s">
        <v>454</v>
      </c>
      <c r="AK72" s="196" t="s">
        <v>62</v>
      </c>
    </row>
    <row r="73" spans="2:37" s="390" customFormat="1" x14ac:dyDescent="0.4">
      <c r="B73" s="375" t="s">
        <v>506</v>
      </c>
      <c r="C73" s="197" t="s">
        <v>526</v>
      </c>
      <c r="D73" s="197">
        <v>2006</v>
      </c>
      <c r="E73" s="199">
        <v>2</v>
      </c>
      <c r="F73" s="376">
        <f>IF(D73="",1,MIN(1.5,(2024-D73)*0.05+1))</f>
        <v>1.5</v>
      </c>
      <c r="G73" s="393">
        <v>22.4</v>
      </c>
      <c r="H73" s="394">
        <v>0.82</v>
      </c>
      <c r="I73" s="394">
        <v>16</v>
      </c>
      <c r="J73" s="395">
        <v>10</v>
      </c>
      <c r="K73" s="395">
        <f>30+31+31+30</f>
        <v>122</v>
      </c>
      <c r="L73" s="229">
        <f>J73*K73</f>
        <v>1220</v>
      </c>
      <c r="M73" s="240">
        <v>25</v>
      </c>
      <c r="N73" s="394">
        <v>0.86</v>
      </c>
      <c r="O73" s="394">
        <v>16.3</v>
      </c>
      <c r="P73" s="395">
        <v>10</v>
      </c>
      <c r="Q73" s="395">
        <f>30+31+31+28+31+30</f>
        <v>181</v>
      </c>
      <c r="R73" s="229">
        <f>P73*Q73</f>
        <v>1810</v>
      </c>
      <c r="S73" s="229">
        <f>F73*E73*(H73*L73*$C$14+N73*R73*$C$15)</f>
        <v>0</v>
      </c>
      <c r="T73" s="396">
        <f>F73*E73*(I73*L73*$C$14+O73*R73*$C$15)*860/11000</f>
        <v>0</v>
      </c>
      <c r="U73" s="348">
        <f>S73*係数!$H$30+T73*係数!$H$25</f>
        <v>0</v>
      </c>
      <c r="V73" s="197" t="s">
        <v>527</v>
      </c>
      <c r="W73" s="199">
        <v>2</v>
      </c>
      <c r="X73" s="393">
        <v>22.4</v>
      </c>
      <c r="Y73" s="397">
        <v>0.378</v>
      </c>
      <c r="Z73" s="394">
        <v>19.100000000000001</v>
      </c>
      <c r="AA73" s="229">
        <f>IF(L73="","",L73)</f>
        <v>1220</v>
      </c>
      <c r="AB73" s="240">
        <v>25</v>
      </c>
      <c r="AC73" s="397">
        <v>0.46600000000000003</v>
      </c>
      <c r="AD73" s="394">
        <v>18.600000000000001</v>
      </c>
      <c r="AE73" s="229">
        <f>IF(R73="","",R73)</f>
        <v>1810</v>
      </c>
      <c r="AF73" s="229">
        <f>W73*(Y73*AA73*$C$14+AC73*AE73*$C$15)</f>
        <v>0</v>
      </c>
      <c r="AG73" s="398">
        <f>W73*(Z73*AA73*$C$14+AD73*AE73*$C$15)*860/11000</f>
        <v>0</v>
      </c>
      <c r="AH73" s="348">
        <f>AF73*係数!$H$30+AG73*係数!$H$25</f>
        <v>0</v>
      </c>
      <c r="AI73" s="399">
        <f>S73-AF73</f>
        <v>0</v>
      </c>
      <c r="AJ73" s="400">
        <f>T73-AG73</f>
        <v>0</v>
      </c>
      <c r="AK73" s="401">
        <f>U73-AH73</f>
        <v>0</v>
      </c>
    </row>
    <row r="74" spans="2:37" s="390" customFormat="1" ht="19.5" thickBot="1" x14ac:dyDescent="0.45"/>
    <row r="75" spans="2:37" s="390" customFormat="1" x14ac:dyDescent="0.4">
      <c r="R75" s="350" t="s">
        <v>559</v>
      </c>
      <c r="S75" s="351"/>
      <c r="T75" s="351"/>
      <c r="U75" s="351"/>
      <c r="V75" s="351"/>
      <c r="W75" s="352"/>
    </row>
    <row r="76" spans="2:37" s="390" customFormat="1" x14ac:dyDescent="0.4">
      <c r="R76" s="379" t="s">
        <v>575</v>
      </c>
      <c r="S76" s="50"/>
      <c r="T76" s="51"/>
      <c r="U76" s="50" t="s">
        <v>587</v>
      </c>
      <c r="V76" s="50"/>
      <c r="W76" s="354"/>
    </row>
    <row r="77" spans="2:37" s="390" customFormat="1" x14ac:dyDescent="0.4">
      <c r="R77" s="592" t="s">
        <v>576</v>
      </c>
      <c r="S77" s="610"/>
      <c r="T77" s="51"/>
      <c r="U77" s="49" t="s">
        <v>588</v>
      </c>
      <c r="V77" s="50"/>
      <c r="W77" s="354"/>
    </row>
    <row r="78" spans="2:37" s="390" customFormat="1" x14ac:dyDescent="0.4">
      <c r="R78" s="602" t="s">
        <v>589</v>
      </c>
      <c r="S78" s="50" t="s">
        <v>498</v>
      </c>
      <c r="T78" s="51"/>
      <c r="U78" s="380">
        <v>22.4</v>
      </c>
      <c r="V78" s="381"/>
      <c r="W78" s="382"/>
    </row>
    <row r="79" spans="2:37" s="390" customFormat="1" x14ac:dyDescent="0.4">
      <c r="R79" s="602"/>
      <c r="S79" s="50" t="s">
        <v>590</v>
      </c>
      <c r="T79" s="51"/>
      <c r="U79" s="402">
        <v>0.378</v>
      </c>
      <c r="V79" s="381"/>
      <c r="W79" s="382"/>
    </row>
    <row r="80" spans="2:37" s="390" customFormat="1" x14ac:dyDescent="0.4">
      <c r="R80" s="602"/>
      <c r="S80" s="50" t="s">
        <v>440</v>
      </c>
      <c r="T80" s="51"/>
      <c r="U80" s="380">
        <v>19.100000000000001</v>
      </c>
      <c r="V80" s="381"/>
      <c r="W80" s="382"/>
    </row>
    <row r="81" spans="1:23" s="390" customFormat="1" x14ac:dyDescent="0.4">
      <c r="R81" s="602" t="s">
        <v>591</v>
      </c>
      <c r="S81" s="50" t="s">
        <v>498</v>
      </c>
      <c r="T81" s="51"/>
      <c r="U81" s="380">
        <v>12.3</v>
      </c>
      <c r="V81" s="381"/>
      <c r="W81" s="382"/>
    </row>
    <row r="82" spans="1:23" s="390" customFormat="1" x14ac:dyDescent="0.4">
      <c r="R82" s="602"/>
      <c r="S82" s="50" t="s">
        <v>590</v>
      </c>
      <c r="T82" s="51"/>
      <c r="U82" s="402">
        <v>0.32800000000000001</v>
      </c>
      <c r="V82" s="381"/>
      <c r="W82" s="382"/>
    </row>
    <row r="83" spans="1:23" s="390" customFormat="1" x14ac:dyDescent="0.4">
      <c r="R83" s="602"/>
      <c r="S83" s="50" t="s">
        <v>440</v>
      </c>
      <c r="T83" s="51"/>
      <c r="U83" s="380">
        <v>9.5</v>
      </c>
      <c r="V83" s="381"/>
      <c r="W83" s="382"/>
    </row>
    <row r="84" spans="1:23" s="390" customFormat="1" x14ac:dyDescent="0.4">
      <c r="R84" s="602" t="s">
        <v>592</v>
      </c>
      <c r="S84" s="50" t="s">
        <v>498</v>
      </c>
      <c r="T84" s="51"/>
      <c r="U84" s="380">
        <v>25</v>
      </c>
      <c r="V84" s="381"/>
      <c r="W84" s="382"/>
    </row>
    <row r="85" spans="1:23" s="390" customFormat="1" x14ac:dyDescent="0.4">
      <c r="R85" s="602"/>
      <c r="S85" s="50" t="s">
        <v>590</v>
      </c>
      <c r="T85" s="51"/>
      <c r="U85" s="402">
        <v>0.46600000000000003</v>
      </c>
      <c r="V85" s="381"/>
      <c r="W85" s="382"/>
    </row>
    <row r="86" spans="1:23" s="390" customFormat="1" x14ac:dyDescent="0.4">
      <c r="R86" s="602"/>
      <c r="S86" s="50" t="s">
        <v>440</v>
      </c>
      <c r="T86" s="51"/>
      <c r="U86" s="380">
        <v>18.600000000000001</v>
      </c>
      <c r="V86" s="381"/>
      <c r="W86" s="382"/>
    </row>
    <row r="87" spans="1:23" s="390" customFormat="1" x14ac:dyDescent="0.4">
      <c r="R87" s="602" t="s">
        <v>593</v>
      </c>
      <c r="S87" s="50" t="s">
        <v>498</v>
      </c>
      <c r="T87" s="51"/>
      <c r="U87" s="380">
        <v>13.7</v>
      </c>
      <c r="V87" s="381"/>
      <c r="W87" s="382"/>
    </row>
    <row r="88" spans="1:23" s="390" customFormat="1" x14ac:dyDescent="0.4">
      <c r="R88" s="602"/>
      <c r="S88" s="50" t="s">
        <v>590</v>
      </c>
      <c r="T88" s="51"/>
      <c r="U88" s="402">
        <v>0.221</v>
      </c>
      <c r="V88" s="381"/>
      <c r="W88" s="382"/>
    </row>
    <row r="89" spans="1:23" s="390" customFormat="1" x14ac:dyDescent="0.4">
      <c r="R89" s="602"/>
      <c r="S89" s="50" t="s">
        <v>440</v>
      </c>
      <c r="T89" s="51"/>
      <c r="U89" s="380">
        <v>7.2</v>
      </c>
      <c r="V89" s="381"/>
      <c r="W89" s="382"/>
    </row>
    <row r="90" spans="1:23" s="390" customFormat="1" x14ac:dyDescent="0.4">
      <c r="R90" s="602" t="s">
        <v>594</v>
      </c>
      <c r="S90" s="50" t="s">
        <v>498</v>
      </c>
      <c r="T90" s="51"/>
      <c r="U90" s="380">
        <v>25</v>
      </c>
      <c r="V90" s="381"/>
      <c r="W90" s="382"/>
    </row>
    <row r="91" spans="1:23" s="390" customFormat="1" x14ac:dyDescent="0.4">
      <c r="R91" s="602"/>
      <c r="S91" s="50" t="s">
        <v>590</v>
      </c>
      <c r="T91" s="51"/>
      <c r="U91" s="402">
        <v>0.496</v>
      </c>
      <c r="V91" s="381"/>
      <c r="W91" s="382"/>
    </row>
    <row r="92" spans="1:23" s="390" customFormat="1" x14ac:dyDescent="0.4">
      <c r="R92" s="602"/>
      <c r="S92" s="50" t="s">
        <v>440</v>
      </c>
      <c r="T92" s="51"/>
      <c r="U92" s="380">
        <v>27</v>
      </c>
      <c r="V92" s="381"/>
      <c r="W92" s="382"/>
    </row>
    <row r="93" spans="1:23" s="390" customFormat="1" x14ac:dyDescent="0.4"/>
    <row r="94" spans="1:23" s="404" customFormat="1" ht="30" x14ac:dyDescent="0.6">
      <c r="A94" s="403" t="s">
        <v>595</v>
      </c>
    </row>
    <row r="95" spans="1:23" s="404" customFormat="1" ht="18.600000000000001" customHeight="1" x14ac:dyDescent="0.6">
      <c r="A95" s="403"/>
    </row>
    <row r="96" spans="1:23" s="404" customFormat="1" ht="18.600000000000001" customHeight="1" x14ac:dyDescent="0.6">
      <c r="A96" s="403"/>
    </row>
    <row r="97" spans="1:42" s="404" customFormat="1" ht="18.600000000000001" customHeight="1" x14ac:dyDescent="0.6">
      <c r="A97" s="403"/>
    </row>
    <row r="98" spans="1:42" s="404" customFormat="1" ht="18.600000000000001" customHeight="1" x14ac:dyDescent="0.6">
      <c r="A98" s="403"/>
    </row>
    <row r="99" spans="1:42" s="404" customFormat="1" ht="18.600000000000001" customHeight="1" thickBot="1" x14ac:dyDescent="0.65">
      <c r="A99" s="403"/>
    </row>
    <row r="100" spans="1:42" s="404" customFormat="1" ht="18.600000000000001" customHeight="1" x14ac:dyDescent="0.6">
      <c r="A100" s="403"/>
      <c r="X100" s="350" t="s">
        <v>559</v>
      </c>
      <c r="Y100" s="351"/>
      <c r="Z100" s="351"/>
      <c r="AA100" s="351"/>
      <c r="AB100" s="351"/>
      <c r="AC100" s="352"/>
    </row>
    <row r="101" spans="1:42" s="404" customFormat="1" ht="18.600000000000001" customHeight="1" x14ac:dyDescent="0.6">
      <c r="A101" s="403"/>
      <c r="X101" s="379" t="s">
        <v>575</v>
      </c>
      <c r="Y101" s="50"/>
      <c r="Z101" s="51"/>
      <c r="AA101" s="50" t="s">
        <v>596</v>
      </c>
      <c r="AB101" s="50"/>
      <c r="AC101" s="354"/>
    </row>
    <row r="102" spans="1:42" s="404" customFormat="1" ht="18.600000000000001" customHeight="1" x14ac:dyDescent="0.6">
      <c r="A102" s="403"/>
      <c r="X102" s="589" t="s">
        <v>597</v>
      </c>
      <c r="Y102" s="405" t="s">
        <v>598</v>
      </c>
      <c r="Z102" s="406"/>
      <c r="AA102" s="51"/>
      <c r="AB102" s="407" t="s">
        <v>599</v>
      </c>
      <c r="AC102" s="408"/>
      <c r="AE102" s="409" t="s">
        <v>600</v>
      </c>
      <c r="AF102" s="59"/>
    </row>
    <row r="103" spans="1:42" s="404" customFormat="1" ht="18.600000000000001" customHeight="1" x14ac:dyDescent="0.6">
      <c r="A103" s="403"/>
      <c r="X103" s="590"/>
      <c r="Y103" s="50" t="s">
        <v>601</v>
      </c>
      <c r="Z103" s="50"/>
      <c r="AA103" s="410"/>
      <c r="AB103" s="411" t="s">
        <v>602</v>
      </c>
      <c r="AC103" s="412"/>
      <c r="AE103" s="413" t="s">
        <v>603</v>
      </c>
      <c r="AF103" s="414"/>
    </row>
    <row r="104" spans="1:42" s="404" customFormat="1" ht="18.600000000000001" customHeight="1" x14ac:dyDescent="0.6">
      <c r="A104" s="403"/>
      <c r="X104" s="590"/>
      <c r="Y104" s="50" t="s">
        <v>604</v>
      </c>
      <c r="Z104" s="50"/>
      <c r="AA104" s="415"/>
      <c r="AB104" s="411" t="s">
        <v>605</v>
      </c>
      <c r="AC104" s="412"/>
    </row>
    <row r="105" spans="1:42" s="404" customFormat="1" ht="18.600000000000001" customHeight="1" x14ac:dyDescent="0.6">
      <c r="A105" s="403"/>
      <c r="X105" s="591"/>
      <c r="Y105" s="50" t="s">
        <v>606</v>
      </c>
      <c r="Z105" s="50"/>
      <c r="AA105" s="410"/>
      <c r="AB105" s="407" t="s">
        <v>607</v>
      </c>
      <c r="AC105" s="412"/>
    </row>
    <row r="106" spans="1:42" s="404" customFormat="1" ht="18.600000000000001" customHeight="1" x14ac:dyDescent="0.6">
      <c r="A106" s="403"/>
    </row>
    <row r="107" spans="1:42" s="404" customFormat="1" x14ac:dyDescent="0.4">
      <c r="B107" s="596" t="s">
        <v>139</v>
      </c>
      <c r="C107" s="225" t="s">
        <v>76</v>
      </c>
      <c r="D107" s="222"/>
      <c r="E107" s="222"/>
      <c r="F107" s="222"/>
      <c r="G107" s="222"/>
      <c r="H107" s="222"/>
      <c r="I107" s="222"/>
      <c r="J107" s="222"/>
      <c r="K107" s="222"/>
      <c r="L107" s="222"/>
      <c r="M107" s="222"/>
      <c r="N107" s="222"/>
      <c r="O107" s="222"/>
      <c r="P107" s="222"/>
      <c r="Q107" s="222"/>
      <c r="R107" s="222"/>
      <c r="S107" s="222"/>
      <c r="T107" s="222"/>
      <c r="U107" s="222"/>
      <c r="V107" s="222"/>
      <c r="W107" s="222"/>
      <c r="X107" s="221"/>
      <c r="Y107" s="225" t="s">
        <v>86</v>
      </c>
      <c r="Z107" s="222"/>
      <c r="AA107" s="222"/>
      <c r="AB107" s="222"/>
      <c r="AC107" s="222"/>
      <c r="AD107" s="222"/>
      <c r="AE107" s="222"/>
      <c r="AF107" s="222"/>
      <c r="AG107" s="222"/>
      <c r="AH107" s="222"/>
      <c r="AI107" s="222"/>
      <c r="AJ107" s="222"/>
      <c r="AK107" s="222"/>
      <c r="AL107" s="221"/>
      <c r="AM107" s="225" t="s">
        <v>93</v>
      </c>
      <c r="AN107" s="221"/>
      <c r="AO107" s="225" t="s">
        <v>93</v>
      </c>
      <c r="AP107" s="221"/>
    </row>
    <row r="108" spans="1:42" s="404" customFormat="1" ht="56.25" x14ac:dyDescent="0.4">
      <c r="B108" s="597"/>
      <c r="C108" s="189" t="s">
        <v>532</v>
      </c>
      <c r="D108" s="189" t="s">
        <v>533</v>
      </c>
      <c r="E108" s="189" t="s">
        <v>534</v>
      </c>
      <c r="F108" s="189" t="s">
        <v>85</v>
      </c>
      <c r="G108" s="187" t="s">
        <v>141</v>
      </c>
      <c r="H108" s="187" t="s">
        <v>466</v>
      </c>
      <c r="I108" s="416" t="s">
        <v>535</v>
      </c>
      <c r="J108" s="189" t="s">
        <v>536</v>
      </c>
      <c r="K108" s="189" t="s">
        <v>537</v>
      </c>
      <c r="L108" s="189" t="s">
        <v>538</v>
      </c>
      <c r="M108" s="189" t="s">
        <v>462</v>
      </c>
      <c r="N108" s="189" t="s">
        <v>539</v>
      </c>
      <c r="O108" s="189" t="s">
        <v>466</v>
      </c>
      <c r="P108" s="189" t="s">
        <v>908</v>
      </c>
      <c r="Q108" s="189" t="s">
        <v>80</v>
      </c>
      <c r="R108" s="189" t="s">
        <v>909</v>
      </c>
      <c r="S108" s="189" t="s">
        <v>109</v>
      </c>
      <c r="T108" s="189" t="s">
        <v>467</v>
      </c>
      <c r="U108" s="189" t="s">
        <v>445</v>
      </c>
      <c r="V108" s="189" t="s">
        <v>456</v>
      </c>
      <c r="W108" s="189" t="s">
        <v>4</v>
      </c>
      <c r="X108" s="189" t="s">
        <v>490</v>
      </c>
      <c r="Y108" s="189" t="s">
        <v>532</v>
      </c>
      <c r="Z108" s="189" t="s">
        <v>95</v>
      </c>
      <c r="AA108" s="187" t="s">
        <v>141</v>
      </c>
      <c r="AB108" s="189" t="s">
        <v>537</v>
      </c>
      <c r="AC108" s="189" t="s">
        <v>538</v>
      </c>
      <c r="AD108" s="189" t="s">
        <v>462</v>
      </c>
      <c r="AE108" s="189" t="s">
        <v>392</v>
      </c>
      <c r="AF108" s="189" t="s">
        <v>466</v>
      </c>
      <c r="AG108" s="189" t="s">
        <v>910</v>
      </c>
      <c r="AH108" s="189" t="s">
        <v>109</v>
      </c>
      <c r="AI108" s="189" t="s">
        <v>455</v>
      </c>
      <c r="AJ108" s="189" t="s">
        <v>443</v>
      </c>
      <c r="AK108" s="189" t="s">
        <v>4</v>
      </c>
      <c r="AL108" s="189" t="s">
        <v>490</v>
      </c>
      <c r="AM108" s="189" t="s">
        <v>457</v>
      </c>
      <c r="AN108" s="226" t="s">
        <v>4</v>
      </c>
      <c r="AO108" s="372" t="s">
        <v>457</v>
      </c>
      <c r="AP108" s="372" t="s">
        <v>4</v>
      </c>
    </row>
    <row r="109" spans="1:42" s="404" customFormat="1" x14ac:dyDescent="0.4">
      <c r="B109" s="194" t="s">
        <v>138</v>
      </c>
      <c r="C109" s="194"/>
      <c r="D109" s="194"/>
      <c r="E109" s="194"/>
      <c r="F109" s="190" t="s">
        <v>77</v>
      </c>
      <c r="G109" s="194"/>
      <c r="H109" s="194"/>
      <c r="I109" s="371"/>
      <c r="J109" s="371"/>
      <c r="K109" s="371"/>
      <c r="L109" s="371"/>
      <c r="M109" s="190" t="s">
        <v>463</v>
      </c>
      <c r="N109" s="373" t="str">
        <f>"/(台・h)"</f>
        <v>/(台・h)</v>
      </c>
      <c r="O109" s="373"/>
      <c r="P109" s="190" t="s">
        <v>79</v>
      </c>
      <c r="Q109" s="190" t="s">
        <v>81</v>
      </c>
      <c r="R109" s="190" t="s">
        <v>82</v>
      </c>
      <c r="S109" s="190" t="s">
        <v>463</v>
      </c>
      <c r="T109" s="373" t="s">
        <v>468</v>
      </c>
      <c r="U109" s="392" t="str">
        <f>"/年"</f>
        <v>/年</v>
      </c>
      <c r="V109" s="196" t="s">
        <v>62</v>
      </c>
      <c r="W109" s="196" t="s">
        <v>464</v>
      </c>
      <c r="X109" s="190" t="s">
        <v>459</v>
      </c>
      <c r="Y109" s="196"/>
      <c r="Z109" s="190" t="s">
        <v>77</v>
      </c>
      <c r="AA109" s="196"/>
      <c r="AB109" s="371"/>
      <c r="AC109" s="371"/>
      <c r="AD109" s="194" t="s">
        <v>463</v>
      </c>
      <c r="AE109" s="373" t="str">
        <f>"/(台・h)"</f>
        <v>/(台・h)</v>
      </c>
      <c r="AF109" s="373"/>
      <c r="AG109" s="190" t="s">
        <v>82</v>
      </c>
      <c r="AH109" s="190" t="s">
        <v>463</v>
      </c>
      <c r="AI109" s="392" t="str">
        <f>"/年"</f>
        <v>/年</v>
      </c>
      <c r="AJ109" s="196" t="s">
        <v>62</v>
      </c>
      <c r="AK109" s="196" t="s">
        <v>464</v>
      </c>
      <c r="AL109" s="190" t="s">
        <v>459</v>
      </c>
      <c r="AM109" s="196" t="s">
        <v>62</v>
      </c>
      <c r="AN109" s="196" t="s">
        <v>464</v>
      </c>
      <c r="AO109" s="196" t="s">
        <v>62</v>
      </c>
      <c r="AP109" s="196" t="s">
        <v>464</v>
      </c>
    </row>
    <row r="110" spans="1:42" s="404" customFormat="1" x14ac:dyDescent="0.4">
      <c r="B110" s="243" t="s">
        <v>506</v>
      </c>
      <c r="C110" s="417" t="s">
        <v>544</v>
      </c>
      <c r="D110" s="417" t="s">
        <v>541</v>
      </c>
      <c r="E110" s="417">
        <v>2008</v>
      </c>
      <c r="F110" s="199">
        <v>2</v>
      </c>
      <c r="G110" s="418" t="s">
        <v>0</v>
      </c>
      <c r="H110" s="419" t="s">
        <v>608</v>
      </c>
      <c r="I110" s="420">
        <v>1.5</v>
      </c>
      <c r="J110" s="420" t="s">
        <v>609</v>
      </c>
      <c r="K110" s="421">
        <v>40</v>
      </c>
      <c r="L110" s="243" t="s">
        <v>542</v>
      </c>
      <c r="M110" s="244">
        <v>4.2417815482502652</v>
      </c>
      <c r="N110" s="199">
        <v>9.43</v>
      </c>
      <c r="O110" s="422" t="s">
        <v>608</v>
      </c>
      <c r="P110" s="199">
        <v>10</v>
      </c>
      <c r="Q110" s="199">
        <v>365</v>
      </c>
      <c r="R110" s="229">
        <v>3650</v>
      </c>
      <c r="S110" s="423">
        <v>0.4</v>
      </c>
      <c r="T110" s="424">
        <v>159.52000000000001</v>
      </c>
      <c r="U110" s="425">
        <v>41303.4</v>
      </c>
      <c r="V110" s="348">
        <v>18.875653800000002</v>
      </c>
      <c r="W110" s="245" t="s">
        <v>609</v>
      </c>
      <c r="X110" s="396">
        <v>10.624308368400001</v>
      </c>
      <c r="Y110" s="426" t="s">
        <v>911</v>
      </c>
      <c r="Z110" s="199">
        <v>2</v>
      </c>
      <c r="AA110" s="418" t="s">
        <v>0</v>
      </c>
      <c r="AB110" s="421">
        <v>40</v>
      </c>
      <c r="AC110" s="243" t="s">
        <v>542</v>
      </c>
      <c r="AD110" s="244">
        <v>4.2417815482502652</v>
      </c>
      <c r="AE110" s="427">
        <v>9.43</v>
      </c>
      <c r="AF110" s="422" t="s">
        <v>608</v>
      </c>
      <c r="AG110" s="229">
        <v>3650</v>
      </c>
      <c r="AH110" s="428">
        <v>0.4</v>
      </c>
      <c r="AI110" s="229">
        <v>27535.600000000002</v>
      </c>
      <c r="AJ110" s="348">
        <v>12.583769200000001</v>
      </c>
      <c r="AK110" s="245" t="s">
        <v>609</v>
      </c>
      <c r="AL110" s="396">
        <v>7.0828722456000008</v>
      </c>
      <c r="AM110" s="401">
        <v>6.2918846000000013</v>
      </c>
      <c r="AN110" s="245" t="s">
        <v>609</v>
      </c>
      <c r="AO110" s="401">
        <v>6.2918846000000013</v>
      </c>
      <c r="AP110" s="245" t="s">
        <v>609</v>
      </c>
    </row>
    <row r="111" spans="1:42" s="404" customFormat="1" x14ac:dyDescent="0.4"/>
    <row r="112" spans="1:42" s="404" customFormat="1" x14ac:dyDescent="0.4"/>
    <row r="113" spans="1:1" s="404" customFormat="1" x14ac:dyDescent="0.4"/>
    <row r="114" spans="1:1" s="404" customFormat="1" x14ac:dyDescent="0.4"/>
    <row r="115" spans="1:1" s="404" customFormat="1" x14ac:dyDescent="0.4"/>
    <row r="116" spans="1:1" s="404" customFormat="1" x14ac:dyDescent="0.4"/>
    <row r="117" spans="1:1" s="404" customFormat="1" x14ac:dyDescent="0.4"/>
    <row r="118" spans="1:1" s="404" customFormat="1" x14ac:dyDescent="0.4"/>
    <row r="119" spans="1:1" s="404" customFormat="1" x14ac:dyDescent="0.4"/>
    <row r="120" spans="1:1" s="404" customFormat="1" x14ac:dyDescent="0.4"/>
    <row r="121" spans="1:1" s="404" customFormat="1" x14ac:dyDescent="0.4"/>
    <row r="122" spans="1:1" s="404" customFormat="1" x14ac:dyDescent="0.4"/>
    <row r="123" spans="1:1" s="404" customFormat="1" x14ac:dyDescent="0.4"/>
    <row r="124" spans="1:1" s="404" customFormat="1" x14ac:dyDescent="0.4"/>
    <row r="125" spans="1:1" s="404" customFormat="1" x14ac:dyDescent="0.4"/>
    <row r="126" spans="1:1" s="430" customFormat="1" ht="30" x14ac:dyDescent="0.6">
      <c r="A126" s="429" t="s">
        <v>545</v>
      </c>
    </row>
    <row r="127" spans="1:1" s="430" customFormat="1" x14ac:dyDescent="0.4"/>
    <row r="128" spans="1:1" s="430" customFormat="1" x14ac:dyDescent="0.4"/>
    <row r="129" spans="2:34" s="430" customFormat="1" x14ac:dyDescent="0.4"/>
    <row r="130" spans="2:34" s="430" customFormat="1" x14ac:dyDescent="0.4"/>
    <row r="131" spans="2:34" s="430" customFormat="1" x14ac:dyDescent="0.4"/>
    <row r="132" spans="2:34" s="430" customFormat="1" x14ac:dyDescent="0.4"/>
    <row r="133" spans="2:34" s="430" customFormat="1" x14ac:dyDescent="0.4"/>
    <row r="134" spans="2:34" s="430" customFormat="1" x14ac:dyDescent="0.4"/>
    <row r="135" spans="2:34" s="430" customFormat="1" x14ac:dyDescent="0.4"/>
    <row r="136" spans="2:34" s="430" customFormat="1" x14ac:dyDescent="0.4"/>
    <row r="137" spans="2:34" s="430" customFormat="1" x14ac:dyDescent="0.4"/>
    <row r="138" spans="2:34" s="430" customFormat="1" x14ac:dyDescent="0.4"/>
    <row r="139" spans="2:34" s="430" customFormat="1" x14ac:dyDescent="0.4"/>
    <row r="140" spans="2:34" s="430" customFormat="1" x14ac:dyDescent="0.4">
      <c r="B140" s="599" t="s">
        <v>139</v>
      </c>
      <c r="C140" s="225" t="s">
        <v>76</v>
      </c>
      <c r="D140" s="222"/>
      <c r="E140" s="222"/>
      <c r="F140" s="222"/>
      <c r="G140" s="222"/>
      <c r="H140" s="339"/>
      <c r="I140" s="222"/>
      <c r="J140" s="222"/>
      <c r="K140" s="222"/>
      <c r="L140" s="222"/>
      <c r="M140" s="222"/>
      <c r="N140" s="222"/>
      <c r="O140" s="222"/>
      <c r="P140" s="222"/>
      <c r="Q140" s="222"/>
      <c r="R140" s="221"/>
      <c r="S140" s="225" t="s">
        <v>86</v>
      </c>
      <c r="T140" s="222"/>
      <c r="U140" s="222"/>
      <c r="V140" s="222"/>
      <c r="W140" s="222"/>
      <c r="X140" s="222"/>
      <c r="Y140" s="222"/>
      <c r="Z140" s="222"/>
      <c r="AA140" s="222"/>
      <c r="AB140" s="222"/>
      <c r="AC140" s="222"/>
      <c r="AD140" s="222"/>
      <c r="AE140" s="222"/>
      <c r="AF140" s="221"/>
      <c r="AG140" s="225" t="s">
        <v>93</v>
      </c>
      <c r="AH140" s="221"/>
    </row>
    <row r="141" spans="2:34" s="430" customFormat="1" ht="75" x14ac:dyDescent="0.4">
      <c r="B141" s="601"/>
      <c r="C141" s="372" t="s">
        <v>890</v>
      </c>
      <c r="D141" s="372" t="s">
        <v>387</v>
      </c>
      <c r="E141" s="372" t="s">
        <v>383</v>
      </c>
      <c r="F141" s="603" t="s">
        <v>388</v>
      </c>
      <c r="G141" s="604"/>
      <c r="H141" s="189" t="s">
        <v>385</v>
      </c>
      <c r="I141" s="372" t="s">
        <v>382</v>
      </c>
      <c r="J141" s="372" t="s">
        <v>386</v>
      </c>
      <c r="K141" s="372" t="s">
        <v>389</v>
      </c>
      <c r="L141" s="372" t="s">
        <v>398</v>
      </c>
      <c r="M141" s="372" t="s">
        <v>547</v>
      </c>
      <c r="N141" s="372" t="s">
        <v>908</v>
      </c>
      <c r="O141" s="372" t="s">
        <v>80</v>
      </c>
      <c r="P141" s="372" t="s">
        <v>912</v>
      </c>
      <c r="Q141" s="372" t="s">
        <v>441</v>
      </c>
      <c r="R141" s="372" t="s">
        <v>449</v>
      </c>
      <c r="S141" s="372" t="s">
        <v>165</v>
      </c>
      <c r="T141" s="372" t="s">
        <v>393</v>
      </c>
      <c r="U141" s="372" t="s">
        <v>383</v>
      </c>
      <c r="V141" s="603" t="s">
        <v>388</v>
      </c>
      <c r="W141" s="604"/>
      <c r="X141" s="372" t="s">
        <v>397</v>
      </c>
      <c r="Y141" s="372" t="s">
        <v>382</v>
      </c>
      <c r="Z141" s="372" t="s">
        <v>396</v>
      </c>
      <c r="AA141" s="372" t="s">
        <v>395</v>
      </c>
      <c r="AB141" s="372" t="s">
        <v>394</v>
      </c>
      <c r="AC141" s="372" t="s">
        <v>547</v>
      </c>
      <c r="AD141" s="372" t="s">
        <v>913</v>
      </c>
      <c r="AE141" s="372" t="s">
        <v>444</v>
      </c>
      <c r="AF141" s="372" t="s">
        <v>450</v>
      </c>
      <c r="AG141" s="372" t="s">
        <v>365</v>
      </c>
      <c r="AH141" s="372" t="s">
        <v>366</v>
      </c>
    </row>
    <row r="142" spans="2:34" s="430" customFormat="1" x14ac:dyDescent="0.4">
      <c r="B142" s="373" t="s">
        <v>138</v>
      </c>
      <c r="C142" s="194"/>
      <c r="D142" s="194"/>
      <c r="E142" s="194"/>
      <c r="F142" s="613"/>
      <c r="G142" s="614"/>
      <c r="H142" s="190" t="s">
        <v>189</v>
      </c>
      <c r="I142" s="194"/>
      <c r="J142" s="194" t="s">
        <v>192</v>
      </c>
      <c r="K142" s="194" t="s">
        <v>94</v>
      </c>
      <c r="L142" s="194"/>
      <c r="M142" s="194"/>
      <c r="N142" s="194"/>
      <c r="O142" s="194"/>
      <c r="P142" s="194" t="s">
        <v>384</v>
      </c>
      <c r="Q142" s="190" t="s">
        <v>84</v>
      </c>
      <c r="R142" s="196" t="s">
        <v>62</v>
      </c>
      <c r="S142" s="196"/>
      <c r="T142" s="194"/>
      <c r="U142" s="194"/>
      <c r="V142" s="613"/>
      <c r="W142" s="614"/>
      <c r="X142" s="194"/>
      <c r="Y142" s="194"/>
      <c r="Z142" s="194"/>
      <c r="AA142" s="194" t="s">
        <v>94</v>
      </c>
      <c r="AB142" s="194"/>
      <c r="AC142" s="194"/>
      <c r="AD142" s="194" t="s">
        <v>384</v>
      </c>
      <c r="AE142" s="190" t="s">
        <v>84</v>
      </c>
      <c r="AF142" s="196" t="s">
        <v>62</v>
      </c>
      <c r="AG142" s="190" t="s">
        <v>84</v>
      </c>
      <c r="AH142" s="196" t="s">
        <v>62</v>
      </c>
    </row>
    <row r="143" spans="2:34" s="430" customFormat="1" x14ac:dyDescent="0.4">
      <c r="B143" s="375" t="s">
        <v>506</v>
      </c>
      <c r="C143" s="249" t="s">
        <v>548</v>
      </c>
      <c r="D143" s="250">
        <v>2</v>
      </c>
      <c r="E143" s="200" t="s">
        <v>549</v>
      </c>
      <c r="F143" s="617" t="str">
        <f>IF(E143="IE1","標準効率",IF(E143="IE2","高効率",IF(E143="IE3","プレミアム効率",IF(E143="IE4","スーパープレミアム効率",""))))</f>
        <v>高効率</v>
      </c>
      <c r="G143" s="618"/>
      <c r="H143" s="200">
        <v>7.5</v>
      </c>
      <c r="I143" s="200" t="s">
        <v>375</v>
      </c>
      <c r="J143" s="431">
        <f>IF(I143="2極",AVERAGEIFS(モーター効率!$C$2:$C$122,モーター効率!$A$2:$A$122,E143,モーター効率!$B$2:$B$122,H143),IF(I143="4極",AVERAGEIFS(モーター効率!$D$2:$D$122,モーター効率!$A$2:$A$122,E143,モーター効率!$B$2:$B$122,H143),IF(I143="6極",AVERAGEIFS(モーター効率!$E$2:$E$122,モーター効率!$A$2:$A$122,E143,モーター効率!$B$2:$B$122,H143),IF(I143="8極",AVERAGEIFS(モーター効率!$F$2:$F$122,モーター効率!$A$2:$A$122,E143,モーター効率!$B$2:$B$122,H143),""))))</f>
        <v>0.88700000000000001</v>
      </c>
      <c r="K143" s="432">
        <f>IF(J143="","",H143/J143)</f>
        <v>8.4554678692220975</v>
      </c>
      <c r="L143" s="244">
        <v>0.8</v>
      </c>
      <c r="M143" s="202" t="s">
        <v>252</v>
      </c>
      <c r="N143" s="433">
        <v>8</v>
      </c>
      <c r="O143" s="433">
        <v>320</v>
      </c>
      <c r="P143" s="434">
        <f>N143*O143</f>
        <v>2560</v>
      </c>
      <c r="Q143" s="229">
        <f>IF(AND(D143="",K143="",L143="",P143=""),"",IF(M143="○",D143*K143*L143^2*P143,K143*L143*P143*D143))</f>
        <v>34633.596392333711</v>
      </c>
      <c r="R143" s="348">
        <f>IF(Q143="","",Q143*係数!$H$30)</f>
        <v>15.792919954904173</v>
      </c>
      <c r="S143" s="426" t="s">
        <v>550</v>
      </c>
      <c r="T143" s="250">
        <v>2</v>
      </c>
      <c r="U143" s="200" t="s">
        <v>461</v>
      </c>
      <c r="V143" s="615" t="str">
        <f>IF(U143="IE1","標準効率",IF(U143="IE2","高効率",IF(U143="IE3","プレミアム効率",IF(U143="IE4","スーパープレミアム効率",""))))</f>
        <v>プレミアム効率</v>
      </c>
      <c r="W143" s="616"/>
      <c r="X143" s="197">
        <v>7.5</v>
      </c>
      <c r="Y143" s="200" t="s">
        <v>375</v>
      </c>
      <c r="Z143" s="431">
        <f>IF(Y143="2極",AVERAGEIFS(モーター効率!$C$2:$C$122,モーター効率!$A$2:$A$122,U143,モーター効率!$B$2:$B$122,X143),IF(Y143="4極",AVERAGEIFS(モーター効率!$D$2:$D$122,モーター効率!$A$2:$A$122,U143,モーター効率!$B$2:$B$122,X143),IF(Y143="6極",AVERAGEIFS(モーター効率!$E$2:$E$122,モーター効率!$A$2:$A$122,U143,モーター効率!$B$2:$B$122,X143),IF(Y143="8極",AVERAGEIFS(モーター効率!$F$2:$F$122,モーター効率!$A$2:$A$122,U143,モーター効率!$B$2:$B$122,X143),""))))</f>
        <v>0.90400000000000003</v>
      </c>
      <c r="AA143" s="432">
        <f>IF(Z143="","",X143/Z143)</f>
        <v>8.2964601769911503</v>
      </c>
      <c r="AB143" s="428">
        <f>IF(OR(H143=0,L143=0,X143=0),"",IF(H143&lt;X143,H143*L143/X143,L143))</f>
        <v>0.8</v>
      </c>
      <c r="AC143" s="202" t="s">
        <v>316</v>
      </c>
      <c r="AD143" s="434">
        <f>IF(P143="","",P143)</f>
        <v>2560</v>
      </c>
      <c r="AE143" s="229">
        <f>IF(AND(T143="",AA143="",AB143="",AD143=""),"",IF(AC143="○",T143*AA143*AB143^2*AD143,T143*AA143*AB143*AD143))</f>
        <v>27185.840707964606</v>
      </c>
      <c r="AF143" s="349">
        <f>IF(AE143="","",AE143*係数!$H$30)</f>
        <v>12.396743362831861</v>
      </c>
      <c r="AG143" s="251">
        <f>IF(OR(Q143="",AE143=""),"",Q143-AE143)</f>
        <v>7447.7556843691054</v>
      </c>
      <c r="AH143" s="401">
        <f>IF(OR(R143="",AF143=""),"",R143-AF143)</f>
        <v>3.3961765920723117</v>
      </c>
    </row>
    <row r="144" spans="2:34" s="430" customFormat="1" x14ac:dyDescent="0.4"/>
    <row r="145" spans="1:1" s="430" customFormat="1" x14ac:dyDescent="0.4"/>
    <row r="146" spans="1:1" s="430" customFormat="1" x14ac:dyDescent="0.4"/>
    <row r="147" spans="1:1" s="430" customFormat="1" x14ac:dyDescent="0.4"/>
    <row r="148" spans="1:1" s="430" customFormat="1" x14ac:dyDescent="0.4"/>
    <row r="149" spans="1:1" s="430" customFormat="1" x14ac:dyDescent="0.4"/>
    <row r="150" spans="1:1" s="430" customFormat="1" x14ac:dyDescent="0.4"/>
    <row r="151" spans="1:1" s="430" customFormat="1" x14ac:dyDescent="0.4"/>
    <row r="152" spans="1:1" s="436" customFormat="1" ht="30" x14ac:dyDescent="0.6">
      <c r="A152" s="435" t="s">
        <v>469</v>
      </c>
    </row>
    <row r="153" spans="1:1" s="436" customFormat="1" x14ac:dyDescent="0.4"/>
    <row r="154" spans="1:1" s="436" customFormat="1" x14ac:dyDescent="0.4"/>
    <row r="155" spans="1:1" s="436" customFormat="1" x14ac:dyDescent="0.4"/>
    <row r="156" spans="1:1" s="436" customFormat="1" x14ac:dyDescent="0.4"/>
    <row r="157" spans="1:1" s="436" customFormat="1" x14ac:dyDescent="0.4"/>
    <row r="158" spans="1:1" s="436" customFormat="1" x14ac:dyDescent="0.4"/>
    <row r="159" spans="1:1" s="436" customFormat="1" x14ac:dyDescent="0.4"/>
    <row r="160" spans="1:1" s="436" customFormat="1" x14ac:dyDescent="0.4"/>
    <row r="161" spans="2:22" s="436" customFormat="1" x14ac:dyDescent="0.4"/>
    <row r="162" spans="2:22" s="436" customFormat="1" x14ac:dyDescent="0.4"/>
    <row r="163" spans="2:22" s="436" customFormat="1" x14ac:dyDescent="0.4"/>
    <row r="164" spans="2:22" s="436" customFormat="1" x14ac:dyDescent="0.4"/>
    <row r="165" spans="2:22" s="436" customFormat="1" x14ac:dyDescent="0.4"/>
    <row r="166" spans="2:22" s="436" customFormat="1" x14ac:dyDescent="0.4"/>
    <row r="167" spans="2:22" s="436" customFormat="1" x14ac:dyDescent="0.4">
      <c r="B167" s="596" t="s">
        <v>139</v>
      </c>
      <c r="C167" s="225" t="s">
        <v>76</v>
      </c>
      <c r="D167" s="222"/>
      <c r="E167" s="222"/>
      <c r="F167" s="222"/>
      <c r="G167" s="222"/>
      <c r="H167" s="222"/>
      <c r="I167" s="222"/>
      <c r="J167" s="222"/>
      <c r="K167" s="221"/>
      <c r="L167" s="225" t="s">
        <v>86</v>
      </c>
      <c r="M167" s="222"/>
      <c r="N167" s="222"/>
      <c r="O167" s="222"/>
      <c r="P167" s="222"/>
      <c r="Q167" s="222"/>
      <c r="R167" s="222"/>
      <c r="S167" s="222"/>
      <c r="T167" s="221"/>
      <c r="U167" s="193" t="s">
        <v>93</v>
      </c>
      <c r="V167" s="193"/>
    </row>
    <row r="168" spans="2:22" s="436" customFormat="1" ht="33" x14ac:dyDescent="0.4">
      <c r="B168" s="597"/>
      <c r="C168" s="437" t="s">
        <v>165</v>
      </c>
      <c r="D168" s="437" t="s">
        <v>475</v>
      </c>
      <c r="E168" s="437" t="s">
        <v>477</v>
      </c>
      <c r="F168" s="437" t="s">
        <v>471</v>
      </c>
      <c r="G168" s="437" t="s">
        <v>472</v>
      </c>
      <c r="H168" s="437" t="s">
        <v>474</v>
      </c>
      <c r="I168" s="437" t="s">
        <v>914</v>
      </c>
      <c r="J168" s="437" t="s">
        <v>441</v>
      </c>
      <c r="K168" s="437" t="s">
        <v>442</v>
      </c>
      <c r="L168" s="437" t="s">
        <v>165</v>
      </c>
      <c r="M168" s="437" t="s">
        <v>475</v>
      </c>
      <c r="N168" s="437" t="s">
        <v>477</v>
      </c>
      <c r="O168" s="437" t="s">
        <v>471</v>
      </c>
      <c r="P168" s="437" t="s">
        <v>472</v>
      </c>
      <c r="Q168" s="437" t="s">
        <v>474</v>
      </c>
      <c r="R168" s="437" t="s">
        <v>914</v>
      </c>
      <c r="S168" s="437" t="s">
        <v>441</v>
      </c>
      <c r="T168" s="437" t="s">
        <v>443</v>
      </c>
      <c r="U168" s="438" t="s">
        <v>451</v>
      </c>
      <c r="V168" s="438" t="s">
        <v>452</v>
      </c>
    </row>
    <row r="169" spans="2:22" s="436" customFormat="1" x14ac:dyDescent="0.4">
      <c r="B169" s="194" t="s">
        <v>138</v>
      </c>
      <c r="C169" s="194"/>
      <c r="D169" s="194" t="s">
        <v>476</v>
      </c>
      <c r="E169" s="194"/>
      <c r="F169" s="190" t="s">
        <v>473</v>
      </c>
      <c r="G169" s="190" t="s">
        <v>473</v>
      </c>
      <c r="H169" s="190" t="s">
        <v>192</v>
      </c>
      <c r="I169" s="190" t="s">
        <v>82</v>
      </c>
      <c r="J169" s="190" t="s">
        <v>84</v>
      </c>
      <c r="K169" s="196" t="s">
        <v>62</v>
      </c>
      <c r="L169" s="196"/>
      <c r="M169" s="194" t="s">
        <v>476</v>
      </c>
      <c r="N169" s="194"/>
      <c r="O169" s="190" t="s">
        <v>473</v>
      </c>
      <c r="P169" s="190" t="s">
        <v>473</v>
      </c>
      <c r="Q169" s="190" t="s">
        <v>192</v>
      </c>
      <c r="R169" s="190" t="s">
        <v>82</v>
      </c>
      <c r="S169" s="190" t="s">
        <v>84</v>
      </c>
      <c r="T169" s="196" t="s">
        <v>62</v>
      </c>
      <c r="U169" s="190" t="s">
        <v>84</v>
      </c>
      <c r="V169" s="196" t="s">
        <v>62</v>
      </c>
    </row>
    <row r="170" spans="2:22" s="436" customFormat="1" ht="56.25" x14ac:dyDescent="0.4">
      <c r="B170" s="261" t="s">
        <v>506</v>
      </c>
      <c r="C170" s="262" t="s">
        <v>555</v>
      </c>
      <c r="D170" s="262">
        <v>500</v>
      </c>
      <c r="E170" s="262" t="s">
        <v>915</v>
      </c>
      <c r="F170" s="262">
        <v>379</v>
      </c>
      <c r="G170" s="262">
        <v>1901</v>
      </c>
      <c r="H170" s="439">
        <v>0.4</v>
      </c>
      <c r="I170" s="262">
        <v>8760</v>
      </c>
      <c r="J170" s="440">
        <v>5984.481600000001</v>
      </c>
      <c r="K170" s="348">
        <v>2.7349080912000003</v>
      </c>
      <c r="L170" s="262" t="s">
        <v>557</v>
      </c>
      <c r="M170" s="262">
        <v>100</v>
      </c>
      <c r="N170" s="262" t="s">
        <v>915</v>
      </c>
      <c r="O170" s="262">
        <v>150</v>
      </c>
      <c r="P170" s="262">
        <v>1380</v>
      </c>
      <c r="Q170" s="439">
        <v>0.4</v>
      </c>
      <c r="R170" s="441">
        <v>8760</v>
      </c>
      <c r="S170" s="440">
        <v>3248.2080000000005</v>
      </c>
      <c r="T170" s="348">
        <v>1.4844310560000002</v>
      </c>
      <c r="U170" s="442">
        <v>2736.2736000000004</v>
      </c>
      <c r="V170" s="348">
        <v>1.2504770352000001</v>
      </c>
    </row>
    <row r="171" spans="2:22" s="436" customFormat="1" x14ac:dyDescent="0.4"/>
    <row r="172" spans="2:22" s="436" customFormat="1" x14ac:dyDescent="0.4"/>
    <row r="173" spans="2:22" s="436" customFormat="1" x14ac:dyDescent="0.4"/>
    <row r="174" spans="2:22" s="436" customFormat="1" x14ac:dyDescent="0.4"/>
    <row r="175" spans="2:22" s="436" customFormat="1" x14ac:dyDescent="0.4"/>
    <row r="176" spans="2:22" s="436" customFormat="1" x14ac:dyDescent="0.4"/>
    <row r="177" spans="1:42" s="436" customFormat="1" x14ac:dyDescent="0.4"/>
    <row r="178" spans="1:42" s="436" customFormat="1" x14ac:dyDescent="0.4"/>
    <row r="179" spans="1:42" ht="30" x14ac:dyDescent="0.6">
      <c r="A179" s="443" t="s">
        <v>916</v>
      </c>
      <c r="B179" s="444"/>
      <c r="C179" s="444"/>
      <c r="D179" s="444"/>
      <c r="E179" s="444"/>
      <c r="F179" s="444"/>
      <c r="G179" s="445"/>
      <c r="H179" s="446"/>
      <c r="I179" s="444"/>
      <c r="J179" s="444"/>
      <c r="K179" s="447"/>
      <c r="L179" s="444"/>
      <c r="M179" s="444"/>
      <c r="N179" s="444"/>
      <c r="O179" s="444"/>
      <c r="P179" s="444"/>
      <c r="Q179" s="444"/>
      <c r="R179" s="444"/>
      <c r="S179" s="444"/>
      <c r="T179" s="444"/>
      <c r="U179" s="444"/>
      <c r="V179" s="444"/>
      <c r="W179" s="444"/>
      <c r="X179" s="444"/>
      <c r="Y179" s="444"/>
      <c r="Z179" s="444"/>
      <c r="AA179" s="444"/>
      <c r="AB179" s="444"/>
      <c r="AC179" s="444"/>
      <c r="AD179" s="444"/>
      <c r="AE179" s="444"/>
      <c r="AF179" s="444"/>
      <c r="AG179" s="444"/>
      <c r="AH179" s="444"/>
      <c r="AI179" s="444"/>
      <c r="AJ179" s="444"/>
      <c r="AK179" s="444"/>
      <c r="AL179" s="444"/>
      <c r="AM179" s="444"/>
      <c r="AN179" s="444"/>
      <c r="AO179" s="444"/>
      <c r="AP179" s="444"/>
    </row>
    <row r="180" spans="1:42" x14ac:dyDescent="0.4">
      <c r="A180" s="444"/>
      <c r="B180" s="444"/>
      <c r="C180" s="444"/>
      <c r="D180" s="444"/>
      <c r="E180" s="444"/>
      <c r="F180" s="444"/>
      <c r="G180" s="444"/>
      <c r="H180" s="444"/>
      <c r="I180" s="444"/>
      <c r="J180" s="444"/>
      <c r="K180" s="444"/>
      <c r="L180" s="444"/>
      <c r="M180" s="444"/>
      <c r="N180" s="444"/>
      <c r="O180" s="444"/>
      <c r="P180" s="444"/>
      <c r="Q180" s="444"/>
      <c r="R180" s="444"/>
      <c r="S180" s="444"/>
      <c r="T180" s="444"/>
      <c r="U180" s="444"/>
      <c r="V180" s="444"/>
      <c r="W180" s="444"/>
      <c r="X180" s="444"/>
      <c r="Y180" s="444"/>
      <c r="Z180" s="444"/>
      <c r="AA180" s="444"/>
      <c r="AB180" s="444"/>
      <c r="AC180" s="444"/>
      <c r="AD180" s="444"/>
      <c r="AE180" s="444"/>
      <c r="AF180" s="444"/>
      <c r="AG180" s="444"/>
      <c r="AH180" s="444"/>
      <c r="AI180" s="444"/>
      <c r="AJ180" s="444"/>
      <c r="AK180" s="444"/>
      <c r="AL180" s="444"/>
      <c r="AM180" s="444"/>
      <c r="AN180" s="444"/>
      <c r="AO180" s="444"/>
      <c r="AP180" s="444"/>
    </row>
    <row r="181" spans="1:42" x14ac:dyDescent="0.4">
      <c r="A181" s="444"/>
      <c r="B181" s="444"/>
      <c r="C181" s="444"/>
      <c r="D181" s="444"/>
      <c r="E181" s="444"/>
      <c r="F181" s="444"/>
      <c r="G181" s="444"/>
      <c r="H181" s="444"/>
      <c r="I181" s="444"/>
      <c r="J181" s="444"/>
      <c r="K181" s="444"/>
      <c r="L181" s="444"/>
      <c r="M181" s="444"/>
      <c r="N181" s="444"/>
      <c r="O181" s="444"/>
      <c r="P181" s="444"/>
      <c r="Q181" s="444"/>
      <c r="R181" s="444"/>
      <c r="S181" s="444"/>
      <c r="T181" s="444"/>
      <c r="U181" s="444"/>
      <c r="V181" s="444"/>
      <c r="W181" s="444"/>
      <c r="X181" s="444"/>
      <c r="Y181" s="444"/>
      <c r="Z181" s="444"/>
      <c r="AA181" s="444"/>
      <c r="AB181" s="444"/>
      <c r="AC181" s="444"/>
      <c r="AD181" s="444"/>
      <c r="AE181" s="444"/>
      <c r="AF181" s="444"/>
      <c r="AG181" s="444"/>
      <c r="AH181" s="444"/>
      <c r="AI181" s="444"/>
      <c r="AJ181" s="444"/>
      <c r="AK181" s="444"/>
      <c r="AL181" s="444"/>
      <c r="AM181" s="444"/>
      <c r="AN181" s="444"/>
      <c r="AO181" s="444"/>
      <c r="AP181" s="444"/>
    </row>
    <row r="182" spans="1:42" x14ac:dyDescent="0.4">
      <c r="A182" s="444"/>
      <c r="B182" s="444"/>
      <c r="C182" s="444"/>
      <c r="D182" s="444"/>
      <c r="E182" s="444"/>
      <c r="F182" s="444"/>
      <c r="G182" s="444"/>
      <c r="H182" s="444"/>
      <c r="I182" s="444"/>
      <c r="J182" s="444"/>
      <c r="K182" s="444"/>
      <c r="L182" s="444"/>
      <c r="M182" s="444"/>
      <c r="N182" s="444"/>
      <c r="O182" s="444"/>
      <c r="P182" s="444"/>
      <c r="Q182" s="444"/>
      <c r="R182" s="444"/>
      <c r="S182" s="444"/>
      <c r="T182" s="444"/>
      <c r="U182" s="444"/>
      <c r="V182" s="444"/>
      <c r="W182" s="444"/>
      <c r="X182" s="444"/>
      <c r="Y182" s="444"/>
      <c r="Z182" s="444"/>
      <c r="AA182" s="444"/>
      <c r="AB182" s="444"/>
      <c r="AC182" s="444"/>
      <c r="AD182" s="444"/>
      <c r="AE182" s="444"/>
      <c r="AF182" s="444"/>
      <c r="AG182" s="444"/>
      <c r="AH182" s="444"/>
      <c r="AI182" s="444"/>
      <c r="AJ182" s="444"/>
      <c r="AK182" s="444"/>
      <c r="AL182" s="444"/>
      <c r="AM182" s="444"/>
      <c r="AN182" s="444"/>
      <c r="AO182" s="444"/>
      <c r="AP182" s="444"/>
    </row>
    <row r="183" spans="1:42" x14ac:dyDescent="0.4">
      <c r="A183" s="444"/>
      <c r="B183" s="444"/>
      <c r="C183" s="444"/>
      <c r="D183" s="444"/>
      <c r="E183" s="444"/>
      <c r="F183" s="444"/>
      <c r="G183" s="444"/>
      <c r="H183" s="444"/>
      <c r="I183" s="444"/>
      <c r="J183" s="444"/>
      <c r="K183" s="444"/>
      <c r="L183" s="444"/>
      <c r="M183" s="444"/>
      <c r="N183" s="444"/>
      <c r="O183" s="444"/>
      <c r="P183" s="444"/>
      <c r="Q183" s="444"/>
      <c r="R183" s="444"/>
      <c r="S183" s="444"/>
      <c r="T183" s="444"/>
      <c r="U183" s="444"/>
      <c r="V183" s="444"/>
      <c r="W183" s="444"/>
      <c r="X183" s="444"/>
      <c r="Y183" s="444"/>
      <c r="Z183" s="444"/>
      <c r="AA183" s="444"/>
      <c r="AB183" s="444"/>
      <c r="AC183" s="444"/>
      <c r="AD183" s="444"/>
      <c r="AE183" s="444"/>
      <c r="AF183" s="444"/>
      <c r="AG183" s="444"/>
      <c r="AH183" s="444"/>
      <c r="AI183" s="444"/>
      <c r="AJ183" s="444"/>
      <c r="AK183" s="444"/>
      <c r="AL183" s="444"/>
      <c r="AM183" s="444"/>
      <c r="AN183" s="444"/>
      <c r="AO183" s="444"/>
      <c r="AP183" s="444"/>
    </row>
    <row r="184" spans="1:42" x14ac:dyDescent="0.4">
      <c r="A184" s="444"/>
      <c r="B184" s="444"/>
      <c r="C184" s="444"/>
      <c r="D184" s="444"/>
      <c r="E184" s="444"/>
      <c r="F184" s="444"/>
      <c r="G184" s="444"/>
      <c r="H184" s="444"/>
      <c r="I184" s="444"/>
      <c r="J184" s="444"/>
      <c r="K184" s="444"/>
      <c r="L184" s="444"/>
      <c r="M184" s="444"/>
      <c r="N184" s="444"/>
      <c r="O184" s="444"/>
      <c r="P184" s="444"/>
      <c r="Q184" s="444"/>
      <c r="R184" s="444"/>
      <c r="S184" s="444"/>
      <c r="T184" s="444"/>
      <c r="U184" s="444"/>
      <c r="V184" s="444"/>
      <c r="W184" s="444"/>
      <c r="X184" s="444"/>
      <c r="Y184" s="444"/>
      <c r="Z184" s="444"/>
      <c r="AA184" s="444"/>
      <c r="AB184" s="444"/>
      <c r="AC184" s="444"/>
      <c r="AD184" s="444"/>
      <c r="AE184" s="444"/>
      <c r="AF184" s="444"/>
      <c r="AG184" s="444"/>
      <c r="AH184" s="444"/>
      <c r="AI184" s="444"/>
      <c r="AJ184" s="444"/>
      <c r="AK184" s="444"/>
      <c r="AL184" s="444"/>
      <c r="AM184" s="444"/>
      <c r="AN184" s="444"/>
      <c r="AO184" s="444"/>
      <c r="AP184" s="444"/>
    </row>
    <row r="185" spans="1:42" x14ac:dyDescent="0.4">
      <c r="A185" s="444"/>
      <c r="B185" s="444"/>
      <c r="C185" s="444"/>
      <c r="D185" s="444"/>
      <c r="E185" s="444"/>
      <c r="F185" s="444"/>
      <c r="G185" s="444"/>
      <c r="H185" s="444"/>
      <c r="I185" s="444"/>
      <c r="J185" s="444"/>
      <c r="K185" s="444"/>
      <c r="L185" s="444"/>
      <c r="M185" s="444"/>
      <c r="N185" s="444"/>
      <c r="O185" s="444"/>
      <c r="P185" s="444"/>
      <c r="Q185" s="444"/>
      <c r="R185" s="444"/>
      <c r="S185" s="444"/>
      <c r="T185" s="444"/>
      <c r="U185" s="444"/>
      <c r="V185" s="444"/>
      <c r="W185" s="444"/>
      <c r="X185" s="444"/>
      <c r="Y185" s="444"/>
      <c r="Z185" s="444"/>
      <c r="AA185" s="444"/>
      <c r="AB185" s="444"/>
      <c r="AC185" s="444"/>
      <c r="AD185" s="444"/>
      <c r="AE185" s="444"/>
      <c r="AF185" s="444"/>
      <c r="AG185" s="444"/>
      <c r="AH185" s="444"/>
      <c r="AI185" s="444"/>
      <c r="AJ185" s="444"/>
      <c r="AK185" s="444"/>
      <c r="AL185" s="444"/>
      <c r="AM185" s="444"/>
      <c r="AN185" s="444"/>
      <c r="AO185" s="444"/>
      <c r="AP185" s="444"/>
    </row>
    <row r="186" spans="1:42" x14ac:dyDescent="0.4">
      <c r="A186" s="444"/>
      <c r="B186" s="444"/>
      <c r="C186" s="444"/>
      <c r="D186" s="444"/>
      <c r="E186" s="444"/>
      <c r="F186" s="444"/>
      <c r="G186" s="444"/>
      <c r="H186" s="444"/>
      <c r="I186" s="444"/>
      <c r="J186" s="444"/>
      <c r="K186" s="444"/>
      <c r="L186" s="444"/>
      <c r="M186" s="444"/>
      <c r="N186" s="444"/>
      <c r="O186" s="444"/>
      <c r="P186" s="444"/>
      <c r="Q186" s="444"/>
      <c r="R186" s="444"/>
      <c r="S186" s="444"/>
      <c r="T186" s="444"/>
      <c r="U186" s="444"/>
      <c r="V186" s="444"/>
      <c r="W186" s="444"/>
      <c r="X186" s="444"/>
      <c r="Y186" s="444"/>
      <c r="Z186" s="444"/>
      <c r="AA186" s="444"/>
      <c r="AB186" s="444"/>
      <c r="AC186" s="444"/>
      <c r="AD186" s="444"/>
      <c r="AE186" s="444"/>
      <c r="AF186" s="444"/>
      <c r="AG186" s="444"/>
      <c r="AH186" s="444"/>
      <c r="AI186" s="444"/>
      <c r="AJ186" s="444"/>
      <c r="AK186" s="444"/>
      <c r="AL186" s="444"/>
      <c r="AM186" s="444"/>
      <c r="AN186" s="444"/>
      <c r="AO186" s="444"/>
      <c r="AP186" s="444"/>
    </row>
    <row r="187" spans="1:42" x14ac:dyDescent="0.4">
      <c r="A187" s="444"/>
      <c r="B187" s="444"/>
      <c r="C187" s="444"/>
      <c r="D187" s="444"/>
      <c r="E187" s="444"/>
      <c r="F187" s="444"/>
      <c r="G187" s="444"/>
      <c r="H187" s="444"/>
      <c r="I187" s="444"/>
      <c r="J187" s="444"/>
      <c r="K187" s="444"/>
      <c r="L187" s="444"/>
      <c r="M187" s="444"/>
      <c r="N187" s="444"/>
      <c r="O187" s="444"/>
      <c r="P187" s="444"/>
      <c r="Q187" s="444"/>
      <c r="R187" s="444"/>
      <c r="S187" s="444"/>
      <c r="T187" s="444"/>
      <c r="U187" s="444"/>
      <c r="V187" s="444"/>
      <c r="W187" s="444"/>
      <c r="X187" s="444"/>
      <c r="Y187" s="444"/>
      <c r="Z187" s="444"/>
      <c r="AA187" s="444"/>
      <c r="AB187" s="444"/>
      <c r="AC187" s="444"/>
      <c r="AD187" s="444"/>
      <c r="AE187" s="444"/>
      <c r="AF187" s="444"/>
      <c r="AG187" s="444"/>
      <c r="AH187" s="444"/>
      <c r="AI187" s="444"/>
      <c r="AJ187" s="444"/>
      <c r="AK187" s="444"/>
      <c r="AL187" s="444"/>
      <c r="AM187" s="444"/>
      <c r="AN187" s="444"/>
      <c r="AO187" s="444"/>
      <c r="AP187" s="444"/>
    </row>
    <row r="188" spans="1:42" x14ac:dyDescent="0.4">
      <c r="A188" s="444"/>
      <c r="B188" s="444"/>
      <c r="C188" s="444"/>
      <c r="D188" s="444"/>
      <c r="E188" s="444"/>
      <c r="F188" s="444"/>
      <c r="G188" s="444"/>
      <c r="H188" s="444"/>
      <c r="I188" s="444"/>
      <c r="J188" s="444"/>
      <c r="K188" s="444"/>
      <c r="L188" s="444"/>
      <c r="M188" s="444"/>
      <c r="N188" s="444"/>
      <c r="O188" s="444"/>
      <c r="P188" s="444"/>
      <c r="Q188" s="444"/>
      <c r="R188" s="444"/>
      <c r="S188" s="444"/>
      <c r="T188" s="444"/>
      <c r="U188" s="444"/>
      <c r="V188" s="444"/>
      <c r="W188" s="444"/>
      <c r="X188" s="444"/>
      <c r="Y188" s="444"/>
      <c r="Z188" s="444"/>
      <c r="AA188" s="444"/>
      <c r="AB188" s="444"/>
      <c r="AC188" s="444"/>
      <c r="AD188" s="444"/>
      <c r="AE188" s="444"/>
      <c r="AF188" s="444"/>
      <c r="AG188" s="444"/>
      <c r="AH188" s="444"/>
      <c r="AI188" s="444"/>
      <c r="AJ188" s="444"/>
      <c r="AK188" s="444"/>
      <c r="AL188" s="444"/>
      <c r="AM188" s="444"/>
      <c r="AN188" s="444"/>
      <c r="AO188" s="444"/>
      <c r="AP188" s="444"/>
    </row>
    <row r="189" spans="1:42" x14ac:dyDescent="0.4">
      <c r="A189" s="444"/>
      <c r="B189" s="444"/>
      <c r="C189" s="444"/>
      <c r="D189" s="444"/>
      <c r="E189" s="444"/>
      <c r="F189" s="444"/>
      <c r="G189" s="444"/>
      <c r="H189" s="444"/>
      <c r="I189" s="444"/>
      <c r="J189" s="444"/>
      <c r="K189" s="444"/>
      <c r="L189" s="444"/>
      <c r="M189" s="444"/>
      <c r="N189" s="444"/>
      <c r="O189" s="444"/>
      <c r="P189" s="444"/>
      <c r="Q189" s="444"/>
      <c r="R189" s="444"/>
      <c r="S189" s="444"/>
      <c r="T189" s="444"/>
      <c r="U189" s="444"/>
      <c r="V189" s="444"/>
      <c r="W189" s="444"/>
      <c r="X189" s="444"/>
      <c r="Y189" s="444"/>
      <c r="Z189" s="444"/>
      <c r="AA189" s="444"/>
      <c r="AB189" s="444"/>
      <c r="AC189" s="444"/>
      <c r="AD189" s="444"/>
      <c r="AE189" s="444"/>
      <c r="AF189" s="444"/>
      <c r="AG189" s="444"/>
      <c r="AH189" s="444"/>
      <c r="AI189" s="444"/>
      <c r="AJ189" s="444"/>
      <c r="AK189" s="444"/>
      <c r="AL189" s="444"/>
      <c r="AM189" s="444"/>
      <c r="AN189" s="444"/>
      <c r="AO189" s="444"/>
      <c r="AP189" s="444"/>
    </row>
    <row r="190" spans="1:42" x14ac:dyDescent="0.4">
      <c r="A190" s="444"/>
      <c r="B190" s="444"/>
      <c r="C190" s="444"/>
      <c r="D190" s="444"/>
      <c r="E190" s="444"/>
      <c r="F190" s="444"/>
      <c r="G190" s="444"/>
      <c r="H190" s="444"/>
      <c r="I190" s="444"/>
      <c r="J190" s="444"/>
      <c r="K190" s="444"/>
      <c r="L190" s="444"/>
      <c r="M190" s="444"/>
      <c r="N190" s="444"/>
      <c r="O190" s="444"/>
      <c r="P190" s="444"/>
      <c r="Q190" s="444"/>
      <c r="R190" s="444"/>
      <c r="S190" s="444"/>
      <c r="T190" s="444"/>
      <c r="U190" s="444"/>
      <c r="V190" s="444"/>
      <c r="W190" s="444"/>
      <c r="X190" s="444"/>
      <c r="Y190" s="444"/>
      <c r="Z190" s="444"/>
      <c r="AA190" s="444"/>
      <c r="AB190" s="444"/>
      <c r="AC190" s="444"/>
      <c r="AD190" s="444"/>
      <c r="AE190" s="444"/>
      <c r="AF190" s="444"/>
      <c r="AG190" s="444"/>
      <c r="AH190" s="444"/>
      <c r="AI190" s="444"/>
      <c r="AJ190" s="444"/>
      <c r="AK190" s="444"/>
      <c r="AL190" s="444"/>
      <c r="AM190" s="444"/>
      <c r="AN190" s="444"/>
      <c r="AO190" s="444"/>
      <c r="AP190" s="444"/>
    </row>
    <row r="191" spans="1:42" x14ac:dyDescent="0.4">
      <c r="A191" s="444"/>
      <c r="B191" s="444"/>
      <c r="C191" s="444"/>
      <c r="D191" s="444"/>
      <c r="E191" s="444"/>
      <c r="F191" s="444"/>
      <c r="G191" s="444"/>
      <c r="H191" s="444"/>
      <c r="I191" s="444"/>
      <c r="J191" s="444"/>
      <c r="K191" s="444"/>
      <c r="L191" s="444"/>
      <c r="M191" s="444"/>
      <c r="N191" s="444"/>
      <c r="O191" s="444"/>
      <c r="P191" s="444"/>
      <c r="Q191" s="444"/>
      <c r="R191" s="444"/>
      <c r="S191" s="444"/>
      <c r="T191" s="444"/>
      <c r="U191" s="444"/>
      <c r="V191" s="444"/>
      <c r="W191" s="444"/>
      <c r="X191" s="444"/>
      <c r="Y191" s="444"/>
      <c r="Z191" s="444"/>
      <c r="AA191" s="444"/>
      <c r="AB191" s="444"/>
      <c r="AC191" s="444"/>
      <c r="AD191" s="444"/>
      <c r="AE191" s="444"/>
      <c r="AF191" s="444"/>
      <c r="AG191" s="444"/>
      <c r="AH191" s="444"/>
      <c r="AI191" s="444"/>
      <c r="AJ191" s="444"/>
      <c r="AK191" s="444"/>
      <c r="AL191" s="444"/>
      <c r="AM191" s="444"/>
      <c r="AN191" s="444"/>
      <c r="AO191" s="444"/>
      <c r="AP191" s="444"/>
    </row>
    <row r="192" spans="1:42" x14ac:dyDescent="0.4">
      <c r="A192" s="444"/>
      <c r="B192" s="596" t="s">
        <v>139</v>
      </c>
      <c r="C192" s="193" t="s">
        <v>76</v>
      </c>
      <c r="D192" s="193"/>
      <c r="E192" s="193"/>
      <c r="F192" s="193"/>
      <c r="G192" s="193"/>
      <c r="H192" s="193"/>
      <c r="I192" s="193"/>
      <c r="J192" s="193"/>
      <c r="K192" s="193"/>
      <c r="L192" s="193" t="s">
        <v>86</v>
      </c>
      <c r="M192" s="193"/>
      <c r="N192" s="193"/>
      <c r="O192" s="193"/>
      <c r="P192" s="193"/>
      <c r="Q192" s="193"/>
      <c r="R192" s="193"/>
      <c r="S192" s="193" t="s">
        <v>93</v>
      </c>
      <c r="T192" s="193"/>
      <c r="U192" s="444"/>
      <c r="V192" s="444"/>
      <c r="W192" s="444"/>
      <c r="X192" s="444"/>
      <c r="Y192" s="444"/>
      <c r="Z192" s="444"/>
      <c r="AA192" s="444"/>
      <c r="AB192" s="444"/>
      <c r="AC192" s="444"/>
      <c r="AD192" s="444"/>
      <c r="AE192" s="444"/>
      <c r="AF192" s="444"/>
      <c r="AG192" s="444"/>
      <c r="AH192" s="444"/>
      <c r="AI192" s="444"/>
      <c r="AJ192" s="444"/>
      <c r="AK192" s="444"/>
      <c r="AL192" s="444"/>
      <c r="AM192" s="444"/>
      <c r="AN192" s="444"/>
      <c r="AO192" s="444"/>
      <c r="AP192" s="444"/>
    </row>
    <row r="193" spans="1:42" ht="75" x14ac:dyDescent="0.4">
      <c r="A193" s="444"/>
      <c r="B193" s="597"/>
      <c r="C193" s="343" t="s">
        <v>165</v>
      </c>
      <c r="D193" s="372" t="s">
        <v>891</v>
      </c>
      <c r="E193" s="343" t="s">
        <v>85</v>
      </c>
      <c r="F193" s="372" t="s">
        <v>515</v>
      </c>
      <c r="G193" s="416" t="s">
        <v>917</v>
      </c>
      <c r="H193" s="416" t="s">
        <v>918</v>
      </c>
      <c r="I193" s="343" t="s">
        <v>919</v>
      </c>
      <c r="J193" s="343" t="s">
        <v>504</v>
      </c>
      <c r="K193" s="343" t="s">
        <v>442</v>
      </c>
      <c r="L193" s="343" t="s">
        <v>165</v>
      </c>
      <c r="M193" s="343" t="s">
        <v>95</v>
      </c>
      <c r="N193" s="343" t="s">
        <v>917</v>
      </c>
      <c r="O193" s="343" t="s">
        <v>918</v>
      </c>
      <c r="P193" s="343" t="s">
        <v>920</v>
      </c>
      <c r="Q193" s="343" t="s">
        <v>505</v>
      </c>
      <c r="R193" s="343" t="s">
        <v>443</v>
      </c>
      <c r="S193" s="345" t="s">
        <v>451</v>
      </c>
      <c r="T193" s="345" t="s">
        <v>452</v>
      </c>
      <c r="U193" s="444"/>
      <c r="V193" s="444"/>
      <c r="W193" s="444"/>
      <c r="X193" s="444"/>
      <c r="Y193" s="444"/>
      <c r="Z193" s="444"/>
      <c r="AA193" s="444"/>
      <c r="AB193" s="444"/>
      <c r="AC193" s="444"/>
      <c r="AD193" s="444"/>
      <c r="AE193" s="444"/>
      <c r="AF193" s="444"/>
      <c r="AG193" s="444"/>
      <c r="AH193" s="444"/>
      <c r="AI193" s="444"/>
      <c r="AJ193" s="444"/>
      <c r="AK193" s="444"/>
      <c r="AL193" s="444"/>
      <c r="AM193" s="444"/>
      <c r="AN193" s="444"/>
      <c r="AO193" s="444"/>
      <c r="AP193" s="444"/>
    </row>
    <row r="194" spans="1:42" ht="21.6" customHeight="1" x14ac:dyDescent="0.4">
      <c r="A194" s="444"/>
      <c r="B194" s="194" t="s">
        <v>138</v>
      </c>
      <c r="C194" s="280"/>
      <c r="D194" s="194"/>
      <c r="E194" s="190" t="s">
        <v>77</v>
      </c>
      <c r="F194" s="190"/>
      <c r="G194" s="190" t="s">
        <v>921</v>
      </c>
      <c r="H194" s="194" t="s">
        <v>921</v>
      </c>
      <c r="I194" s="190" t="s">
        <v>78</v>
      </c>
      <c r="J194" s="190" t="s">
        <v>84</v>
      </c>
      <c r="K194" s="196" t="s">
        <v>62</v>
      </c>
      <c r="L194" s="281"/>
      <c r="M194" s="190" t="s">
        <v>77</v>
      </c>
      <c r="N194" s="196" t="s">
        <v>921</v>
      </c>
      <c r="O194" s="196" t="s">
        <v>921</v>
      </c>
      <c r="P194" s="190" t="s">
        <v>78</v>
      </c>
      <c r="Q194" s="190" t="s">
        <v>84</v>
      </c>
      <c r="R194" s="196" t="s">
        <v>62</v>
      </c>
      <c r="S194" s="190" t="s">
        <v>84</v>
      </c>
      <c r="T194" s="196" t="s">
        <v>62</v>
      </c>
      <c r="U194" s="444"/>
      <c r="V194" s="444"/>
      <c r="W194" s="444"/>
      <c r="X194" s="444"/>
      <c r="Y194" s="444"/>
      <c r="Z194" s="444"/>
      <c r="AA194" s="444"/>
      <c r="AB194" s="444"/>
      <c r="AC194" s="444"/>
      <c r="AD194" s="444"/>
      <c r="AE194" s="444"/>
      <c r="AF194" s="444"/>
      <c r="AG194" s="444"/>
      <c r="AH194" s="444"/>
      <c r="AI194" s="444"/>
      <c r="AJ194" s="444"/>
      <c r="AK194" s="444"/>
      <c r="AL194" s="444"/>
      <c r="AM194" s="444"/>
      <c r="AN194" s="444"/>
      <c r="AO194" s="444"/>
      <c r="AP194" s="444"/>
    </row>
    <row r="195" spans="1:42" ht="21.6" customHeight="1" x14ac:dyDescent="0.4">
      <c r="A195" s="444"/>
      <c r="B195" s="243" t="s">
        <v>506</v>
      </c>
      <c r="C195" s="197" t="s">
        <v>922</v>
      </c>
      <c r="D195" s="199">
        <v>2012</v>
      </c>
      <c r="E195" s="199">
        <v>1</v>
      </c>
      <c r="F195" s="376">
        <f>IF(D195="",1,MIN(1.5,(2024-D195)*0.05+1))</f>
        <v>1.5</v>
      </c>
      <c r="G195" s="197">
        <v>180</v>
      </c>
      <c r="H195" s="197">
        <v>600</v>
      </c>
      <c r="I195" s="448">
        <v>360</v>
      </c>
      <c r="J195" s="347">
        <v>1400</v>
      </c>
      <c r="K195" s="348">
        <f>J195*E195*F195*係数!$H$30</f>
        <v>0.95760000000000001</v>
      </c>
      <c r="L195" s="449" t="s">
        <v>923</v>
      </c>
      <c r="M195" s="199">
        <v>1</v>
      </c>
      <c r="N195" s="249">
        <v>180</v>
      </c>
      <c r="O195" s="249">
        <v>600</v>
      </c>
      <c r="P195" s="448">
        <v>320</v>
      </c>
      <c r="Q195" s="347">
        <v>1300</v>
      </c>
      <c r="R195" s="348">
        <f>Q195*M195*係数!$H$30</f>
        <v>0.59279999999999999</v>
      </c>
      <c r="S195" s="450">
        <f>J195*E195*F195-Q195*M195</f>
        <v>800</v>
      </c>
      <c r="T195" s="211">
        <f>K195-R195</f>
        <v>0.36480000000000001</v>
      </c>
      <c r="U195" s="444"/>
      <c r="V195" s="444"/>
      <c r="W195" s="444"/>
      <c r="X195" s="444"/>
      <c r="Y195" s="444"/>
      <c r="Z195" s="444"/>
      <c r="AA195" s="444"/>
      <c r="AB195" s="444"/>
      <c r="AC195" s="444"/>
      <c r="AD195" s="444"/>
      <c r="AE195" s="444"/>
      <c r="AF195" s="444"/>
      <c r="AG195" s="444"/>
      <c r="AH195" s="444"/>
      <c r="AI195" s="444"/>
      <c r="AJ195" s="444"/>
      <c r="AK195" s="444"/>
      <c r="AL195" s="444"/>
      <c r="AM195" s="444"/>
      <c r="AN195" s="444"/>
      <c r="AO195" s="444"/>
      <c r="AP195" s="444"/>
    </row>
    <row r="196" spans="1:42" x14ac:dyDescent="0.4">
      <c r="A196" s="444"/>
      <c r="B196" s="444"/>
      <c r="C196" s="444"/>
      <c r="D196" s="444"/>
      <c r="E196" s="444"/>
      <c r="F196" s="444"/>
      <c r="G196" s="444"/>
      <c r="H196" s="444"/>
      <c r="I196" s="444"/>
      <c r="J196" s="444"/>
      <c r="K196" s="444"/>
      <c r="L196" s="444"/>
      <c r="M196" s="444"/>
      <c r="N196" s="444"/>
      <c r="O196" s="444"/>
      <c r="P196" s="444"/>
      <c r="Q196" s="444"/>
      <c r="R196" s="444"/>
      <c r="S196" s="444"/>
      <c r="T196" s="444"/>
      <c r="U196" s="444"/>
      <c r="V196" s="444"/>
      <c r="W196" s="444"/>
      <c r="X196" s="444"/>
      <c r="Y196" s="444"/>
      <c r="Z196" s="444"/>
      <c r="AA196" s="444"/>
      <c r="AB196" s="444"/>
      <c r="AC196" s="444"/>
      <c r="AD196" s="444"/>
      <c r="AE196" s="444"/>
      <c r="AF196" s="444"/>
      <c r="AG196" s="444"/>
      <c r="AH196" s="444"/>
      <c r="AI196" s="444"/>
      <c r="AJ196" s="444"/>
      <c r="AK196" s="444"/>
      <c r="AL196" s="444"/>
      <c r="AM196" s="444"/>
      <c r="AN196" s="444"/>
      <c r="AO196" s="444"/>
      <c r="AP196" s="444"/>
    </row>
    <row r="197" spans="1:42" x14ac:dyDescent="0.4">
      <c r="A197" s="444"/>
      <c r="B197" s="444"/>
      <c r="C197" s="444"/>
      <c r="D197" s="444"/>
      <c r="E197" s="444"/>
      <c r="F197" s="444"/>
      <c r="G197" s="444"/>
      <c r="H197" s="444"/>
      <c r="I197" s="444"/>
      <c r="J197" s="444"/>
      <c r="K197" s="444"/>
      <c r="L197" s="444"/>
      <c r="M197" s="444"/>
      <c r="N197" s="444"/>
      <c r="O197" s="444"/>
      <c r="P197" s="444"/>
      <c r="Q197" s="444"/>
      <c r="R197" s="444"/>
      <c r="S197" s="444"/>
      <c r="T197" s="444"/>
      <c r="U197" s="444"/>
      <c r="V197" s="444"/>
      <c r="W197" s="444"/>
      <c r="X197" s="444"/>
      <c r="Y197" s="444"/>
      <c r="Z197" s="444"/>
      <c r="AA197" s="444"/>
      <c r="AB197" s="444"/>
      <c r="AC197" s="444"/>
      <c r="AD197" s="444"/>
      <c r="AE197" s="444"/>
      <c r="AF197" s="444"/>
      <c r="AG197" s="444"/>
      <c r="AH197" s="444"/>
      <c r="AI197" s="444"/>
      <c r="AJ197" s="444"/>
      <c r="AK197" s="444"/>
      <c r="AL197" s="444"/>
      <c r="AM197" s="444"/>
      <c r="AN197" s="444"/>
      <c r="AO197" s="444"/>
      <c r="AP197" s="444"/>
    </row>
    <row r="198" spans="1:42" x14ac:dyDescent="0.4">
      <c r="A198" s="444"/>
      <c r="B198" s="444"/>
      <c r="C198" s="444"/>
      <c r="D198" s="444"/>
      <c r="E198" s="444"/>
      <c r="F198" s="444"/>
      <c r="G198" s="444"/>
      <c r="H198" s="444"/>
      <c r="I198" s="444"/>
      <c r="J198" s="444"/>
      <c r="K198" s="444"/>
      <c r="L198" s="444"/>
      <c r="M198" s="444"/>
      <c r="N198" s="444"/>
      <c r="O198" s="444"/>
      <c r="P198" s="444"/>
      <c r="Q198" s="444"/>
      <c r="R198" s="444"/>
      <c r="S198" s="444"/>
      <c r="T198" s="444"/>
      <c r="U198" s="444"/>
      <c r="V198" s="444"/>
      <c r="W198" s="444"/>
      <c r="X198" s="444"/>
      <c r="Y198" s="444"/>
      <c r="Z198" s="444"/>
      <c r="AA198" s="444"/>
      <c r="AB198" s="444"/>
      <c r="AC198" s="444"/>
      <c r="AD198" s="444"/>
      <c r="AE198" s="444"/>
      <c r="AF198" s="444"/>
      <c r="AG198" s="444"/>
      <c r="AH198" s="444"/>
      <c r="AI198" s="444"/>
      <c r="AJ198" s="444"/>
      <c r="AK198" s="444"/>
      <c r="AL198" s="444"/>
      <c r="AM198" s="444"/>
      <c r="AN198" s="444"/>
      <c r="AO198" s="444"/>
      <c r="AP198" s="444"/>
    </row>
    <row r="199" spans="1:42" x14ac:dyDescent="0.4">
      <c r="A199" s="444"/>
      <c r="B199" s="444"/>
      <c r="C199" s="444"/>
      <c r="D199" s="444"/>
      <c r="E199" s="444"/>
      <c r="F199" s="444"/>
      <c r="G199" s="444"/>
      <c r="H199" s="444"/>
      <c r="I199" s="444"/>
      <c r="J199" s="444"/>
      <c r="K199" s="444"/>
      <c r="L199" s="444"/>
      <c r="M199" s="444"/>
      <c r="N199" s="444"/>
      <c r="O199" s="444"/>
      <c r="P199" s="444"/>
      <c r="Q199" s="444"/>
      <c r="R199" s="444"/>
      <c r="S199" s="444"/>
      <c r="T199" s="444"/>
      <c r="U199" s="444"/>
      <c r="V199" s="444"/>
      <c r="W199" s="444"/>
      <c r="X199" s="444"/>
      <c r="Y199" s="444"/>
      <c r="Z199" s="444"/>
      <c r="AA199" s="444"/>
      <c r="AB199" s="444"/>
      <c r="AC199" s="444"/>
      <c r="AD199" s="444"/>
      <c r="AE199" s="444"/>
      <c r="AF199" s="444"/>
      <c r="AG199" s="444"/>
      <c r="AH199" s="444"/>
      <c r="AI199" s="444"/>
      <c r="AJ199" s="444"/>
      <c r="AK199" s="444"/>
      <c r="AL199" s="444"/>
      <c r="AM199" s="444"/>
      <c r="AN199" s="444"/>
      <c r="AO199" s="444"/>
      <c r="AP199" s="444"/>
    </row>
    <row r="200" spans="1:42" x14ac:dyDescent="0.4">
      <c r="A200" s="444"/>
      <c r="B200" s="444"/>
      <c r="C200" s="444"/>
      <c r="D200" s="444"/>
      <c r="E200" s="444"/>
      <c r="F200" s="444"/>
      <c r="G200" s="444"/>
      <c r="H200" s="444"/>
      <c r="I200" s="444"/>
      <c r="J200" s="444"/>
      <c r="K200" s="444"/>
      <c r="L200" s="444"/>
      <c r="M200" s="444"/>
      <c r="N200" s="444"/>
      <c r="O200" s="444"/>
      <c r="P200" s="444"/>
      <c r="Q200" s="444"/>
      <c r="R200" s="444"/>
      <c r="S200" s="444"/>
      <c r="T200" s="444"/>
      <c r="U200" s="444"/>
      <c r="V200" s="444"/>
      <c r="W200" s="444"/>
      <c r="X200" s="444"/>
      <c r="Y200" s="444"/>
      <c r="Z200" s="444"/>
      <c r="AA200" s="444"/>
      <c r="AB200" s="444"/>
      <c r="AC200" s="444"/>
      <c r="AD200" s="444"/>
      <c r="AE200" s="444"/>
      <c r="AF200" s="444"/>
      <c r="AG200" s="444"/>
      <c r="AH200" s="444"/>
      <c r="AI200" s="444"/>
      <c r="AJ200" s="444"/>
      <c r="AK200" s="444"/>
      <c r="AL200" s="444"/>
      <c r="AM200" s="444"/>
      <c r="AN200" s="444"/>
      <c r="AO200" s="444"/>
      <c r="AP200" s="444"/>
    </row>
    <row r="201" spans="1:42" x14ac:dyDescent="0.4">
      <c r="A201" s="444"/>
      <c r="B201" s="444"/>
      <c r="C201" s="444"/>
      <c r="D201" s="444"/>
      <c r="E201" s="444"/>
      <c r="F201" s="444"/>
      <c r="G201" s="444"/>
      <c r="H201" s="444"/>
      <c r="I201" s="444"/>
      <c r="J201" s="444"/>
      <c r="K201" s="444"/>
      <c r="L201" s="444"/>
      <c r="M201" s="444"/>
      <c r="N201" s="444"/>
      <c r="O201" s="444"/>
      <c r="P201" s="444"/>
      <c r="Q201" s="444"/>
      <c r="R201" s="444"/>
      <c r="S201" s="444"/>
      <c r="T201" s="444"/>
      <c r="U201" s="444"/>
      <c r="V201" s="444"/>
      <c r="W201" s="444"/>
      <c r="X201" s="444"/>
      <c r="Y201" s="444"/>
      <c r="Z201" s="444"/>
      <c r="AA201" s="444"/>
      <c r="AB201" s="444"/>
      <c r="AC201" s="444"/>
      <c r="AD201" s="444"/>
      <c r="AE201" s="444"/>
      <c r="AF201" s="444"/>
      <c r="AG201" s="444"/>
      <c r="AH201" s="444"/>
      <c r="AI201" s="444"/>
      <c r="AJ201" s="444"/>
      <c r="AK201" s="444"/>
      <c r="AL201" s="444"/>
      <c r="AM201" s="444"/>
      <c r="AN201" s="444"/>
      <c r="AO201" s="444"/>
      <c r="AP201" s="444"/>
    </row>
    <row r="202" spans="1:42" x14ac:dyDescent="0.4">
      <c r="A202" s="444"/>
      <c r="B202" s="444"/>
      <c r="C202" s="444"/>
      <c r="D202" s="444"/>
      <c r="E202" s="444"/>
      <c r="F202" s="444"/>
      <c r="G202" s="444"/>
      <c r="H202" s="444"/>
      <c r="I202" s="444"/>
      <c r="J202" s="444"/>
      <c r="K202" s="444"/>
      <c r="L202" s="444"/>
      <c r="M202" s="444"/>
      <c r="N202" s="444"/>
      <c r="O202" s="444"/>
      <c r="P202" s="444"/>
      <c r="Q202" s="444"/>
      <c r="R202" s="444"/>
      <c r="S202" s="444"/>
      <c r="T202" s="444"/>
      <c r="U202" s="444"/>
      <c r="V202" s="444"/>
      <c r="W202" s="444"/>
      <c r="X202" s="444"/>
      <c r="Y202" s="444"/>
      <c r="Z202" s="444"/>
      <c r="AA202" s="444"/>
      <c r="AB202" s="444"/>
      <c r="AC202" s="444"/>
      <c r="AD202" s="444"/>
      <c r="AE202" s="444"/>
      <c r="AF202" s="444"/>
      <c r="AG202" s="444"/>
      <c r="AH202" s="444"/>
      <c r="AI202" s="444"/>
      <c r="AJ202" s="444"/>
      <c r="AK202" s="444"/>
      <c r="AL202" s="444"/>
      <c r="AM202" s="444"/>
      <c r="AN202" s="444"/>
      <c r="AO202" s="444"/>
      <c r="AP202" s="444"/>
    </row>
    <row r="203" spans="1:42" x14ac:dyDescent="0.4">
      <c r="A203" s="444"/>
      <c r="B203" s="444"/>
      <c r="C203" s="444"/>
      <c r="D203" s="444"/>
      <c r="E203" s="444"/>
      <c r="F203" s="444"/>
      <c r="G203" s="444"/>
      <c r="H203" s="444"/>
      <c r="I203" s="444"/>
      <c r="J203" s="444"/>
      <c r="K203" s="444"/>
      <c r="L203" s="444"/>
      <c r="M203" s="444"/>
      <c r="N203" s="444"/>
      <c r="O203" s="444"/>
      <c r="P203" s="444"/>
      <c r="Q203" s="444"/>
      <c r="R203" s="444"/>
      <c r="S203" s="444"/>
      <c r="T203" s="444"/>
      <c r="U203" s="444"/>
      <c r="V203" s="444"/>
      <c r="W203" s="444"/>
      <c r="X203" s="444"/>
      <c r="Y203" s="444"/>
      <c r="Z203" s="444"/>
      <c r="AA203" s="444"/>
      <c r="AB203" s="444"/>
      <c r="AC203" s="444"/>
      <c r="AD203" s="444"/>
      <c r="AE203" s="444"/>
      <c r="AF203" s="444"/>
      <c r="AG203" s="444"/>
      <c r="AH203" s="444"/>
      <c r="AI203" s="444"/>
      <c r="AJ203" s="444"/>
      <c r="AK203" s="444"/>
      <c r="AL203" s="444"/>
      <c r="AM203" s="444"/>
      <c r="AN203" s="444"/>
      <c r="AO203" s="444"/>
      <c r="AP203" s="444"/>
    </row>
    <row r="204" spans="1:42" x14ac:dyDescent="0.4">
      <c r="A204" s="444"/>
      <c r="B204" s="444"/>
      <c r="C204" s="444"/>
      <c r="D204" s="444"/>
      <c r="E204" s="444"/>
      <c r="F204" s="444"/>
      <c r="G204" s="444"/>
      <c r="H204" s="444"/>
      <c r="I204" s="444"/>
      <c r="J204" s="444"/>
      <c r="K204" s="444"/>
      <c r="L204" s="444"/>
      <c r="M204" s="444"/>
      <c r="N204" s="444"/>
      <c r="O204" s="444"/>
      <c r="P204" s="444"/>
      <c r="Q204" s="444"/>
      <c r="R204" s="444"/>
      <c r="S204" s="444"/>
      <c r="T204" s="444"/>
      <c r="U204" s="444"/>
      <c r="V204" s="444"/>
      <c r="W204" s="444"/>
      <c r="X204" s="444"/>
      <c r="Y204" s="444"/>
      <c r="Z204" s="444"/>
      <c r="AA204" s="444"/>
      <c r="AB204" s="444"/>
      <c r="AC204" s="444"/>
      <c r="AD204" s="444"/>
      <c r="AE204" s="444"/>
      <c r="AF204" s="444"/>
      <c r="AG204" s="444"/>
      <c r="AH204" s="444"/>
      <c r="AI204" s="444"/>
      <c r="AJ204" s="444"/>
      <c r="AK204" s="444"/>
      <c r="AL204" s="444"/>
      <c r="AM204" s="444"/>
      <c r="AN204" s="444"/>
      <c r="AO204" s="444"/>
      <c r="AP204" s="444"/>
    </row>
    <row r="205" spans="1:42" x14ac:dyDescent="0.4">
      <c r="A205" s="444"/>
      <c r="B205" s="444"/>
      <c r="C205" s="444"/>
      <c r="D205" s="444"/>
      <c r="E205" s="444"/>
      <c r="F205" s="444"/>
      <c r="G205" s="444"/>
      <c r="H205" s="444"/>
      <c r="I205" s="444"/>
      <c r="J205" s="444"/>
      <c r="K205" s="444"/>
      <c r="L205" s="444"/>
      <c r="M205" s="444"/>
      <c r="N205" s="444"/>
      <c r="O205" s="444"/>
      <c r="P205" s="444"/>
      <c r="Q205" s="444"/>
      <c r="R205" s="444"/>
      <c r="S205" s="444"/>
      <c r="T205" s="444"/>
      <c r="U205" s="444"/>
      <c r="V205" s="444"/>
      <c r="W205" s="444"/>
      <c r="X205" s="444"/>
      <c r="Y205" s="444"/>
      <c r="Z205" s="444"/>
      <c r="AA205" s="444"/>
      <c r="AB205" s="444"/>
      <c r="AC205" s="444"/>
      <c r="AD205" s="444"/>
      <c r="AE205" s="444"/>
      <c r="AF205" s="444"/>
      <c r="AG205" s="444"/>
      <c r="AH205" s="444"/>
      <c r="AI205" s="444"/>
      <c r="AJ205" s="444"/>
      <c r="AK205" s="444"/>
      <c r="AL205" s="444"/>
      <c r="AM205" s="444"/>
      <c r="AN205" s="444"/>
      <c r="AO205" s="444"/>
      <c r="AP205" s="444"/>
    </row>
    <row r="206" spans="1:42" x14ac:dyDescent="0.4">
      <c r="A206" s="444"/>
      <c r="B206" s="444"/>
      <c r="C206" s="444"/>
      <c r="D206" s="444"/>
      <c r="E206" s="444"/>
      <c r="F206" s="444"/>
      <c r="G206" s="444"/>
      <c r="H206" s="444"/>
      <c r="I206" s="444"/>
      <c r="J206" s="444"/>
      <c r="K206" s="444"/>
      <c r="L206" s="444"/>
      <c r="M206" s="444"/>
      <c r="N206" s="444"/>
      <c r="O206" s="444"/>
      <c r="P206" s="444"/>
      <c r="Q206" s="444"/>
      <c r="R206" s="444"/>
      <c r="S206" s="444"/>
      <c r="T206" s="444"/>
      <c r="U206" s="444"/>
      <c r="V206" s="444"/>
      <c r="W206" s="444"/>
      <c r="X206" s="444"/>
      <c r="Y206" s="444"/>
      <c r="Z206" s="444"/>
      <c r="AA206" s="444"/>
      <c r="AB206" s="444"/>
      <c r="AC206" s="444"/>
      <c r="AD206" s="444"/>
      <c r="AE206" s="444"/>
      <c r="AF206" s="444"/>
      <c r="AG206" s="444"/>
      <c r="AH206" s="444"/>
      <c r="AI206" s="444"/>
      <c r="AJ206" s="444"/>
      <c r="AK206" s="444"/>
      <c r="AL206" s="444"/>
      <c r="AM206" s="444"/>
      <c r="AN206" s="444"/>
      <c r="AO206" s="444"/>
      <c r="AP206" s="444"/>
    </row>
    <row r="207" spans="1:42" x14ac:dyDescent="0.4">
      <c r="A207" s="444"/>
      <c r="B207" s="444"/>
      <c r="C207" s="444"/>
      <c r="D207" s="444"/>
      <c r="E207" s="444"/>
      <c r="F207" s="444"/>
      <c r="G207" s="444"/>
      <c r="H207" s="444"/>
      <c r="I207" s="444"/>
      <c r="J207" s="444"/>
      <c r="K207" s="444"/>
      <c r="L207" s="444"/>
      <c r="M207" s="444"/>
      <c r="N207" s="444"/>
      <c r="O207" s="444"/>
      <c r="P207" s="444"/>
      <c r="Q207" s="444"/>
      <c r="R207" s="444"/>
      <c r="S207" s="444"/>
      <c r="T207" s="444"/>
      <c r="U207" s="444"/>
      <c r="V207" s="444"/>
      <c r="W207" s="444"/>
      <c r="X207" s="444"/>
      <c r="Y207" s="444"/>
      <c r="Z207" s="444"/>
      <c r="AA207" s="444"/>
      <c r="AB207" s="444"/>
      <c r="AC207" s="444"/>
      <c r="AD207" s="444"/>
      <c r="AE207" s="444"/>
      <c r="AF207" s="444"/>
      <c r="AG207" s="444"/>
      <c r="AH207" s="444"/>
      <c r="AI207" s="444"/>
      <c r="AJ207" s="444"/>
      <c r="AK207" s="444"/>
      <c r="AL207" s="444"/>
      <c r="AM207" s="444"/>
      <c r="AN207" s="444"/>
      <c r="AO207" s="444"/>
      <c r="AP207" s="444"/>
    </row>
    <row r="208" spans="1:42" x14ac:dyDescent="0.4">
      <c r="A208" s="444"/>
      <c r="B208" s="444"/>
      <c r="C208" s="444"/>
      <c r="D208" s="444"/>
      <c r="E208" s="444"/>
      <c r="F208" s="444"/>
      <c r="G208" s="444"/>
      <c r="H208" s="444"/>
      <c r="I208" s="444"/>
      <c r="J208" s="444"/>
      <c r="K208" s="444"/>
      <c r="L208" s="444"/>
      <c r="M208" s="444"/>
      <c r="N208" s="444"/>
      <c r="O208" s="444"/>
      <c r="P208" s="444"/>
      <c r="Q208" s="444"/>
      <c r="R208" s="444"/>
      <c r="S208" s="444"/>
      <c r="T208" s="444"/>
      <c r="U208" s="444"/>
      <c r="V208" s="444"/>
      <c r="W208" s="444"/>
      <c r="X208" s="444"/>
      <c r="Y208" s="444"/>
      <c r="Z208" s="444"/>
      <c r="AA208" s="444"/>
      <c r="AB208" s="444"/>
      <c r="AC208" s="444"/>
      <c r="AD208" s="444"/>
      <c r="AE208" s="444"/>
      <c r="AF208" s="444"/>
      <c r="AG208" s="444"/>
      <c r="AH208" s="444"/>
      <c r="AI208" s="444"/>
      <c r="AJ208" s="444"/>
      <c r="AK208" s="444"/>
      <c r="AL208" s="444"/>
      <c r="AM208" s="444"/>
      <c r="AN208" s="444"/>
      <c r="AO208" s="444"/>
      <c r="AP208" s="444"/>
    </row>
    <row r="209" spans="1:42" x14ac:dyDescent="0.4">
      <c r="A209" s="444"/>
      <c r="B209" s="444"/>
      <c r="C209" s="444"/>
      <c r="D209" s="444"/>
      <c r="E209" s="444"/>
      <c r="F209" s="444"/>
      <c r="G209" s="444"/>
      <c r="H209" s="444"/>
      <c r="I209" s="444"/>
      <c r="J209" s="444"/>
      <c r="K209" s="444"/>
      <c r="L209" s="444"/>
      <c r="M209" s="444"/>
      <c r="N209" s="444"/>
      <c r="O209" s="444"/>
      <c r="P209" s="444"/>
      <c r="Q209" s="444"/>
      <c r="R209" s="444"/>
      <c r="S209" s="444"/>
      <c r="T209" s="444"/>
      <c r="U209" s="444"/>
      <c r="V209" s="444"/>
      <c r="W209" s="444"/>
      <c r="X209" s="444"/>
      <c r="Y209" s="444"/>
      <c r="Z209" s="444"/>
      <c r="AA209" s="444"/>
      <c r="AB209" s="444"/>
      <c r="AC209" s="444"/>
      <c r="AD209" s="444"/>
      <c r="AE209" s="444"/>
      <c r="AF209" s="444"/>
      <c r="AG209" s="444"/>
      <c r="AH209" s="444"/>
      <c r="AI209" s="444"/>
      <c r="AJ209" s="444"/>
      <c r="AK209" s="444"/>
      <c r="AL209" s="444"/>
      <c r="AM209" s="444"/>
      <c r="AN209" s="444"/>
      <c r="AO209" s="444"/>
      <c r="AP209" s="444"/>
    </row>
    <row r="210" spans="1:42" x14ac:dyDescent="0.4">
      <c r="A210" s="444"/>
      <c r="B210" s="444"/>
      <c r="C210" s="444"/>
      <c r="D210" s="444"/>
      <c r="E210" s="444"/>
      <c r="F210" s="444"/>
      <c r="G210" s="444"/>
      <c r="H210" s="444"/>
      <c r="I210" s="444"/>
      <c r="J210" s="444"/>
      <c r="K210" s="444"/>
      <c r="L210" s="444"/>
      <c r="M210" s="444"/>
      <c r="N210" s="444"/>
      <c r="O210" s="444"/>
      <c r="P210" s="444"/>
      <c r="Q210" s="444"/>
      <c r="R210" s="444"/>
      <c r="S210" s="444"/>
      <c r="T210" s="444"/>
      <c r="U210" s="444"/>
      <c r="V210" s="444"/>
      <c r="W210" s="444"/>
      <c r="X210" s="444"/>
      <c r="Y210" s="444"/>
      <c r="Z210" s="444"/>
      <c r="AA210" s="444"/>
      <c r="AB210" s="444"/>
      <c r="AC210" s="444"/>
      <c r="AD210" s="444"/>
      <c r="AE210" s="444"/>
      <c r="AF210" s="444"/>
      <c r="AG210" s="444"/>
      <c r="AH210" s="444"/>
      <c r="AI210" s="444"/>
      <c r="AJ210" s="444"/>
      <c r="AK210" s="444"/>
      <c r="AL210" s="444"/>
      <c r="AM210" s="444"/>
      <c r="AN210" s="444"/>
      <c r="AO210" s="444"/>
      <c r="AP210" s="444"/>
    </row>
    <row r="211" spans="1:42" x14ac:dyDescent="0.4">
      <c r="A211" s="444"/>
      <c r="B211" s="444"/>
      <c r="C211" s="444"/>
      <c r="D211" s="444"/>
      <c r="E211" s="444"/>
      <c r="F211" s="444"/>
      <c r="G211" s="444"/>
      <c r="H211" s="444"/>
      <c r="I211" s="444"/>
      <c r="J211" s="444"/>
      <c r="K211" s="444"/>
      <c r="L211" s="444"/>
      <c r="M211" s="444"/>
      <c r="N211" s="444"/>
      <c r="O211" s="444"/>
      <c r="P211" s="444"/>
      <c r="Q211" s="444"/>
      <c r="R211" s="444"/>
      <c r="S211" s="444"/>
      <c r="T211" s="444"/>
      <c r="U211" s="444"/>
      <c r="V211" s="444"/>
      <c r="W211" s="444"/>
      <c r="X211" s="444"/>
      <c r="Y211" s="444"/>
      <c r="Z211" s="444"/>
      <c r="AA211" s="444"/>
      <c r="AB211" s="444"/>
      <c r="AC211" s="444"/>
      <c r="AD211" s="444"/>
      <c r="AE211" s="444"/>
      <c r="AF211" s="444"/>
      <c r="AG211" s="444"/>
      <c r="AH211" s="444"/>
      <c r="AI211" s="444"/>
      <c r="AJ211" s="444"/>
      <c r="AK211" s="444"/>
      <c r="AL211" s="444"/>
      <c r="AM211" s="444"/>
      <c r="AN211" s="444"/>
      <c r="AO211" s="444"/>
      <c r="AP211" s="444"/>
    </row>
  </sheetData>
  <sheetProtection algorithmName="SHA-512" hashValue="UiVloAcfoAtLDvs9ejD9+rW4/JtFvSGalvdWMbdZIO0h8DxCBqA8RoJ1riBTakVuQkbIsoRrN+tPL/Eo77uHrQ==" saltValue="nb12r37uY/TaqxR3oUYKPA==" spinCount="100000" sheet="1" objects="1" scenarios="1" formatCells="0" formatColumns="0" formatRows="0"/>
  <mergeCells count="30">
    <mergeCell ref="V141:W141"/>
    <mergeCell ref="V142:W142"/>
    <mergeCell ref="V143:W143"/>
    <mergeCell ref="B167:B168"/>
    <mergeCell ref="B192:B193"/>
    <mergeCell ref="F142:G142"/>
    <mergeCell ref="F143:G143"/>
    <mergeCell ref="AC38:AD39"/>
    <mergeCell ref="O46:P46"/>
    <mergeCell ref="B69:B71"/>
    <mergeCell ref="AI69:AK70"/>
    <mergeCell ref="R77:S77"/>
    <mergeCell ref="B107:B108"/>
    <mergeCell ref="B140:B141"/>
    <mergeCell ref="F141:G141"/>
    <mergeCell ref="O47:P47"/>
    <mergeCell ref="O48:P48"/>
    <mergeCell ref="O49:P49"/>
    <mergeCell ref="X102:X105"/>
    <mergeCell ref="L19:M19"/>
    <mergeCell ref="L20:M20"/>
    <mergeCell ref="B10:B11"/>
    <mergeCell ref="L18:M18"/>
    <mergeCell ref="O34:R34"/>
    <mergeCell ref="B38:B40"/>
    <mergeCell ref="R78:R80"/>
    <mergeCell ref="R81:R83"/>
    <mergeCell ref="R84:R86"/>
    <mergeCell ref="R87:R89"/>
    <mergeCell ref="R90:R92"/>
  </mergeCells>
  <phoneticPr fontId="5"/>
  <conditionalFormatting sqref="C35:C37">
    <cfRule type="expression" dxfId="64" priority="5">
      <formula>#REF!="なし"</formula>
    </cfRule>
  </conditionalFormatting>
  <conditionalFormatting sqref="C66:C67">
    <cfRule type="expression" dxfId="63" priority="4">
      <formula>#REF!="なし"</formula>
    </cfRule>
  </conditionalFormatting>
  <conditionalFormatting sqref="D62">
    <cfRule type="expression" dxfId="62" priority="2">
      <formula>$D$1="なし"</formula>
    </cfRule>
  </conditionalFormatting>
  <conditionalFormatting sqref="E62">
    <cfRule type="expression" dxfId="61" priority="3">
      <formula>$F$1="なし"</formula>
    </cfRule>
  </conditionalFormatting>
  <conditionalFormatting sqref="AA110">
    <cfRule type="expression" dxfId="60" priority="1">
      <formula>$D$1="なし"</formula>
    </cfRule>
  </conditionalFormatting>
  <dataValidations count="10">
    <dataValidation type="whole" errorStyle="warning" allowBlank="1" showInputMessage="1" showErrorMessage="1" errorTitle="台数の増減" sqref="W73" xr:uid="{00000000-0002-0000-0100-000000000000}">
      <formula1>0</formula1>
      <formula2>E73</formula2>
    </dataValidation>
    <dataValidation type="whole" allowBlank="1" showInputMessage="1" showErrorMessage="1" sqref="T42" xr:uid="{00000000-0002-0000-0100-000001000000}">
      <formula1>0</formula1>
      <formula2>E42</formula2>
    </dataValidation>
    <dataValidation type="list" allowBlank="1" showInputMessage="1" showErrorMessage="1" sqref="D62" xr:uid="{00000000-0002-0000-0100-000002000000}">
      <formula1>"都市ガス,液化石油ガス（LPG）"</formula1>
    </dataValidation>
    <dataValidation type="list" allowBlank="1" showInputMessage="1" showErrorMessage="1" sqref="E62" xr:uid="{00000000-0002-0000-0100-000003000000}">
      <formula1>"13A,12A,LP"</formula1>
    </dataValidation>
    <dataValidation type="list" allowBlank="1" showInputMessage="1" showErrorMessage="1" sqref="D110" xr:uid="{00000000-0002-0000-0100-000004000000}">
      <formula1>"ボイラー,給湯器（加熱式）,給湯器（HP）"</formula1>
    </dataValidation>
    <dataValidation type="list" allowBlank="1" showInputMessage="1" showErrorMessage="1" sqref="E143 U143" xr:uid="{00000000-0002-0000-0100-000005000000}">
      <formula1>"IE1,IE2,IE3,IE4"</formula1>
    </dataValidation>
    <dataValidation type="list" allowBlank="1" showInputMessage="1" showErrorMessage="1" sqref="X143 H143" xr:uid="{00000000-0002-0000-0100-000006000000}">
      <formula1>INDIRECT("range"&amp;E143)</formula1>
    </dataValidation>
    <dataValidation type="list" allowBlank="1" showInputMessage="1" showErrorMessage="1" sqref="L110 AC110" xr:uid="{00000000-0002-0000-0100-000007000000}">
      <formula1>"　,t/h,kW"</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66:C67" xr:uid="{00000000-0002-0000-0100-000008000000}">
      <formula1>0.4</formula1>
    </dataValidation>
    <dataValidation type="list" allowBlank="1" showInputMessage="1" showErrorMessage="1" sqref="P13 H13 AC143 M143" xr:uid="{00000000-0002-0000-0100-000009000000}">
      <formula1>"○"</formula1>
    </dataValidation>
  </dataValidations>
  <pageMargins left="0.7" right="0.7" top="0.75" bottom="0.75" header="0.3" footer="0.3"/>
  <pageSetup paperSize="8" scale="45" orientation="landscape" r:id="rId1"/>
  <rowBreaks count="2" manualBreakCount="2">
    <brk id="59" max="16383" man="1"/>
    <brk id="126"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A000000}">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Y143</xm:sqref>
        </x14:dataValidation>
        <x14:dataValidation type="list" allowBlank="1" showInputMessage="1" showErrorMessage="1" xr:uid="{00000000-0002-0000-0100-00000B000000}">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I143</xm:sqref>
        </x14:dataValidation>
        <x14:dataValidation type="list" allowBlank="1" showInputMessage="1" showErrorMessage="1" xr:uid="{00000000-0002-0000-0100-00000C000000}">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AA110 G110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9"/>
  <sheetViews>
    <sheetView view="pageBreakPreview" zoomScale="70" zoomScaleNormal="100" zoomScaleSheetLayoutView="70" workbookViewId="0">
      <pane ySplit="2" topLeftCell="A3" activePane="bottomLeft" state="frozen"/>
      <selection activeCell="G6" sqref="G6"/>
      <selection pane="bottomLeft" activeCell="J29" sqref="J29"/>
    </sheetView>
  </sheetViews>
  <sheetFormatPr defaultRowHeight="18.75" x14ac:dyDescent="0.4"/>
  <cols>
    <col min="1" max="1" width="4.625" customWidth="1"/>
    <col min="2" max="2" width="5.625" customWidth="1"/>
    <col min="3" max="3" width="17" customWidth="1"/>
    <col min="4" max="18" width="10.625" customWidth="1"/>
  </cols>
  <sheetData>
    <row r="1" spans="1:17" ht="30" x14ac:dyDescent="0.6">
      <c r="A1" s="95" t="s">
        <v>140</v>
      </c>
    </row>
    <row r="2" spans="1:17" x14ac:dyDescent="0.4">
      <c r="F2" s="28"/>
      <c r="G2" t="s">
        <v>217</v>
      </c>
      <c r="I2" s="79"/>
      <c r="J2" t="s">
        <v>218</v>
      </c>
    </row>
    <row r="3" spans="1:17" x14ac:dyDescent="0.4">
      <c r="F3" s="185"/>
      <c r="I3" s="186"/>
    </row>
    <row r="4" spans="1:17" x14ac:dyDescent="0.4">
      <c r="A4">
        <v>1</v>
      </c>
      <c r="B4" t="s">
        <v>87</v>
      </c>
      <c r="F4" s="324" t="s">
        <v>869</v>
      </c>
      <c r="G4" s="621"/>
      <c r="H4" s="621"/>
      <c r="I4" s="621"/>
      <c r="J4" s="324" t="s">
        <v>870</v>
      </c>
      <c r="K4" s="621"/>
      <c r="L4" s="621"/>
      <c r="M4" s="621"/>
      <c r="N4" s="184"/>
      <c r="O4" s="184"/>
      <c r="P4" s="184"/>
    </row>
    <row r="5" spans="1:17" x14ac:dyDescent="0.4">
      <c r="H5" s="87"/>
    </row>
    <row r="6" spans="1:17" x14ac:dyDescent="0.4">
      <c r="C6" s="190" t="s">
        <v>862</v>
      </c>
      <c r="D6" s="311" t="s">
        <v>163</v>
      </c>
      <c r="E6" s="312"/>
      <c r="F6" s="311" t="s">
        <v>4</v>
      </c>
      <c r="G6" s="312"/>
      <c r="H6" s="193" t="s">
        <v>92</v>
      </c>
      <c r="I6" s="193"/>
      <c r="J6" s="193" t="s">
        <v>58</v>
      </c>
      <c r="K6" s="193"/>
      <c r="L6" s="193" t="s">
        <v>59</v>
      </c>
      <c r="M6" s="193"/>
    </row>
    <row r="7" spans="1:17" x14ac:dyDescent="0.4">
      <c r="C7" s="217" t="s">
        <v>0</v>
      </c>
      <c r="D7" s="28"/>
      <c r="E7" s="2" t="s">
        <v>5</v>
      </c>
      <c r="F7" s="29"/>
      <c r="G7" s="2" t="s">
        <v>61</v>
      </c>
      <c r="H7" s="321">
        <f>IF(OR(D7=0,F7=0),0,F7/D7)</f>
        <v>0</v>
      </c>
      <c r="I7" s="2" t="str">
        <f>"円／"&amp;E7</f>
        <v>円／kWh</v>
      </c>
      <c r="J7" s="52">
        <f>D7*L7</f>
        <v>0</v>
      </c>
      <c r="K7" s="2" t="s">
        <v>62</v>
      </c>
      <c r="L7" s="1">
        <f>VLOOKUP(C7,係数!$B$2:$I$30,7,FALSE)</f>
        <v>4.5600000000000003E-4</v>
      </c>
      <c r="M7" s="2" t="str">
        <f>VLOOKUP(C7,係数!$B$2:$I$30,8,FALSE)</f>
        <v>tCO2/kWh</v>
      </c>
      <c r="O7" s="194" t="s">
        <v>164</v>
      </c>
      <c r="P7" s="194"/>
    </row>
    <row r="8" spans="1:17" x14ac:dyDescent="0.4">
      <c r="C8" s="217" t="s">
        <v>1</v>
      </c>
      <c r="D8" s="28"/>
      <c r="E8" s="2" t="s">
        <v>90</v>
      </c>
      <c r="F8" s="29"/>
      <c r="G8" s="2" t="s">
        <v>61</v>
      </c>
      <c r="H8" s="321">
        <f t="shared" ref="H8:H11" si="0">IF(OR(D8=0,F8=0),0,F8/D8)</f>
        <v>0</v>
      </c>
      <c r="I8" s="2" t="str">
        <f t="shared" ref="I8:I11" si="1">"円／"&amp;E8</f>
        <v>円／㎥</v>
      </c>
      <c r="J8" s="52">
        <f t="shared" ref="J8:J11" si="2">D8*L8</f>
        <v>0</v>
      </c>
      <c r="K8" s="2" t="s">
        <v>62</v>
      </c>
      <c r="L8" s="1">
        <f>VLOOKUP(C8,係数!$B$2:$I$30,7,FALSE)</f>
        <v>2.2440000000000003E-3</v>
      </c>
      <c r="M8" s="2" t="str">
        <f>VLOOKUP(C8,係数!$B$2:$I$30,8,FALSE)</f>
        <v>tCO2/㎥</v>
      </c>
      <c r="O8" s="27"/>
      <c r="P8" s="1" t="s">
        <v>6</v>
      </c>
    </row>
    <row r="9" spans="1:17" x14ac:dyDescent="0.4">
      <c r="C9" s="217" t="s">
        <v>34</v>
      </c>
      <c r="D9" s="28"/>
      <c r="E9" s="2" t="str">
        <f>IF(C9="","",VLOOKUP(C9,係数!$B$2:$I$30,4,FALSE))</f>
        <v>kg</v>
      </c>
      <c r="F9" s="29"/>
      <c r="G9" s="2" t="s">
        <v>61</v>
      </c>
      <c r="H9" s="321">
        <f t="shared" si="0"/>
        <v>0</v>
      </c>
      <c r="I9" s="2" t="str">
        <f t="shared" si="1"/>
        <v>円／kg</v>
      </c>
      <c r="J9" s="52">
        <f t="shared" si="2"/>
        <v>0</v>
      </c>
      <c r="K9" s="2" t="s">
        <v>62</v>
      </c>
      <c r="L9" s="1">
        <f>VLOOKUP(C9,係数!$B$2:$I$30,7,FALSE)</f>
        <v>2.998893333333333E-3</v>
      </c>
      <c r="M9" s="2" t="str">
        <f>VLOOKUP(C9,係数!$B$2:$I$30,8,FALSE)</f>
        <v>tCO2/kg</v>
      </c>
      <c r="O9" s="278">
        <f>O8/0.458/1000</f>
        <v>0</v>
      </c>
      <c r="P9" s="1" t="s">
        <v>91</v>
      </c>
    </row>
    <row r="10" spans="1:17" x14ac:dyDescent="0.4">
      <c r="B10" s="37" t="s">
        <v>167</v>
      </c>
      <c r="C10" s="60"/>
      <c r="D10" s="28"/>
      <c r="E10" s="319" t="str">
        <f>IF(C10="","",VLOOKUP(C10,係数!$B$2:$I$30,4,FALSE))</f>
        <v/>
      </c>
      <c r="F10" s="29"/>
      <c r="G10" s="2" t="s">
        <v>61</v>
      </c>
      <c r="H10" s="321">
        <f t="shared" si="0"/>
        <v>0</v>
      </c>
      <c r="I10" s="2" t="str">
        <f t="shared" si="1"/>
        <v>円／</v>
      </c>
      <c r="J10" s="52">
        <f t="shared" si="2"/>
        <v>0</v>
      </c>
      <c r="K10" s="2" t="s">
        <v>62</v>
      </c>
      <c r="L10" s="1">
        <f>IF(C10="",0,VLOOKUP(C10,係数!$B$2:$I$30,7,FALSE))</f>
        <v>0</v>
      </c>
      <c r="M10" s="2" t="str">
        <f>IFERROR(VLOOKUP(C10,係数!$B$2:$I$30,8,FALSE),"ー")</f>
        <v>ー</v>
      </c>
    </row>
    <row r="11" spans="1:17" x14ac:dyDescent="0.4">
      <c r="B11" s="37" t="s">
        <v>167</v>
      </c>
      <c r="C11" s="60"/>
      <c r="D11" s="28"/>
      <c r="E11" s="319" t="str">
        <f>IF(C11="","",VLOOKUP(C11,係数!$B$2:$I$30,4,FALSE))</f>
        <v/>
      </c>
      <c r="F11" s="29"/>
      <c r="G11" s="2" t="s">
        <v>61</v>
      </c>
      <c r="H11" s="321">
        <f t="shared" si="0"/>
        <v>0</v>
      </c>
      <c r="I11" s="2" t="str">
        <f t="shared" si="1"/>
        <v>円／</v>
      </c>
      <c r="J11" s="52">
        <f t="shared" si="2"/>
        <v>0</v>
      </c>
      <c r="K11" s="2" t="s">
        <v>62</v>
      </c>
      <c r="L11" s="1">
        <f>IF(C11="",0,VLOOKUP(C11,係数!$B$2:$I$30,7,FALSE))</f>
        <v>0</v>
      </c>
      <c r="M11" s="2" t="str">
        <f>IFERROR(VLOOKUP(C11,係数!$B$2:$I$30,8,FALSE),"ー")</f>
        <v>ー</v>
      </c>
    </row>
    <row r="12" spans="1:17" x14ac:dyDescent="0.4">
      <c r="C12" s="613" t="s">
        <v>60</v>
      </c>
      <c r="D12" s="619"/>
      <c r="E12" s="614"/>
      <c r="F12" s="12">
        <f>SUM(F7:F11)</f>
        <v>0</v>
      </c>
      <c r="G12" s="2" t="s">
        <v>61</v>
      </c>
      <c r="H12" s="620" t="s">
        <v>861</v>
      </c>
      <c r="I12" s="593"/>
      <c r="J12" s="52">
        <f>SUM(J7:J11)</f>
        <v>0</v>
      </c>
      <c r="K12" s="2" t="s">
        <v>62</v>
      </c>
      <c r="L12" s="620" t="s">
        <v>861</v>
      </c>
      <c r="M12" s="593"/>
    </row>
    <row r="14" spans="1:17" x14ac:dyDescent="0.4">
      <c r="A14">
        <v>2</v>
      </c>
      <c r="B14" t="s">
        <v>65</v>
      </c>
      <c r="F14" s="60"/>
      <c r="G14" t="s">
        <v>216</v>
      </c>
    </row>
    <row r="16" spans="1:17" x14ac:dyDescent="0.4">
      <c r="C16" s="190" t="s">
        <v>862</v>
      </c>
      <c r="D16" s="190" t="s">
        <v>863</v>
      </c>
      <c r="E16" s="190" t="s">
        <v>8</v>
      </c>
      <c r="F16" s="190" t="s">
        <v>9</v>
      </c>
      <c r="G16" s="190" t="s">
        <v>10</v>
      </c>
      <c r="H16" s="190" t="s">
        <v>11</v>
      </c>
      <c r="I16" s="190" t="s">
        <v>12</v>
      </c>
      <c r="J16" s="190" t="s">
        <v>13</v>
      </c>
      <c r="K16" s="190" t="s">
        <v>14</v>
      </c>
      <c r="L16" s="190" t="s">
        <v>15</v>
      </c>
      <c r="M16" s="190" t="s">
        <v>16</v>
      </c>
      <c r="N16" s="190" t="s">
        <v>17</v>
      </c>
      <c r="O16" s="190" t="s">
        <v>18</v>
      </c>
      <c r="P16" s="190" t="s">
        <v>19</v>
      </c>
      <c r="Q16" s="190" t="s">
        <v>60</v>
      </c>
    </row>
    <row r="17" spans="1:17" x14ac:dyDescent="0.4">
      <c r="C17" s="217" t="s">
        <v>0</v>
      </c>
      <c r="D17" s="190" t="str">
        <f>E7&amp;"/月"</f>
        <v>kWh/月</v>
      </c>
      <c r="E17" s="28"/>
      <c r="F17" s="28"/>
      <c r="G17" s="28"/>
      <c r="H17" s="28"/>
      <c r="I17" s="28"/>
      <c r="J17" s="28"/>
      <c r="K17" s="28"/>
      <c r="L17" s="28"/>
      <c r="M17" s="28"/>
      <c r="N17" s="28"/>
      <c r="O17" s="28"/>
      <c r="P17" s="28"/>
      <c r="Q17" s="1">
        <f>SUM(E17:P17)</f>
        <v>0</v>
      </c>
    </row>
    <row r="18" spans="1:17" x14ac:dyDescent="0.4">
      <c r="C18" s="217" t="s">
        <v>1</v>
      </c>
      <c r="D18" s="190" t="str">
        <f t="shared" ref="D18:D21" si="3">E8&amp;"/月"</f>
        <v>㎥/月</v>
      </c>
      <c r="E18" s="28"/>
      <c r="F18" s="28"/>
      <c r="G18" s="28"/>
      <c r="H18" s="28"/>
      <c r="I18" s="28"/>
      <c r="J18" s="28"/>
      <c r="K18" s="28"/>
      <c r="L18" s="28"/>
      <c r="M18" s="28"/>
      <c r="N18" s="28"/>
      <c r="O18" s="28"/>
      <c r="P18" s="28"/>
      <c r="Q18" s="1">
        <f t="shared" ref="Q18:Q27" si="4">SUM(E18:P18)</f>
        <v>0</v>
      </c>
    </row>
    <row r="19" spans="1:17" x14ac:dyDescent="0.4">
      <c r="C19" s="217" t="str">
        <f>C9</f>
        <v>液化石油ガス（LPG）</v>
      </c>
      <c r="D19" s="190" t="str">
        <f t="shared" si="3"/>
        <v>kg/月</v>
      </c>
      <c r="E19" s="28"/>
      <c r="F19" s="28"/>
      <c r="G19" s="28"/>
      <c r="H19" s="28"/>
      <c r="I19" s="28"/>
      <c r="J19" s="28"/>
      <c r="K19" s="28"/>
      <c r="L19" s="28"/>
      <c r="M19" s="28"/>
      <c r="N19" s="28"/>
      <c r="O19" s="28"/>
      <c r="P19" s="28"/>
      <c r="Q19" s="1">
        <f t="shared" si="4"/>
        <v>0</v>
      </c>
    </row>
    <row r="20" spans="1:17" x14ac:dyDescent="0.4">
      <c r="C20" s="217" t="str">
        <f>C10&amp;""</f>
        <v/>
      </c>
      <c r="D20" s="190" t="str">
        <f t="shared" si="3"/>
        <v>/月</v>
      </c>
      <c r="E20" s="28"/>
      <c r="F20" s="28"/>
      <c r="G20" s="28"/>
      <c r="H20" s="28"/>
      <c r="I20" s="28"/>
      <c r="J20" s="28"/>
      <c r="K20" s="28"/>
      <c r="L20" s="28"/>
      <c r="M20" s="28"/>
      <c r="N20" s="28"/>
      <c r="O20" s="28"/>
      <c r="P20" s="28"/>
      <c r="Q20" s="1">
        <f t="shared" ref="Q20" si="5">SUM(E20:P20)</f>
        <v>0</v>
      </c>
    </row>
    <row r="21" spans="1:17" ht="19.5" thickBot="1" x14ac:dyDescent="0.45">
      <c r="C21" s="313" t="str">
        <f>C11&amp;""</f>
        <v/>
      </c>
      <c r="D21" s="317" t="str">
        <f t="shared" si="3"/>
        <v>/月</v>
      </c>
      <c r="E21" s="67"/>
      <c r="F21" s="67"/>
      <c r="G21" s="67"/>
      <c r="H21" s="67"/>
      <c r="I21" s="67"/>
      <c r="J21" s="67"/>
      <c r="K21" s="67"/>
      <c r="L21" s="67"/>
      <c r="M21" s="67"/>
      <c r="N21" s="67"/>
      <c r="O21" s="67"/>
      <c r="P21" s="67"/>
      <c r="Q21" s="17">
        <f t="shared" si="4"/>
        <v>0</v>
      </c>
    </row>
    <row r="22" spans="1:17" x14ac:dyDescent="0.4">
      <c r="C22" s="314" t="str">
        <f>C17</f>
        <v>電気</v>
      </c>
      <c r="D22" s="307" t="s">
        <v>63</v>
      </c>
      <c r="E22" s="68">
        <f>E17*$L7</f>
        <v>0</v>
      </c>
      <c r="F22" s="68">
        <f t="shared" ref="F22:O22" si="6">F17*$L7</f>
        <v>0</v>
      </c>
      <c r="G22" s="68">
        <f t="shared" si="6"/>
        <v>0</v>
      </c>
      <c r="H22" s="68">
        <f t="shared" si="6"/>
        <v>0</v>
      </c>
      <c r="I22" s="68">
        <f t="shared" si="6"/>
        <v>0</v>
      </c>
      <c r="J22" s="68">
        <f t="shared" si="6"/>
        <v>0</v>
      </c>
      <c r="K22" s="68">
        <f t="shared" si="6"/>
        <v>0</v>
      </c>
      <c r="L22" s="68">
        <f t="shared" si="6"/>
        <v>0</v>
      </c>
      <c r="M22" s="68">
        <f t="shared" si="6"/>
        <v>0</v>
      </c>
      <c r="N22" s="68">
        <f t="shared" si="6"/>
        <v>0</v>
      </c>
      <c r="O22" s="68">
        <f t="shared" si="6"/>
        <v>0</v>
      </c>
      <c r="P22" s="68">
        <f>P17*$L7</f>
        <v>0</v>
      </c>
      <c r="Q22" s="77">
        <f>SUM(E22:P22)</f>
        <v>0</v>
      </c>
    </row>
    <row r="23" spans="1:17" x14ac:dyDescent="0.4">
      <c r="C23" s="315" t="str">
        <f t="shared" ref="C23:C26" si="7">C18</f>
        <v>都市ガス</v>
      </c>
      <c r="D23" s="190" t="s">
        <v>63</v>
      </c>
      <c r="E23" s="57">
        <f>E18*$L8</f>
        <v>0</v>
      </c>
      <c r="F23" s="57">
        <f t="shared" ref="F23:O23" si="8">F18*$L8</f>
        <v>0</v>
      </c>
      <c r="G23" s="57">
        <f t="shared" si="8"/>
        <v>0</v>
      </c>
      <c r="H23" s="57">
        <f t="shared" si="8"/>
        <v>0</v>
      </c>
      <c r="I23" s="57">
        <f t="shared" si="8"/>
        <v>0</v>
      </c>
      <c r="J23" s="57">
        <f t="shared" si="8"/>
        <v>0</v>
      </c>
      <c r="K23" s="57">
        <f t="shared" si="8"/>
        <v>0</v>
      </c>
      <c r="L23" s="57">
        <f t="shared" si="8"/>
        <v>0</v>
      </c>
      <c r="M23" s="57">
        <f t="shared" si="8"/>
        <v>0</v>
      </c>
      <c r="N23" s="57">
        <f t="shared" si="8"/>
        <v>0</v>
      </c>
      <c r="O23" s="57">
        <f t="shared" si="8"/>
        <v>0</v>
      </c>
      <c r="P23" s="57">
        <f>P18*$L8</f>
        <v>0</v>
      </c>
      <c r="Q23" s="78">
        <f t="shared" ref="Q23:Q26" si="9">SUM(E23:P23)</f>
        <v>0</v>
      </c>
    </row>
    <row r="24" spans="1:17" x14ac:dyDescent="0.4">
      <c r="C24" s="315" t="str">
        <f t="shared" si="7"/>
        <v>液化石油ガス（LPG）</v>
      </c>
      <c r="D24" s="190" t="s">
        <v>63</v>
      </c>
      <c r="E24" s="57">
        <f>E19*$L9</f>
        <v>0</v>
      </c>
      <c r="F24" s="57">
        <f t="shared" ref="F24:O24" si="10">F19*$L9</f>
        <v>0</v>
      </c>
      <c r="G24" s="57">
        <f t="shared" si="10"/>
        <v>0</v>
      </c>
      <c r="H24" s="57">
        <f t="shared" si="10"/>
        <v>0</v>
      </c>
      <c r="I24" s="57">
        <f t="shared" si="10"/>
        <v>0</v>
      </c>
      <c r="J24" s="57">
        <f t="shared" si="10"/>
        <v>0</v>
      </c>
      <c r="K24" s="57">
        <f t="shared" si="10"/>
        <v>0</v>
      </c>
      <c r="L24" s="57">
        <f t="shared" si="10"/>
        <v>0</v>
      </c>
      <c r="M24" s="57">
        <f t="shared" si="10"/>
        <v>0</v>
      </c>
      <c r="N24" s="57">
        <f t="shared" si="10"/>
        <v>0</v>
      </c>
      <c r="O24" s="57">
        <f t="shared" si="10"/>
        <v>0</v>
      </c>
      <c r="P24" s="57">
        <f>P19*$L9</f>
        <v>0</v>
      </c>
      <c r="Q24" s="78">
        <f t="shared" si="9"/>
        <v>0</v>
      </c>
    </row>
    <row r="25" spans="1:17" x14ac:dyDescent="0.4">
      <c r="C25" s="315" t="str">
        <f t="shared" si="7"/>
        <v/>
      </c>
      <c r="D25" s="190" t="s">
        <v>63</v>
      </c>
      <c r="E25" s="57">
        <f>E20*$L10</f>
        <v>0</v>
      </c>
      <c r="F25" s="57">
        <f t="shared" ref="F25:O25" si="11">F20*$L10</f>
        <v>0</v>
      </c>
      <c r="G25" s="57">
        <f t="shared" si="11"/>
        <v>0</v>
      </c>
      <c r="H25" s="57">
        <f t="shared" si="11"/>
        <v>0</v>
      </c>
      <c r="I25" s="57">
        <f t="shared" si="11"/>
        <v>0</v>
      </c>
      <c r="J25" s="57">
        <f t="shared" si="11"/>
        <v>0</v>
      </c>
      <c r="K25" s="57">
        <f t="shared" si="11"/>
        <v>0</v>
      </c>
      <c r="L25" s="57">
        <f t="shared" si="11"/>
        <v>0</v>
      </c>
      <c r="M25" s="57">
        <f t="shared" si="11"/>
        <v>0</v>
      </c>
      <c r="N25" s="57">
        <f t="shared" si="11"/>
        <v>0</v>
      </c>
      <c r="O25" s="57">
        <f t="shared" si="11"/>
        <v>0</v>
      </c>
      <c r="P25" s="57">
        <f>P20*$L10</f>
        <v>0</v>
      </c>
      <c r="Q25" s="78">
        <f t="shared" si="9"/>
        <v>0</v>
      </c>
    </row>
    <row r="26" spans="1:17" x14ac:dyDescent="0.4">
      <c r="C26" s="315" t="str">
        <f t="shared" si="7"/>
        <v/>
      </c>
      <c r="D26" s="190" t="s">
        <v>63</v>
      </c>
      <c r="E26" s="57">
        <f>E21*$L11</f>
        <v>0</v>
      </c>
      <c r="F26" s="57">
        <f t="shared" ref="F26:O26" si="12">F21*$L11</f>
        <v>0</v>
      </c>
      <c r="G26" s="57">
        <f t="shared" si="12"/>
        <v>0</v>
      </c>
      <c r="H26" s="57">
        <f t="shared" si="12"/>
        <v>0</v>
      </c>
      <c r="I26" s="57">
        <f t="shared" si="12"/>
        <v>0</v>
      </c>
      <c r="J26" s="57">
        <f t="shared" si="12"/>
        <v>0</v>
      </c>
      <c r="K26" s="57">
        <f t="shared" si="12"/>
        <v>0</v>
      </c>
      <c r="L26" s="57">
        <f t="shared" si="12"/>
        <v>0</v>
      </c>
      <c r="M26" s="57">
        <f t="shared" si="12"/>
        <v>0</v>
      </c>
      <c r="N26" s="57">
        <f t="shared" si="12"/>
        <v>0</v>
      </c>
      <c r="O26" s="57">
        <f t="shared" si="12"/>
        <v>0</v>
      </c>
      <c r="P26" s="57">
        <f>P21*$L11</f>
        <v>0</v>
      </c>
      <c r="Q26" s="78">
        <f t="shared" si="9"/>
        <v>0</v>
      </c>
    </row>
    <row r="27" spans="1:17" ht="19.5" thickBot="1" x14ac:dyDescent="0.45">
      <c r="C27" s="303" t="s">
        <v>60</v>
      </c>
      <c r="D27" s="318" t="s">
        <v>63</v>
      </c>
      <c r="E27" s="69">
        <f>SUM(E22:E26)</f>
        <v>0</v>
      </c>
      <c r="F27" s="69">
        <f t="shared" ref="F27:O27" si="13">SUM(F22:F26)</f>
        <v>0</v>
      </c>
      <c r="G27" s="69">
        <f t="shared" si="13"/>
        <v>0</v>
      </c>
      <c r="H27" s="69">
        <f t="shared" si="13"/>
        <v>0</v>
      </c>
      <c r="I27" s="69">
        <f t="shared" si="13"/>
        <v>0</v>
      </c>
      <c r="J27" s="69">
        <f t="shared" si="13"/>
        <v>0</v>
      </c>
      <c r="K27" s="69">
        <f t="shared" si="13"/>
        <v>0</v>
      </c>
      <c r="L27" s="69">
        <f t="shared" si="13"/>
        <v>0</v>
      </c>
      <c r="M27" s="69">
        <f t="shared" si="13"/>
        <v>0</v>
      </c>
      <c r="N27" s="69">
        <f t="shared" si="13"/>
        <v>0</v>
      </c>
      <c r="O27" s="69">
        <f t="shared" si="13"/>
        <v>0</v>
      </c>
      <c r="P27" s="69">
        <f>SUM(P22:P26)</f>
        <v>0</v>
      </c>
      <c r="Q27" s="71">
        <f t="shared" si="4"/>
        <v>0</v>
      </c>
    </row>
    <row r="29" spans="1:17" x14ac:dyDescent="0.4">
      <c r="A29">
        <v>3</v>
      </c>
      <c r="B29" t="s">
        <v>166</v>
      </c>
      <c r="F29" s="60"/>
      <c r="G29" t="s">
        <v>216</v>
      </c>
    </row>
    <row r="31" spans="1:17" x14ac:dyDescent="0.4">
      <c r="C31" s="190" t="s">
        <v>862</v>
      </c>
      <c r="D31" s="190" t="s">
        <v>2</v>
      </c>
      <c r="E31" s="320"/>
      <c r="F31" s="320"/>
      <c r="G31" s="320"/>
      <c r="H31" s="320"/>
      <c r="I31" s="320"/>
      <c r="J31" s="320"/>
      <c r="K31" s="320"/>
      <c r="L31" s="320"/>
      <c r="M31" s="320"/>
      <c r="N31" s="310"/>
      <c r="O31" s="190" t="s">
        <v>215</v>
      </c>
    </row>
    <row r="32" spans="1:17" x14ac:dyDescent="0.4">
      <c r="C32" s="217" t="s">
        <v>0</v>
      </c>
      <c r="D32" s="190" t="str">
        <f>E7&amp;"/年"</f>
        <v>kWh/年</v>
      </c>
      <c r="E32" s="28"/>
      <c r="F32" s="28"/>
      <c r="G32" s="28"/>
      <c r="H32" s="28"/>
      <c r="I32" s="28"/>
      <c r="J32" s="28"/>
      <c r="K32" s="28"/>
      <c r="L32" s="28"/>
      <c r="M32" s="28"/>
      <c r="N32" s="72"/>
      <c r="O32" s="1">
        <f>SUM(E32:N32)</f>
        <v>0</v>
      </c>
    </row>
    <row r="33" spans="1:15" x14ac:dyDescent="0.4">
      <c r="C33" s="217" t="s">
        <v>1</v>
      </c>
      <c r="D33" s="190" t="str">
        <f t="shared" ref="D33:D36" si="14">E8&amp;"/年"</f>
        <v>㎥/年</v>
      </c>
      <c r="E33" s="28"/>
      <c r="F33" s="28"/>
      <c r="G33" s="28"/>
      <c r="H33" s="28"/>
      <c r="I33" s="28"/>
      <c r="J33" s="28"/>
      <c r="K33" s="28"/>
      <c r="L33" s="28"/>
      <c r="M33" s="28"/>
      <c r="N33" s="72"/>
      <c r="O33" s="1">
        <f t="shared" ref="O33:O42" si="15">SUM(E33:N33)</f>
        <v>0</v>
      </c>
    </row>
    <row r="34" spans="1:15" x14ac:dyDescent="0.4">
      <c r="C34" s="217" t="str">
        <f>C9</f>
        <v>液化石油ガス（LPG）</v>
      </c>
      <c r="D34" s="190" t="str">
        <f t="shared" si="14"/>
        <v>kg/年</v>
      </c>
      <c r="E34" s="28"/>
      <c r="F34" s="28"/>
      <c r="G34" s="28"/>
      <c r="H34" s="28"/>
      <c r="I34" s="28"/>
      <c r="J34" s="28"/>
      <c r="K34" s="28"/>
      <c r="L34" s="28"/>
      <c r="M34" s="28"/>
      <c r="N34" s="72"/>
      <c r="O34" s="1">
        <f t="shared" si="15"/>
        <v>0</v>
      </c>
    </row>
    <row r="35" spans="1:15" x14ac:dyDescent="0.4">
      <c r="C35" s="217" t="str">
        <f t="shared" ref="C35:C36" si="16">C20&amp;""</f>
        <v/>
      </c>
      <c r="D35" s="190" t="str">
        <f t="shared" si="14"/>
        <v>/年</v>
      </c>
      <c r="E35" s="28"/>
      <c r="F35" s="28"/>
      <c r="G35" s="28"/>
      <c r="H35" s="28"/>
      <c r="I35" s="28"/>
      <c r="J35" s="28"/>
      <c r="K35" s="28"/>
      <c r="L35" s="28"/>
      <c r="M35" s="28"/>
      <c r="N35" s="72"/>
      <c r="O35" s="1">
        <f t="shared" si="15"/>
        <v>0</v>
      </c>
    </row>
    <row r="36" spans="1:15" ht="19.5" thickBot="1" x14ac:dyDescent="0.45">
      <c r="C36" s="313" t="str">
        <f t="shared" si="16"/>
        <v/>
      </c>
      <c r="D36" s="317" t="str">
        <f t="shared" si="14"/>
        <v>/年</v>
      </c>
      <c r="E36" s="67"/>
      <c r="F36" s="67"/>
      <c r="G36" s="67"/>
      <c r="H36" s="67"/>
      <c r="I36" s="67"/>
      <c r="J36" s="67"/>
      <c r="K36" s="67"/>
      <c r="L36" s="67"/>
      <c r="M36" s="67"/>
      <c r="N36" s="76"/>
      <c r="O36" s="17">
        <f t="shared" si="15"/>
        <v>0</v>
      </c>
    </row>
    <row r="37" spans="1:15" x14ac:dyDescent="0.4">
      <c r="C37" s="314" t="str">
        <f>C32</f>
        <v>電気</v>
      </c>
      <c r="D37" s="307" t="s">
        <v>62</v>
      </c>
      <c r="E37" s="68">
        <f>E32*$L7</f>
        <v>0</v>
      </c>
      <c r="F37" s="68">
        <f t="shared" ref="F37:N37" si="17">F32*$L7</f>
        <v>0</v>
      </c>
      <c r="G37" s="68">
        <f t="shared" si="17"/>
        <v>0</v>
      </c>
      <c r="H37" s="68">
        <f t="shared" si="17"/>
        <v>0</v>
      </c>
      <c r="I37" s="68">
        <f t="shared" si="17"/>
        <v>0</v>
      </c>
      <c r="J37" s="68">
        <f t="shared" si="17"/>
        <v>0</v>
      </c>
      <c r="K37" s="68">
        <f t="shared" si="17"/>
        <v>0</v>
      </c>
      <c r="L37" s="68">
        <f t="shared" si="17"/>
        <v>0</v>
      </c>
      <c r="M37" s="68">
        <f t="shared" si="17"/>
        <v>0</v>
      </c>
      <c r="N37" s="73">
        <f t="shared" si="17"/>
        <v>0</v>
      </c>
      <c r="O37" s="77">
        <f t="shared" si="15"/>
        <v>0</v>
      </c>
    </row>
    <row r="38" spans="1:15" x14ac:dyDescent="0.4">
      <c r="C38" s="315" t="str">
        <f t="shared" ref="C38:C41" si="18">C33</f>
        <v>都市ガス</v>
      </c>
      <c r="D38" s="190" t="s">
        <v>62</v>
      </c>
      <c r="E38" s="57">
        <f t="shared" ref="E38:N38" si="19">E33*$L8</f>
        <v>0</v>
      </c>
      <c r="F38" s="57">
        <f t="shared" si="19"/>
        <v>0</v>
      </c>
      <c r="G38" s="57">
        <f t="shared" si="19"/>
        <v>0</v>
      </c>
      <c r="H38" s="57">
        <f t="shared" si="19"/>
        <v>0</v>
      </c>
      <c r="I38" s="57">
        <f t="shared" si="19"/>
        <v>0</v>
      </c>
      <c r="J38" s="57">
        <f t="shared" si="19"/>
        <v>0</v>
      </c>
      <c r="K38" s="57">
        <f t="shared" si="19"/>
        <v>0</v>
      </c>
      <c r="L38" s="57">
        <f t="shared" si="19"/>
        <v>0</v>
      </c>
      <c r="M38" s="57">
        <f t="shared" si="19"/>
        <v>0</v>
      </c>
      <c r="N38" s="74">
        <f t="shared" si="19"/>
        <v>0</v>
      </c>
      <c r="O38" s="78">
        <f t="shared" si="15"/>
        <v>0</v>
      </c>
    </row>
    <row r="39" spans="1:15" x14ac:dyDescent="0.4">
      <c r="C39" s="315" t="str">
        <f t="shared" si="18"/>
        <v>液化石油ガス（LPG）</v>
      </c>
      <c r="D39" s="190" t="s">
        <v>62</v>
      </c>
      <c r="E39" s="57">
        <f t="shared" ref="E39:N39" si="20">E34*$L9</f>
        <v>0</v>
      </c>
      <c r="F39" s="57">
        <f t="shared" si="20"/>
        <v>0</v>
      </c>
      <c r="G39" s="57">
        <f t="shared" si="20"/>
        <v>0</v>
      </c>
      <c r="H39" s="57">
        <f t="shared" si="20"/>
        <v>0</v>
      </c>
      <c r="I39" s="57">
        <f t="shared" si="20"/>
        <v>0</v>
      </c>
      <c r="J39" s="57">
        <f t="shared" si="20"/>
        <v>0</v>
      </c>
      <c r="K39" s="57">
        <f t="shared" si="20"/>
        <v>0</v>
      </c>
      <c r="L39" s="57">
        <f t="shared" si="20"/>
        <v>0</v>
      </c>
      <c r="M39" s="57">
        <f t="shared" si="20"/>
        <v>0</v>
      </c>
      <c r="N39" s="74">
        <f t="shared" si="20"/>
        <v>0</v>
      </c>
      <c r="O39" s="78">
        <f t="shared" si="15"/>
        <v>0</v>
      </c>
    </row>
    <row r="40" spans="1:15" x14ac:dyDescent="0.4">
      <c r="C40" s="315" t="str">
        <f t="shared" si="18"/>
        <v/>
      </c>
      <c r="D40" s="190" t="s">
        <v>62</v>
      </c>
      <c r="E40" s="57">
        <f t="shared" ref="E40:N40" si="21">E35*$L10</f>
        <v>0</v>
      </c>
      <c r="F40" s="57">
        <f t="shared" si="21"/>
        <v>0</v>
      </c>
      <c r="G40" s="57">
        <f t="shared" si="21"/>
        <v>0</v>
      </c>
      <c r="H40" s="57">
        <f t="shared" si="21"/>
        <v>0</v>
      </c>
      <c r="I40" s="57">
        <f t="shared" si="21"/>
        <v>0</v>
      </c>
      <c r="J40" s="57">
        <f t="shared" si="21"/>
        <v>0</v>
      </c>
      <c r="K40" s="57">
        <f t="shared" si="21"/>
        <v>0</v>
      </c>
      <c r="L40" s="57">
        <f t="shared" si="21"/>
        <v>0</v>
      </c>
      <c r="M40" s="57">
        <f t="shared" si="21"/>
        <v>0</v>
      </c>
      <c r="N40" s="74">
        <f t="shared" si="21"/>
        <v>0</v>
      </c>
      <c r="O40" s="78">
        <f t="shared" si="15"/>
        <v>0</v>
      </c>
    </row>
    <row r="41" spans="1:15" x14ac:dyDescent="0.4">
      <c r="C41" s="315" t="str">
        <f t="shared" si="18"/>
        <v/>
      </c>
      <c r="D41" s="190" t="s">
        <v>62</v>
      </c>
      <c r="E41" s="57">
        <f t="shared" ref="E41:N41" si="22">E36*$L11</f>
        <v>0</v>
      </c>
      <c r="F41" s="57">
        <f t="shared" si="22"/>
        <v>0</v>
      </c>
      <c r="G41" s="57">
        <f t="shared" si="22"/>
        <v>0</v>
      </c>
      <c r="H41" s="57">
        <f t="shared" si="22"/>
        <v>0</v>
      </c>
      <c r="I41" s="57">
        <f t="shared" si="22"/>
        <v>0</v>
      </c>
      <c r="J41" s="57">
        <f t="shared" si="22"/>
        <v>0</v>
      </c>
      <c r="K41" s="57">
        <f t="shared" si="22"/>
        <v>0</v>
      </c>
      <c r="L41" s="57">
        <f t="shared" si="22"/>
        <v>0</v>
      </c>
      <c r="M41" s="57">
        <f t="shared" si="22"/>
        <v>0</v>
      </c>
      <c r="N41" s="74">
        <f t="shared" si="22"/>
        <v>0</v>
      </c>
      <c r="O41" s="78">
        <f t="shared" si="15"/>
        <v>0</v>
      </c>
    </row>
    <row r="42" spans="1:15" ht="19.5" thickBot="1" x14ac:dyDescent="0.45">
      <c r="C42" s="303" t="s">
        <v>60</v>
      </c>
      <c r="D42" s="318" t="s">
        <v>62</v>
      </c>
      <c r="E42" s="69">
        <f>SUM(E37:E41)</f>
        <v>0</v>
      </c>
      <c r="F42" s="69">
        <f t="shared" ref="F42" si="23">SUM(F37:F41)</f>
        <v>0</v>
      </c>
      <c r="G42" s="69">
        <f t="shared" ref="G42" si="24">SUM(G37:G41)</f>
        <v>0</v>
      </c>
      <c r="H42" s="69">
        <f t="shared" ref="H42" si="25">SUM(H37:H41)</f>
        <v>0</v>
      </c>
      <c r="I42" s="69">
        <f t="shared" ref="I42" si="26">SUM(I37:I41)</f>
        <v>0</v>
      </c>
      <c r="J42" s="69">
        <f t="shared" ref="J42" si="27">SUM(J37:J41)</f>
        <v>0</v>
      </c>
      <c r="K42" s="69">
        <f t="shared" ref="K42" si="28">SUM(K37:K41)</f>
        <v>0</v>
      </c>
      <c r="L42" s="69">
        <f t="shared" ref="L42" si="29">SUM(L37:L41)</f>
        <v>0</v>
      </c>
      <c r="M42" s="69">
        <f t="shared" ref="M42" si="30">SUM(M37:M41)</f>
        <v>0</v>
      </c>
      <c r="N42" s="75">
        <f t="shared" ref="N42" si="31">SUM(N37:N41)</f>
        <v>0</v>
      </c>
      <c r="O42" s="71">
        <f t="shared" si="15"/>
        <v>0</v>
      </c>
    </row>
    <row r="44" spans="1:15" x14ac:dyDescent="0.4">
      <c r="A44">
        <v>4</v>
      </c>
      <c r="B44" t="s">
        <v>191</v>
      </c>
      <c r="F44" s="60"/>
      <c r="G44" t="s">
        <v>216</v>
      </c>
    </row>
    <row r="46" spans="1:15" x14ac:dyDescent="0.4">
      <c r="C46" s="194" t="s">
        <v>229</v>
      </c>
      <c r="D46" s="28"/>
      <c r="E46" s="2" t="s">
        <v>189</v>
      </c>
      <c r="F46" s="49" t="s">
        <v>235</v>
      </c>
      <c r="G46" s="50"/>
      <c r="H46" s="51"/>
    </row>
    <row r="47" spans="1:15" x14ac:dyDescent="0.4">
      <c r="C47" s="194" t="s">
        <v>193</v>
      </c>
      <c r="D47" s="28"/>
      <c r="E47" s="2" t="s">
        <v>192</v>
      </c>
      <c r="F47" s="49" t="s">
        <v>234</v>
      </c>
      <c r="G47" s="50"/>
      <c r="H47" s="51"/>
    </row>
    <row r="48" spans="1:15" x14ac:dyDescent="0.4">
      <c r="C48" s="194" t="s">
        <v>231</v>
      </c>
      <c r="D48" s="28"/>
      <c r="E48" s="2" t="s">
        <v>227</v>
      </c>
      <c r="F48" s="49" t="s">
        <v>194</v>
      </c>
      <c r="G48" s="50"/>
      <c r="H48" s="51"/>
    </row>
    <row r="49" spans="1:8" x14ac:dyDescent="0.4">
      <c r="C49" s="194" t="s">
        <v>225</v>
      </c>
      <c r="D49" s="89">
        <f>D48*D46*(185-D47)/100*12</f>
        <v>0</v>
      </c>
      <c r="E49" s="2" t="s">
        <v>224</v>
      </c>
      <c r="F49" s="49"/>
      <c r="G49" s="50"/>
      <c r="H49" s="51"/>
    </row>
    <row r="50" spans="1:8" x14ac:dyDescent="0.4">
      <c r="C50" s="194" t="s">
        <v>3</v>
      </c>
      <c r="D50" s="88">
        <f>F7</f>
        <v>0</v>
      </c>
      <c r="E50" s="2" t="s">
        <v>190</v>
      </c>
      <c r="F50" s="49"/>
      <c r="G50" s="50"/>
      <c r="H50" s="51"/>
    </row>
    <row r="52" spans="1:8" x14ac:dyDescent="0.4">
      <c r="A52">
        <v>5</v>
      </c>
      <c r="B52" t="s">
        <v>188</v>
      </c>
      <c r="F52" s="60"/>
      <c r="G52" t="s">
        <v>216</v>
      </c>
    </row>
    <row r="54" spans="1:8" x14ac:dyDescent="0.4">
      <c r="C54" s="194" t="s">
        <v>195</v>
      </c>
      <c r="D54" s="27"/>
      <c r="E54" s="2" t="s">
        <v>189</v>
      </c>
      <c r="F54" s="49" t="s">
        <v>492</v>
      </c>
      <c r="G54" s="51"/>
    </row>
    <row r="55" spans="1:8" x14ac:dyDescent="0.4">
      <c r="C55" s="316" t="s">
        <v>199</v>
      </c>
      <c r="D55" s="27"/>
      <c r="E55" s="2" t="s">
        <v>196</v>
      </c>
      <c r="F55" s="49" t="s">
        <v>491</v>
      </c>
      <c r="G55" s="51"/>
    </row>
    <row r="57" spans="1:8" x14ac:dyDescent="0.4">
      <c r="A57">
        <v>5</v>
      </c>
      <c r="B57" t="s">
        <v>197</v>
      </c>
      <c r="F57" s="45"/>
      <c r="G57" t="s">
        <v>216</v>
      </c>
    </row>
    <row r="59" spans="1:8" x14ac:dyDescent="0.4">
      <c r="C59" s="316" t="s">
        <v>198</v>
      </c>
      <c r="D59" s="27"/>
      <c r="E59" s="2" t="s">
        <v>200</v>
      </c>
      <c r="F59" s="49"/>
      <c r="G59" s="51"/>
    </row>
  </sheetData>
  <sheetProtection algorithmName="SHA-512" hashValue="bGmXjg7RL3XeEE8CVpM0wL6HJA7at7cVQ4YaZnnfOQ2pqMtC+YRrjT4QPyoF9tHI+yR99SrNjAlKWbSLEnlVyg==" saltValue="aBOZvGFw2XP25FRPvGWzNg==" spinCount="100000" sheet="1" formatCells="0" formatColumns="0" formatRows="0"/>
  <mergeCells count="5">
    <mergeCell ref="C12:E12"/>
    <mergeCell ref="H12:I12"/>
    <mergeCell ref="L12:M12"/>
    <mergeCell ref="G4:I4"/>
    <mergeCell ref="K4:M4"/>
  </mergeCells>
  <phoneticPr fontId="5"/>
  <conditionalFormatting sqref="D46:D49">
    <cfRule type="expression" dxfId="59" priority="10">
      <formula>$F$44="把握していない"</formula>
    </cfRule>
  </conditionalFormatting>
  <conditionalFormatting sqref="E31:N36">
    <cfRule type="expression" dxfId="58" priority="9">
      <formula>$F$29="把握していない"</formula>
    </cfRule>
  </conditionalFormatting>
  <conditionalFormatting sqref="E37:N41">
    <cfRule type="expression" dxfId="57" priority="3">
      <formula>$F$14="把握していない"</formula>
    </cfRule>
  </conditionalFormatting>
  <conditionalFormatting sqref="E17:P26">
    <cfRule type="expression" dxfId="56" priority="1">
      <formula>$F$14="把握していない"</formula>
    </cfRule>
  </conditionalFormatting>
  <conditionalFormatting sqref="F2:F3">
    <cfRule type="expression" dxfId="55" priority="2">
      <formula>$F$44="把握していない"</formula>
    </cfRule>
  </conditionalFormatting>
  <dataValidations count="2">
    <dataValidation type="list" allowBlank="1" showInputMessage="1" showErrorMessage="1" sqref="F14 F29 F44" xr:uid="{00000000-0002-0000-0200-000000000000}">
      <formula1>"把握している,把握していない"</formula1>
    </dataValidation>
    <dataValidation type="list" allowBlank="1" showInputMessage="1" showErrorMessage="1" sqref="F57 F52" xr:uid="{00000000-0002-0000-0200-000001000000}">
      <formula1>"実施中,未実施"</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1" manualBreakCount="1">
    <brk id="4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係数!$B$3:$B$30</xm:f>
          </x14:formula1>
          <xm:sqref>C9:C11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17"/>
  <sheetViews>
    <sheetView view="pageBreakPreview" zoomScale="70" zoomScaleNormal="85" zoomScaleSheetLayoutView="70" workbookViewId="0">
      <pane ySplit="1" topLeftCell="A2" activePane="bottomLeft" state="frozen"/>
      <selection activeCell="G6" sqref="G6"/>
      <selection pane="bottomLeft" activeCell="T21" sqref="T21"/>
    </sheetView>
  </sheetViews>
  <sheetFormatPr defaultRowHeight="18.75" x14ac:dyDescent="0.4"/>
  <cols>
    <col min="1" max="1" width="3.625" customWidth="1"/>
    <col min="2" max="2" width="6.625" customWidth="1"/>
    <col min="3" max="3" width="10.125" customWidth="1"/>
    <col min="4" max="4" width="12.625" customWidth="1"/>
    <col min="5" max="5" width="10.125" style="87" customWidth="1"/>
    <col min="6" max="7" width="10.125" customWidth="1"/>
    <col min="8" max="9" width="5.625" customWidth="1"/>
    <col min="10" max="13" width="10.125" customWidth="1"/>
    <col min="14" max="14" width="12.625" customWidth="1"/>
    <col min="15" max="15" width="10.125" customWidth="1"/>
    <col min="16" max="17" width="5.625" customWidth="1"/>
    <col min="18" max="22" width="10.125" customWidth="1"/>
    <col min="23" max="23" width="3.625" customWidth="1"/>
    <col min="24" max="24" width="7.375" customWidth="1"/>
  </cols>
  <sheetData>
    <row r="1" spans="1:22" ht="30" x14ac:dyDescent="0.6">
      <c r="A1" s="95" t="s">
        <v>499</v>
      </c>
      <c r="G1" s="184"/>
      <c r="H1" s="184"/>
      <c r="I1" s="184"/>
      <c r="J1" s="185"/>
      <c r="M1" s="186"/>
    </row>
    <row r="3" spans="1:22" ht="22.7" customHeight="1" x14ac:dyDescent="0.4">
      <c r="D3" s="630" t="s">
        <v>139</v>
      </c>
      <c r="E3" s="631"/>
      <c r="F3" s="187" t="s">
        <v>138</v>
      </c>
      <c r="G3" s="187" t="s">
        <v>76</v>
      </c>
      <c r="H3" s="630" t="s">
        <v>86</v>
      </c>
      <c r="I3" s="631"/>
      <c r="J3" s="187" t="s">
        <v>183</v>
      </c>
      <c r="K3" s="188" t="s">
        <v>187</v>
      </c>
      <c r="M3" s="622" t="s">
        <v>500</v>
      </c>
      <c r="N3" s="622"/>
      <c r="O3" s="622"/>
      <c r="P3" s="622"/>
      <c r="Q3" s="622"/>
      <c r="R3" s="622"/>
      <c r="S3" s="622"/>
      <c r="T3" s="622"/>
      <c r="U3" s="622"/>
      <c r="V3" s="622"/>
    </row>
    <row r="4" spans="1:22" ht="22.7" customHeight="1" x14ac:dyDescent="0.4">
      <c r="D4" s="603" t="s">
        <v>83</v>
      </c>
      <c r="E4" s="604"/>
      <c r="F4" s="187" t="s">
        <v>84</v>
      </c>
      <c r="G4" s="451">
        <f>$K$17</f>
        <v>0</v>
      </c>
      <c r="H4" s="638">
        <f>$S$17</f>
        <v>0</v>
      </c>
      <c r="I4" s="639">
        <f>$S$17</f>
        <v>0</v>
      </c>
      <c r="J4" s="452">
        <f>G4-H4</f>
        <v>0</v>
      </c>
      <c r="K4" s="176">
        <f>IF(OR(G4=0,J4=0),0,J4/G4)</f>
        <v>0</v>
      </c>
      <c r="M4" s="623"/>
      <c r="N4" s="623"/>
      <c r="O4" s="623"/>
      <c r="P4" s="623"/>
      <c r="Q4" s="623"/>
      <c r="R4" s="623"/>
      <c r="S4" s="623"/>
      <c r="T4" s="623"/>
      <c r="U4" s="623"/>
      <c r="V4" s="623"/>
    </row>
    <row r="5" spans="1:22" ht="22.7" customHeight="1" x14ac:dyDescent="0.4">
      <c r="D5" s="603" t="s">
        <v>58</v>
      </c>
      <c r="E5" s="604"/>
      <c r="F5" s="189" t="s">
        <v>62</v>
      </c>
      <c r="G5" s="453">
        <f>$L$17</f>
        <v>0</v>
      </c>
      <c r="H5" s="640">
        <f>$T$17</f>
        <v>0</v>
      </c>
      <c r="I5" s="641">
        <f>$T$17</f>
        <v>0</v>
      </c>
      <c r="J5" s="454">
        <f>G5-H5</f>
        <v>0</v>
      </c>
      <c r="K5" s="176">
        <f t="shared" ref="K5" si="0">IF(OR(G5=0,J5=0),0,J5/G5)</f>
        <v>0</v>
      </c>
      <c r="M5" s="455"/>
      <c r="N5" s="455"/>
      <c r="O5" s="455"/>
      <c r="P5" s="455"/>
      <c r="Q5" s="455"/>
      <c r="R5" s="455"/>
      <c r="S5" s="455"/>
      <c r="T5" s="455"/>
      <c r="U5" s="455"/>
    </row>
    <row r="6" spans="1:22" ht="22.7" customHeight="1" x14ac:dyDescent="0.4">
      <c r="D6" s="630" t="s">
        <v>186</v>
      </c>
      <c r="E6" s="631"/>
      <c r="F6" s="187" t="s">
        <v>89</v>
      </c>
      <c r="G6" s="456" t="str">
        <f>IF(使用量と光熱費!$H$7=0,"ー",G4*使用量と光熱費!$H$6)</f>
        <v>ー</v>
      </c>
      <c r="H6" s="634" t="str">
        <f>IF(使用量と光熱費!$H$7=0,"ー",H4*使用量と光熱費!$H$6)</f>
        <v>ー</v>
      </c>
      <c r="I6" s="635" t="str">
        <f>IF([3]使用量と光熱費!$H$6=0,"ー",I4*[3]使用量と光熱費!$H$6)</f>
        <v>ー</v>
      </c>
      <c r="J6" s="456" t="str">
        <f>IF(OR(G6="ー",H6="ー"),"ー",J4*使用量と光熱費!$H$6)</f>
        <v>ー</v>
      </c>
      <c r="K6" s="457" t="str">
        <f>IF(OR(G6="ー",J6="ー"),"ー",J6/G6)</f>
        <v>ー</v>
      </c>
      <c r="M6" s="624" t="s">
        <v>501</v>
      </c>
      <c r="N6" s="625"/>
      <c r="O6" s="625"/>
      <c r="P6" s="625"/>
      <c r="Q6" s="625"/>
      <c r="R6" s="625"/>
      <c r="S6" s="625"/>
      <c r="T6" s="625"/>
      <c r="U6" s="625"/>
      <c r="V6" s="626"/>
    </row>
    <row r="7" spans="1:22" x14ac:dyDescent="0.4">
      <c r="D7" s="632" t="s">
        <v>458</v>
      </c>
      <c r="E7" s="633"/>
      <c r="F7" s="190" t="s">
        <v>459</v>
      </c>
      <c r="G7" s="458">
        <f>G4*係数!$C$30*0.0000258</f>
        <v>0</v>
      </c>
      <c r="H7" s="636">
        <f>H4*係数!$C$30*0.0000258</f>
        <v>0</v>
      </c>
      <c r="I7" s="637">
        <f>I4*[3]係数!$C$30*0.0000258</f>
        <v>0</v>
      </c>
      <c r="J7" s="459">
        <f>G7-H7</f>
        <v>0</v>
      </c>
      <c r="K7" s="39">
        <f>IF(OR(G7=0,J7=0),0,J7/G7)</f>
        <v>0</v>
      </c>
      <c r="M7" s="460" t="str">
        <f>IF(OR(E17=0,O17=0),"",IF(E17=O17,"なし",IF(E17&gt;O17,"減少","増加")))</f>
        <v/>
      </c>
      <c r="N7" s="627" t="str">
        <f>IF(OR(M7="",M7="なし"),"ー",IF(M7="減少","減少する理由を特記事項欄に記載してください。","やむを得ず増加する場合は特記事項欄に理由を記載してください。(要根拠資料提出)"))</f>
        <v>ー</v>
      </c>
      <c r="O7" s="628"/>
      <c r="P7" s="628"/>
      <c r="Q7" s="628"/>
      <c r="R7" s="628"/>
      <c r="S7" s="628"/>
      <c r="T7" s="628"/>
      <c r="U7" s="628"/>
      <c r="V7" s="629"/>
    </row>
    <row r="8" spans="1:22" x14ac:dyDescent="0.4">
      <c r="M8" s="455"/>
      <c r="N8" s="455"/>
      <c r="O8" s="455"/>
      <c r="P8" s="455"/>
      <c r="Q8" s="455"/>
      <c r="R8" s="455"/>
      <c r="S8" s="455"/>
      <c r="T8" s="455"/>
      <c r="U8" s="455"/>
    </row>
    <row r="9" spans="1:22" x14ac:dyDescent="0.4">
      <c r="C9" s="191"/>
    </row>
    <row r="10" spans="1:22" x14ac:dyDescent="0.4">
      <c r="C10" s="192"/>
    </row>
    <row r="11" spans="1:22" x14ac:dyDescent="0.4">
      <c r="C11" s="192"/>
    </row>
    <row r="12" spans="1:22" x14ac:dyDescent="0.4">
      <c r="A12" t="s">
        <v>137</v>
      </c>
      <c r="M12" s="191"/>
    </row>
    <row r="13" spans="1:22" x14ac:dyDescent="0.4">
      <c r="B13" s="596" t="s">
        <v>139</v>
      </c>
      <c r="C13" s="193" t="s">
        <v>76</v>
      </c>
      <c r="D13" s="193"/>
      <c r="E13" s="342"/>
      <c r="F13" s="193"/>
      <c r="G13" s="193"/>
      <c r="H13" s="193"/>
      <c r="I13" s="193"/>
      <c r="J13" s="193"/>
      <c r="K13" s="193"/>
      <c r="L13" s="193"/>
      <c r="M13" s="193" t="s">
        <v>86</v>
      </c>
      <c r="N13" s="193"/>
      <c r="O13" s="193"/>
      <c r="P13" s="193"/>
      <c r="Q13" s="193"/>
      <c r="R13" s="193"/>
      <c r="S13" s="193"/>
      <c r="T13" s="193"/>
      <c r="U13" s="193" t="s">
        <v>93</v>
      </c>
      <c r="V13" s="193"/>
    </row>
    <row r="14" spans="1:22" ht="33" x14ac:dyDescent="0.4">
      <c r="B14" s="597"/>
      <c r="C14" s="343" t="s">
        <v>165</v>
      </c>
      <c r="D14" s="343" t="s">
        <v>390</v>
      </c>
      <c r="E14" s="344" t="s">
        <v>85</v>
      </c>
      <c r="F14" s="343" t="s">
        <v>885</v>
      </c>
      <c r="G14" s="343" t="s">
        <v>502</v>
      </c>
      <c r="H14" s="343" t="s">
        <v>503</v>
      </c>
      <c r="I14" s="343" t="s">
        <v>886</v>
      </c>
      <c r="J14" s="343" t="s">
        <v>887</v>
      </c>
      <c r="K14" s="343" t="s">
        <v>504</v>
      </c>
      <c r="L14" s="343" t="s">
        <v>442</v>
      </c>
      <c r="M14" s="343" t="s">
        <v>165</v>
      </c>
      <c r="N14" s="343" t="s">
        <v>391</v>
      </c>
      <c r="O14" s="343" t="s">
        <v>95</v>
      </c>
      <c r="P14" s="343" t="s">
        <v>503</v>
      </c>
      <c r="Q14" s="343" t="s">
        <v>888</v>
      </c>
      <c r="R14" s="343" t="s">
        <v>889</v>
      </c>
      <c r="S14" s="343" t="s">
        <v>505</v>
      </c>
      <c r="T14" s="343" t="s">
        <v>443</v>
      </c>
      <c r="U14" s="345" t="s">
        <v>451</v>
      </c>
      <c r="V14" s="345" t="s">
        <v>452</v>
      </c>
    </row>
    <row r="15" spans="1:22" ht="21.6" customHeight="1" x14ac:dyDescent="0.4">
      <c r="B15" s="194" t="s">
        <v>138</v>
      </c>
      <c r="C15" s="194"/>
      <c r="D15" s="190" t="s">
        <v>78</v>
      </c>
      <c r="E15" s="346" t="s">
        <v>77</v>
      </c>
      <c r="F15" s="190" t="s">
        <v>79</v>
      </c>
      <c r="G15" s="190" t="s">
        <v>81</v>
      </c>
      <c r="H15" s="341"/>
      <c r="I15" s="190" t="s">
        <v>463</v>
      </c>
      <c r="J15" s="195" t="s">
        <v>82</v>
      </c>
      <c r="K15" s="190" t="s">
        <v>84</v>
      </c>
      <c r="L15" s="196" t="s">
        <v>62</v>
      </c>
      <c r="M15" s="196"/>
      <c r="N15" s="190" t="s">
        <v>78</v>
      </c>
      <c r="O15" s="190" t="s">
        <v>77</v>
      </c>
      <c r="P15" s="341"/>
      <c r="Q15" s="190" t="s">
        <v>463</v>
      </c>
      <c r="R15" s="190" t="s">
        <v>82</v>
      </c>
      <c r="S15" s="190" t="s">
        <v>84</v>
      </c>
      <c r="T15" s="196" t="s">
        <v>62</v>
      </c>
      <c r="U15" s="190" t="s">
        <v>84</v>
      </c>
      <c r="V15" s="196" t="s">
        <v>62</v>
      </c>
    </row>
    <row r="16" spans="1:22" ht="21.6" customHeight="1" x14ac:dyDescent="0.4">
      <c r="B16" s="243" t="s">
        <v>506</v>
      </c>
      <c r="C16" s="197" t="s">
        <v>507</v>
      </c>
      <c r="D16" s="198">
        <v>64</v>
      </c>
      <c r="E16" s="347">
        <v>60</v>
      </c>
      <c r="F16" s="199">
        <v>8</v>
      </c>
      <c r="G16" s="199">
        <v>250</v>
      </c>
      <c r="H16" s="200"/>
      <c r="I16" s="199"/>
      <c r="J16" s="201">
        <f>IF(H16="",F16*G16,F16*G16*I16/100)</f>
        <v>2000</v>
      </c>
      <c r="K16" s="201">
        <f>D16*E16*J16/1000</f>
        <v>7680</v>
      </c>
      <c r="L16" s="348">
        <f>K16*係数!$H$30</f>
        <v>3.5020800000000003</v>
      </c>
      <c r="M16" s="202" t="s">
        <v>508</v>
      </c>
      <c r="N16" s="198">
        <v>26.3</v>
      </c>
      <c r="O16" s="199">
        <v>60</v>
      </c>
      <c r="P16" s="200" t="s">
        <v>316</v>
      </c>
      <c r="Q16" s="199">
        <v>20</v>
      </c>
      <c r="R16" s="201">
        <f>IF(P16="",J16,J16*Q16/100)</f>
        <v>400</v>
      </c>
      <c r="S16" s="201">
        <f>N16*O16*R16/1000</f>
        <v>631.20000000000005</v>
      </c>
      <c r="T16" s="348">
        <f>S16*係数!$H$30</f>
        <v>0.28782720000000006</v>
      </c>
      <c r="U16" s="201">
        <f>K16-S16</f>
        <v>7048.8</v>
      </c>
      <c r="V16" s="349">
        <f>L16-T16</f>
        <v>3.2142528000000001</v>
      </c>
    </row>
    <row r="17" spans="2:22" x14ac:dyDescent="0.4">
      <c r="B17" s="190" t="s">
        <v>60</v>
      </c>
      <c r="C17" s="203"/>
      <c r="D17" s="204"/>
      <c r="E17" s="207">
        <f>SUM(E18:E417)</f>
        <v>0</v>
      </c>
      <c r="F17" s="205"/>
      <c r="G17" s="205"/>
      <c r="H17" s="203"/>
      <c r="I17" s="205"/>
      <c r="J17" s="206"/>
      <c r="K17" s="207">
        <f>SUM(K18:K417)</f>
        <v>0</v>
      </c>
      <c r="L17" s="208">
        <f>SUM(L18:L417)</f>
        <v>0</v>
      </c>
      <c r="M17" s="209"/>
      <c r="N17" s="203"/>
      <c r="O17" s="340">
        <f>SUM(O18:O417)</f>
        <v>0</v>
      </c>
      <c r="P17" s="203"/>
      <c r="Q17" s="205"/>
      <c r="R17" s="210"/>
      <c r="S17" s="207">
        <f>SUM(S18:S417)</f>
        <v>0</v>
      </c>
      <c r="T17" s="208">
        <f>SUM(T18:T417)</f>
        <v>0</v>
      </c>
      <c r="U17" s="207">
        <f>SUM(U18:U417)</f>
        <v>0</v>
      </c>
      <c r="V17" s="211">
        <f>SUM(V18:V417)</f>
        <v>0</v>
      </c>
    </row>
    <row r="18" spans="2:22" x14ac:dyDescent="0.4">
      <c r="B18" s="194" t="s">
        <v>117</v>
      </c>
      <c r="C18" s="35"/>
      <c r="D18" s="291"/>
      <c r="E18" s="461"/>
      <c r="F18" s="212"/>
      <c r="G18" s="212"/>
      <c r="H18" s="213"/>
      <c r="I18" s="27"/>
      <c r="J18" s="207">
        <f>IF(H18="",F18*G18,F18*G18*I18/100)</f>
        <v>0</v>
      </c>
      <c r="K18" s="207">
        <f>D18*E18*J18/1000</f>
        <v>0</v>
      </c>
      <c r="L18" s="208">
        <f>K18*係数!$H$30</f>
        <v>0</v>
      </c>
      <c r="M18" s="35"/>
      <c r="N18" s="27"/>
      <c r="O18" s="27"/>
      <c r="P18" s="213"/>
      <c r="Q18" s="27"/>
      <c r="R18" s="462">
        <f t="shared" ref="R18:R81" si="1">IF(P18="",J18,J18*Q18/100)</f>
        <v>0</v>
      </c>
      <c r="S18" s="12">
        <f t="shared" ref="S18:S81" si="2">N18*O18*R18/1000</f>
        <v>0</v>
      </c>
      <c r="T18" s="208">
        <f>S18*係数!$H$30</f>
        <v>0</v>
      </c>
      <c r="U18" s="12">
        <f t="shared" ref="U18:V81" si="3">K18-S18</f>
        <v>0</v>
      </c>
      <c r="V18" s="211">
        <f t="shared" si="3"/>
        <v>0</v>
      </c>
    </row>
    <row r="19" spans="2:22" x14ac:dyDescent="0.4">
      <c r="B19" s="194" t="s">
        <v>118</v>
      </c>
      <c r="C19" s="35"/>
      <c r="D19" s="291"/>
      <c r="E19" s="461"/>
      <c r="F19" s="212"/>
      <c r="G19" s="212"/>
      <c r="H19" s="213"/>
      <c r="I19" s="27"/>
      <c r="J19" s="207">
        <f t="shared" ref="J19:J82" si="4">IF(H19="",F19*G19,F19*G19*I19/100)</f>
        <v>0</v>
      </c>
      <c r="K19" s="207">
        <f>D19*E19*J19/1000</f>
        <v>0</v>
      </c>
      <c r="L19" s="208">
        <f>K19*係数!$H$30</f>
        <v>0</v>
      </c>
      <c r="M19" s="35"/>
      <c r="N19" s="27"/>
      <c r="O19" s="27"/>
      <c r="P19" s="213"/>
      <c r="Q19" s="27"/>
      <c r="R19" s="462">
        <f t="shared" si="1"/>
        <v>0</v>
      </c>
      <c r="S19" s="12">
        <f t="shared" si="2"/>
        <v>0</v>
      </c>
      <c r="T19" s="208">
        <f>S19*係数!$H$30</f>
        <v>0</v>
      </c>
      <c r="U19" s="12">
        <f t="shared" si="3"/>
        <v>0</v>
      </c>
      <c r="V19" s="211">
        <f t="shared" si="3"/>
        <v>0</v>
      </c>
    </row>
    <row r="20" spans="2:22" x14ac:dyDescent="0.4">
      <c r="B20" s="194" t="s">
        <v>119</v>
      </c>
      <c r="C20" s="35"/>
      <c r="D20" s="291"/>
      <c r="E20" s="461"/>
      <c r="F20" s="212"/>
      <c r="G20" s="212"/>
      <c r="H20" s="213"/>
      <c r="I20" s="27"/>
      <c r="J20" s="207">
        <f t="shared" si="4"/>
        <v>0</v>
      </c>
      <c r="K20" s="207">
        <f t="shared" ref="K20:K83" si="5">D20*E20*J20/1000</f>
        <v>0</v>
      </c>
      <c r="L20" s="208">
        <f>K20*係数!$H$30</f>
        <v>0</v>
      </c>
      <c r="M20" s="35"/>
      <c r="N20" s="27"/>
      <c r="O20" s="27"/>
      <c r="P20" s="213"/>
      <c r="Q20" s="27"/>
      <c r="R20" s="462">
        <f t="shared" si="1"/>
        <v>0</v>
      </c>
      <c r="S20" s="12">
        <f t="shared" si="2"/>
        <v>0</v>
      </c>
      <c r="T20" s="208">
        <f>S20*係数!$H$30</f>
        <v>0</v>
      </c>
      <c r="U20" s="12">
        <f t="shared" si="3"/>
        <v>0</v>
      </c>
      <c r="V20" s="211">
        <f t="shared" si="3"/>
        <v>0</v>
      </c>
    </row>
    <row r="21" spans="2:22" x14ac:dyDescent="0.4">
      <c r="B21" s="194" t="s">
        <v>120</v>
      </c>
      <c r="C21" s="35"/>
      <c r="D21" s="291"/>
      <c r="E21" s="461"/>
      <c r="F21" s="212"/>
      <c r="G21" s="212"/>
      <c r="H21" s="213"/>
      <c r="I21" s="27"/>
      <c r="J21" s="207">
        <f t="shared" si="4"/>
        <v>0</v>
      </c>
      <c r="K21" s="207">
        <f t="shared" si="5"/>
        <v>0</v>
      </c>
      <c r="L21" s="208">
        <f>K21*係数!$H$30</f>
        <v>0</v>
      </c>
      <c r="M21" s="35"/>
      <c r="N21" s="27"/>
      <c r="O21" s="27"/>
      <c r="P21" s="213"/>
      <c r="Q21" s="27"/>
      <c r="R21" s="462">
        <f t="shared" si="1"/>
        <v>0</v>
      </c>
      <c r="S21" s="12">
        <f t="shared" si="2"/>
        <v>0</v>
      </c>
      <c r="T21" s="208">
        <f>S21*係数!$H$30</f>
        <v>0</v>
      </c>
      <c r="U21" s="12">
        <f t="shared" si="3"/>
        <v>0</v>
      </c>
      <c r="V21" s="211">
        <f t="shared" si="3"/>
        <v>0</v>
      </c>
    </row>
    <row r="22" spans="2:22" x14ac:dyDescent="0.4">
      <c r="B22" s="194" t="s">
        <v>121</v>
      </c>
      <c r="C22" s="35"/>
      <c r="D22" s="291"/>
      <c r="E22" s="461"/>
      <c r="F22" s="212"/>
      <c r="G22" s="212"/>
      <c r="H22" s="213"/>
      <c r="I22" s="27"/>
      <c r="J22" s="207">
        <f t="shared" si="4"/>
        <v>0</v>
      </c>
      <c r="K22" s="207">
        <f t="shared" si="5"/>
        <v>0</v>
      </c>
      <c r="L22" s="208">
        <f>K22*係数!$H$30</f>
        <v>0</v>
      </c>
      <c r="M22" s="35"/>
      <c r="N22" s="27"/>
      <c r="O22" s="27"/>
      <c r="P22" s="213"/>
      <c r="Q22" s="27"/>
      <c r="R22" s="462">
        <f t="shared" si="1"/>
        <v>0</v>
      </c>
      <c r="S22" s="12">
        <f t="shared" si="2"/>
        <v>0</v>
      </c>
      <c r="T22" s="208">
        <f>S22*係数!$H$30</f>
        <v>0</v>
      </c>
      <c r="U22" s="12">
        <f t="shared" si="3"/>
        <v>0</v>
      </c>
      <c r="V22" s="211">
        <f t="shared" si="3"/>
        <v>0</v>
      </c>
    </row>
    <row r="23" spans="2:22" x14ac:dyDescent="0.4">
      <c r="B23" s="194" t="s">
        <v>122</v>
      </c>
      <c r="C23" s="35"/>
      <c r="D23" s="291"/>
      <c r="E23" s="461"/>
      <c r="F23" s="212"/>
      <c r="G23" s="212"/>
      <c r="H23" s="213"/>
      <c r="I23" s="27"/>
      <c r="J23" s="207">
        <f t="shared" si="4"/>
        <v>0</v>
      </c>
      <c r="K23" s="207">
        <f t="shared" si="5"/>
        <v>0</v>
      </c>
      <c r="L23" s="208">
        <f>K23*係数!$H$30</f>
        <v>0</v>
      </c>
      <c r="M23" s="35"/>
      <c r="N23" s="27"/>
      <c r="O23" s="27"/>
      <c r="P23" s="213"/>
      <c r="Q23" s="27"/>
      <c r="R23" s="462">
        <f t="shared" si="1"/>
        <v>0</v>
      </c>
      <c r="S23" s="12">
        <f t="shared" si="2"/>
        <v>0</v>
      </c>
      <c r="T23" s="208">
        <f>S23*係数!$H$30</f>
        <v>0</v>
      </c>
      <c r="U23" s="12">
        <f t="shared" si="3"/>
        <v>0</v>
      </c>
      <c r="V23" s="211">
        <f t="shared" si="3"/>
        <v>0</v>
      </c>
    </row>
    <row r="24" spans="2:22" x14ac:dyDescent="0.4">
      <c r="B24" s="194" t="s">
        <v>123</v>
      </c>
      <c r="C24" s="35"/>
      <c r="D24" s="291"/>
      <c r="E24" s="461"/>
      <c r="F24" s="212"/>
      <c r="G24" s="212"/>
      <c r="H24" s="213"/>
      <c r="I24" s="27"/>
      <c r="J24" s="207">
        <f t="shared" si="4"/>
        <v>0</v>
      </c>
      <c r="K24" s="207">
        <f t="shared" si="5"/>
        <v>0</v>
      </c>
      <c r="L24" s="208">
        <f>K24*係数!$H$30</f>
        <v>0</v>
      </c>
      <c r="M24" s="35"/>
      <c r="N24" s="27"/>
      <c r="O24" s="27"/>
      <c r="P24" s="213"/>
      <c r="Q24" s="27"/>
      <c r="R24" s="462">
        <f t="shared" si="1"/>
        <v>0</v>
      </c>
      <c r="S24" s="12">
        <f t="shared" si="2"/>
        <v>0</v>
      </c>
      <c r="T24" s="208">
        <f>S24*係数!$H$30</f>
        <v>0</v>
      </c>
      <c r="U24" s="12">
        <f t="shared" si="3"/>
        <v>0</v>
      </c>
      <c r="V24" s="211">
        <f t="shared" si="3"/>
        <v>0</v>
      </c>
    </row>
    <row r="25" spans="2:22" x14ac:dyDescent="0.4">
      <c r="B25" s="194" t="s">
        <v>124</v>
      </c>
      <c r="C25" s="35"/>
      <c r="D25" s="291"/>
      <c r="E25" s="461"/>
      <c r="F25" s="212"/>
      <c r="G25" s="212"/>
      <c r="H25" s="213"/>
      <c r="I25" s="27"/>
      <c r="J25" s="207">
        <f t="shared" si="4"/>
        <v>0</v>
      </c>
      <c r="K25" s="207">
        <f t="shared" si="5"/>
        <v>0</v>
      </c>
      <c r="L25" s="208">
        <f>K25*係数!$H$30</f>
        <v>0</v>
      </c>
      <c r="M25" s="35"/>
      <c r="N25" s="27"/>
      <c r="O25" s="27"/>
      <c r="P25" s="213"/>
      <c r="Q25" s="27"/>
      <c r="R25" s="462">
        <f t="shared" si="1"/>
        <v>0</v>
      </c>
      <c r="S25" s="12">
        <f t="shared" si="2"/>
        <v>0</v>
      </c>
      <c r="T25" s="208">
        <f>S25*係数!$H$30</f>
        <v>0</v>
      </c>
      <c r="U25" s="12">
        <f t="shared" si="3"/>
        <v>0</v>
      </c>
      <c r="V25" s="211">
        <f t="shared" si="3"/>
        <v>0</v>
      </c>
    </row>
    <row r="26" spans="2:22" x14ac:dyDescent="0.4">
      <c r="B26" s="194" t="s">
        <v>125</v>
      </c>
      <c r="C26" s="35"/>
      <c r="D26" s="291"/>
      <c r="E26" s="461"/>
      <c r="F26" s="212"/>
      <c r="G26" s="212"/>
      <c r="H26" s="213"/>
      <c r="I26" s="27"/>
      <c r="J26" s="207">
        <f t="shared" si="4"/>
        <v>0</v>
      </c>
      <c r="K26" s="207">
        <f t="shared" si="5"/>
        <v>0</v>
      </c>
      <c r="L26" s="208">
        <f>K26*係数!$H$30</f>
        <v>0</v>
      </c>
      <c r="M26" s="35"/>
      <c r="N26" s="27"/>
      <c r="O26" s="27"/>
      <c r="P26" s="213"/>
      <c r="Q26" s="27"/>
      <c r="R26" s="462">
        <f t="shared" si="1"/>
        <v>0</v>
      </c>
      <c r="S26" s="12">
        <f t="shared" si="2"/>
        <v>0</v>
      </c>
      <c r="T26" s="208">
        <f>S26*係数!$H$30</f>
        <v>0</v>
      </c>
      <c r="U26" s="12">
        <f t="shared" si="3"/>
        <v>0</v>
      </c>
      <c r="V26" s="211">
        <f t="shared" si="3"/>
        <v>0</v>
      </c>
    </row>
    <row r="27" spans="2:22" x14ac:dyDescent="0.4">
      <c r="B27" s="194" t="s">
        <v>126</v>
      </c>
      <c r="C27" s="35"/>
      <c r="D27" s="291"/>
      <c r="E27" s="461"/>
      <c r="F27" s="212"/>
      <c r="G27" s="212"/>
      <c r="H27" s="213"/>
      <c r="I27" s="27"/>
      <c r="J27" s="207">
        <f t="shared" si="4"/>
        <v>0</v>
      </c>
      <c r="K27" s="207">
        <f t="shared" si="5"/>
        <v>0</v>
      </c>
      <c r="L27" s="208">
        <f>K27*係数!$H$30</f>
        <v>0</v>
      </c>
      <c r="M27" s="35"/>
      <c r="N27" s="27"/>
      <c r="O27" s="27"/>
      <c r="P27" s="213"/>
      <c r="Q27" s="27"/>
      <c r="R27" s="462">
        <f t="shared" si="1"/>
        <v>0</v>
      </c>
      <c r="S27" s="12">
        <f t="shared" si="2"/>
        <v>0</v>
      </c>
      <c r="T27" s="208">
        <f>S27*係数!$H$30</f>
        <v>0</v>
      </c>
      <c r="U27" s="12">
        <f t="shared" si="3"/>
        <v>0</v>
      </c>
      <c r="V27" s="211">
        <f t="shared" si="3"/>
        <v>0</v>
      </c>
    </row>
    <row r="28" spans="2:22" x14ac:dyDescent="0.4">
      <c r="B28" s="194" t="s">
        <v>127</v>
      </c>
      <c r="C28" s="35"/>
      <c r="D28" s="291"/>
      <c r="E28" s="461"/>
      <c r="F28" s="212"/>
      <c r="G28" s="212"/>
      <c r="H28" s="213"/>
      <c r="I28" s="27"/>
      <c r="J28" s="207">
        <f t="shared" si="4"/>
        <v>0</v>
      </c>
      <c r="K28" s="207">
        <f t="shared" si="5"/>
        <v>0</v>
      </c>
      <c r="L28" s="208">
        <f>K28*係数!$H$30</f>
        <v>0</v>
      </c>
      <c r="M28" s="35"/>
      <c r="N28" s="27"/>
      <c r="O28" s="27"/>
      <c r="P28" s="213"/>
      <c r="Q28" s="27"/>
      <c r="R28" s="462">
        <f t="shared" si="1"/>
        <v>0</v>
      </c>
      <c r="S28" s="12">
        <f t="shared" si="2"/>
        <v>0</v>
      </c>
      <c r="T28" s="208">
        <f>S28*係数!$H$30</f>
        <v>0</v>
      </c>
      <c r="U28" s="12">
        <f t="shared" si="3"/>
        <v>0</v>
      </c>
      <c r="V28" s="211">
        <f t="shared" si="3"/>
        <v>0</v>
      </c>
    </row>
    <row r="29" spans="2:22" x14ac:dyDescent="0.4">
      <c r="B29" s="194" t="s">
        <v>128</v>
      </c>
      <c r="C29" s="35"/>
      <c r="D29" s="291"/>
      <c r="E29" s="461"/>
      <c r="F29" s="212"/>
      <c r="G29" s="212"/>
      <c r="H29" s="213"/>
      <c r="I29" s="27"/>
      <c r="J29" s="207">
        <f t="shared" si="4"/>
        <v>0</v>
      </c>
      <c r="K29" s="207">
        <f t="shared" si="5"/>
        <v>0</v>
      </c>
      <c r="L29" s="208">
        <f>K29*係数!$H$30</f>
        <v>0</v>
      </c>
      <c r="M29" s="35"/>
      <c r="N29" s="27"/>
      <c r="O29" s="27"/>
      <c r="P29" s="213"/>
      <c r="Q29" s="27"/>
      <c r="R29" s="462">
        <f t="shared" si="1"/>
        <v>0</v>
      </c>
      <c r="S29" s="12">
        <f t="shared" si="2"/>
        <v>0</v>
      </c>
      <c r="T29" s="208">
        <f>S29*係数!$H$30</f>
        <v>0</v>
      </c>
      <c r="U29" s="12">
        <f t="shared" si="3"/>
        <v>0</v>
      </c>
      <c r="V29" s="211">
        <f t="shared" si="3"/>
        <v>0</v>
      </c>
    </row>
    <row r="30" spans="2:22" x14ac:dyDescent="0.4">
      <c r="B30" s="194" t="s">
        <v>129</v>
      </c>
      <c r="C30" s="35"/>
      <c r="D30" s="291"/>
      <c r="E30" s="461"/>
      <c r="F30" s="212"/>
      <c r="G30" s="212"/>
      <c r="H30" s="213"/>
      <c r="I30" s="27"/>
      <c r="J30" s="207">
        <f t="shared" si="4"/>
        <v>0</v>
      </c>
      <c r="K30" s="207">
        <f t="shared" si="5"/>
        <v>0</v>
      </c>
      <c r="L30" s="208">
        <f>K30*係数!$H$30</f>
        <v>0</v>
      </c>
      <c r="M30" s="35"/>
      <c r="N30" s="27"/>
      <c r="O30" s="27"/>
      <c r="P30" s="213"/>
      <c r="Q30" s="27"/>
      <c r="R30" s="462">
        <f t="shared" si="1"/>
        <v>0</v>
      </c>
      <c r="S30" s="12">
        <f t="shared" si="2"/>
        <v>0</v>
      </c>
      <c r="T30" s="208">
        <f>S30*係数!$H$30</f>
        <v>0</v>
      </c>
      <c r="U30" s="12">
        <f t="shared" si="3"/>
        <v>0</v>
      </c>
      <c r="V30" s="211">
        <f t="shared" si="3"/>
        <v>0</v>
      </c>
    </row>
    <row r="31" spans="2:22" x14ac:dyDescent="0.4">
      <c r="B31" s="194" t="s">
        <v>130</v>
      </c>
      <c r="C31" s="35"/>
      <c r="D31" s="291"/>
      <c r="E31" s="461"/>
      <c r="F31" s="212"/>
      <c r="G31" s="212"/>
      <c r="H31" s="213"/>
      <c r="I31" s="27"/>
      <c r="J31" s="207">
        <f t="shared" si="4"/>
        <v>0</v>
      </c>
      <c r="K31" s="207">
        <f t="shared" si="5"/>
        <v>0</v>
      </c>
      <c r="L31" s="208">
        <f>K31*係数!$H$30</f>
        <v>0</v>
      </c>
      <c r="M31" s="35"/>
      <c r="N31" s="27"/>
      <c r="O31" s="27"/>
      <c r="P31" s="213"/>
      <c r="Q31" s="27"/>
      <c r="R31" s="462">
        <f t="shared" si="1"/>
        <v>0</v>
      </c>
      <c r="S31" s="12">
        <f t="shared" si="2"/>
        <v>0</v>
      </c>
      <c r="T31" s="208">
        <f>S31*係数!$H$30</f>
        <v>0</v>
      </c>
      <c r="U31" s="12">
        <f t="shared" si="3"/>
        <v>0</v>
      </c>
      <c r="V31" s="211">
        <f t="shared" si="3"/>
        <v>0</v>
      </c>
    </row>
    <row r="32" spans="2:22" x14ac:dyDescent="0.4">
      <c r="B32" s="194" t="s">
        <v>131</v>
      </c>
      <c r="C32" s="35"/>
      <c r="D32" s="291"/>
      <c r="E32" s="461"/>
      <c r="F32" s="212"/>
      <c r="G32" s="212"/>
      <c r="H32" s="213"/>
      <c r="I32" s="27"/>
      <c r="J32" s="207">
        <f t="shared" si="4"/>
        <v>0</v>
      </c>
      <c r="K32" s="207">
        <f t="shared" si="5"/>
        <v>0</v>
      </c>
      <c r="L32" s="208">
        <f>K32*係数!$H$30</f>
        <v>0</v>
      </c>
      <c r="M32" s="35"/>
      <c r="N32" s="27"/>
      <c r="O32" s="27"/>
      <c r="P32" s="213"/>
      <c r="Q32" s="27"/>
      <c r="R32" s="462">
        <f t="shared" si="1"/>
        <v>0</v>
      </c>
      <c r="S32" s="12">
        <f t="shared" si="2"/>
        <v>0</v>
      </c>
      <c r="T32" s="208">
        <f>S32*係数!$H$30</f>
        <v>0</v>
      </c>
      <c r="U32" s="12">
        <f t="shared" si="3"/>
        <v>0</v>
      </c>
      <c r="V32" s="211">
        <f t="shared" si="3"/>
        <v>0</v>
      </c>
    </row>
    <row r="33" spans="2:22" x14ac:dyDescent="0.4">
      <c r="B33" s="194" t="s">
        <v>132</v>
      </c>
      <c r="C33" s="35"/>
      <c r="D33" s="291"/>
      <c r="E33" s="461"/>
      <c r="F33" s="212"/>
      <c r="G33" s="212"/>
      <c r="H33" s="213"/>
      <c r="I33" s="27"/>
      <c r="J33" s="207">
        <f t="shared" si="4"/>
        <v>0</v>
      </c>
      <c r="K33" s="207">
        <f t="shared" si="5"/>
        <v>0</v>
      </c>
      <c r="L33" s="208">
        <f>K33*係数!$H$30</f>
        <v>0</v>
      </c>
      <c r="M33" s="35"/>
      <c r="N33" s="27"/>
      <c r="O33" s="27"/>
      <c r="P33" s="213"/>
      <c r="Q33" s="27"/>
      <c r="R33" s="462">
        <f t="shared" si="1"/>
        <v>0</v>
      </c>
      <c r="S33" s="12">
        <f t="shared" si="2"/>
        <v>0</v>
      </c>
      <c r="T33" s="208">
        <f>S33*係数!$H$30</f>
        <v>0</v>
      </c>
      <c r="U33" s="12">
        <f t="shared" si="3"/>
        <v>0</v>
      </c>
      <c r="V33" s="211">
        <f t="shared" si="3"/>
        <v>0</v>
      </c>
    </row>
    <row r="34" spans="2:22" x14ac:dyDescent="0.4">
      <c r="B34" s="194" t="s">
        <v>133</v>
      </c>
      <c r="C34" s="35"/>
      <c r="D34" s="291"/>
      <c r="E34" s="461"/>
      <c r="F34" s="212"/>
      <c r="G34" s="212"/>
      <c r="H34" s="213"/>
      <c r="I34" s="27"/>
      <c r="J34" s="207">
        <f t="shared" si="4"/>
        <v>0</v>
      </c>
      <c r="K34" s="207">
        <f t="shared" si="5"/>
        <v>0</v>
      </c>
      <c r="L34" s="208">
        <f>K34*係数!$H$30</f>
        <v>0</v>
      </c>
      <c r="M34" s="35"/>
      <c r="N34" s="27"/>
      <c r="O34" s="27"/>
      <c r="P34" s="213"/>
      <c r="Q34" s="27"/>
      <c r="R34" s="462">
        <f t="shared" si="1"/>
        <v>0</v>
      </c>
      <c r="S34" s="12">
        <f t="shared" si="2"/>
        <v>0</v>
      </c>
      <c r="T34" s="208">
        <f>S34*係数!$H$30</f>
        <v>0</v>
      </c>
      <c r="U34" s="12">
        <f t="shared" si="3"/>
        <v>0</v>
      </c>
      <c r="V34" s="211">
        <f t="shared" si="3"/>
        <v>0</v>
      </c>
    </row>
    <row r="35" spans="2:22" x14ac:dyDescent="0.4">
      <c r="B35" s="194" t="s">
        <v>134</v>
      </c>
      <c r="C35" s="35"/>
      <c r="D35" s="291"/>
      <c r="E35" s="461"/>
      <c r="F35" s="212"/>
      <c r="G35" s="212"/>
      <c r="H35" s="213"/>
      <c r="I35" s="27"/>
      <c r="J35" s="207">
        <f t="shared" si="4"/>
        <v>0</v>
      </c>
      <c r="K35" s="207">
        <f t="shared" si="5"/>
        <v>0</v>
      </c>
      <c r="L35" s="208">
        <f>K35*係数!$H$30</f>
        <v>0</v>
      </c>
      <c r="M35" s="35"/>
      <c r="N35" s="27"/>
      <c r="O35" s="27"/>
      <c r="P35" s="213"/>
      <c r="Q35" s="27"/>
      <c r="R35" s="462">
        <f t="shared" si="1"/>
        <v>0</v>
      </c>
      <c r="S35" s="12">
        <f t="shared" si="2"/>
        <v>0</v>
      </c>
      <c r="T35" s="208">
        <f>S35*係数!$H$30</f>
        <v>0</v>
      </c>
      <c r="U35" s="12">
        <f t="shared" si="3"/>
        <v>0</v>
      </c>
      <c r="V35" s="211">
        <f t="shared" si="3"/>
        <v>0</v>
      </c>
    </row>
    <row r="36" spans="2:22" x14ac:dyDescent="0.4">
      <c r="B36" s="194" t="s">
        <v>135</v>
      </c>
      <c r="C36" s="35"/>
      <c r="D36" s="291"/>
      <c r="E36" s="461"/>
      <c r="F36" s="212"/>
      <c r="G36" s="212"/>
      <c r="H36" s="213"/>
      <c r="I36" s="27"/>
      <c r="J36" s="207">
        <f t="shared" si="4"/>
        <v>0</v>
      </c>
      <c r="K36" s="207">
        <f t="shared" si="5"/>
        <v>0</v>
      </c>
      <c r="L36" s="208">
        <f>K36*係数!$H$30</f>
        <v>0</v>
      </c>
      <c r="M36" s="35"/>
      <c r="N36" s="27"/>
      <c r="O36" s="27"/>
      <c r="P36" s="213"/>
      <c r="Q36" s="27"/>
      <c r="R36" s="462">
        <f t="shared" si="1"/>
        <v>0</v>
      </c>
      <c r="S36" s="12">
        <f t="shared" si="2"/>
        <v>0</v>
      </c>
      <c r="T36" s="208">
        <f>S36*係数!$H$30</f>
        <v>0</v>
      </c>
      <c r="U36" s="12">
        <f t="shared" si="3"/>
        <v>0</v>
      </c>
      <c r="V36" s="211">
        <f t="shared" si="3"/>
        <v>0</v>
      </c>
    </row>
    <row r="37" spans="2:22" x14ac:dyDescent="0.4">
      <c r="B37" s="194" t="s">
        <v>136</v>
      </c>
      <c r="C37" s="35"/>
      <c r="D37" s="291"/>
      <c r="E37" s="461"/>
      <c r="F37" s="212"/>
      <c r="G37" s="212"/>
      <c r="H37" s="213"/>
      <c r="I37" s="27"/>
      <c r="J37" s="207">
        <f t="shared" si="4"/>
        <v>0</v>
      </c>
      <c r="K37" s="207">
        <f t="shared" si="5"/>
        <v>0</v>
      </c>
      <c r="L37" s="208">
        <f>K37*係数!$H$30</f>
        <v>0</v>
      </c>
      <c r="M37" s="35"/>
      <c r="N37" s="27"/>
      <c r="O37" s="27"/>
      <c r="P37" s="213"/>
      <c r="Q37" s="27"/>
      <c r="R37" s="462">
        <f t="shared" si="1"/>
        <v>0</v>
      </c>
      <c r="S37" s="12">
        <f t="shared" si="2"/>
        <v>0</v>
      </c>
      <c r="T37" s="208">
        <f>S37*係数!$H$30</f>
        <v>0</v>
      </c>
      <c r="U37" s="12">
        <f t="shared" si="3"/>
        <v>0</v>
      </c>
      <c r="V37" s="211">
        <f t="shared" si="3"/>
        <v>0</v>
      </c>
    </row>
    <row r="38" spans="2:22" x14ac:dyDescent="0.4">
      <c r="B38" s="194" t="s">
        <v>403</v>
      </c>
      <c r="C38" s="35"/>
      <c r="D38" s="291"/>
      <c r="E38" s="461"/>
      <c r="F38" s="212"/>
      <c r="G38" s="212"/>
      <c r="H38" s="213"/>
      <c r="I38" s="27"/>
      <c r="J38" s="207">
        <f t="shared" si="4"/>
        <v>0</v>
      </c>
      <c r="K38" s="207">
        <f t="shared" si="5"/>
        <v>0</v>
      </c>
      <c r="L38" s="208">
        <f>K38*係数!$H$30</f>
        <v>0</v>
      </c>
      <c r="M38" s="35"/>
      <c r="N38" s="27"/>
      <c r="O38" s="27"/>
      <c r="P38" s="213"/>
      <c r="Q38" s="27"/>
      <c r="R38" s="462">
        <f t="shared" si="1"/>
        <v>0</v>
      </c>
      <c r="S38" s="12">
        <f t="shared" si="2"/>
        <v>0</v>
      </c>
      <c r="T38" s="208">
        <f>S38*係数!$H$30</f>
        <v>0</v>
      </c>
      <c r="U38" s="12">
        <f t="shared" si="3"/>
        <v>0</v>
      </c>
      <c r="V38" s="211">
        <f t="shared" si="3"/>
        <v>0</v>
      </c>
    </row>
    <row r="39" spans="2:22" x14ac:dyDescent="0.4">
      <c r="B39" s="194" t="s">
        <v>404</v>
      </c>
      <c r="C39" s="35"/>
      <c r="D39" s="291"/>
      <c r="E39" s="461"/>
      <c r="F39" s="212"/>
      <c r="G39" s="212"/>
      <c r="H39" s="213"/>
      <c r="I39" s="27"/>
      <c r="J39" s="207">
        <f t="shared" si="4"/>
        <v>0</v>
      </c>
      <c r="K39" s="207">
        <f t="shared" si="5"/>
        <v>0</v>
      </c>
      <c r="L39" s="208">
        <f>K39*係数!$H$30</f>
        <v>0</v>
      </c>
      <c r="M39" s="35"/>
      <c r="N39" s="27"/>
      <c r="O39" s="27"/>
      <c r="P39" s="213"/>
      <c r="Q39" s="27"/>
      <c r="R39" s="462">
        <f t="shared" si="1"/>
        <v>0</v>
      </c>
      <c r="S39" s="12">
        <f t="shared" si="2"/>
        <v>0</v>
      </c>
      <c r="T39" s="208">
        <f>S39*係数!$H$30</f>
        <v>0</v>
      </c>
      <c r="U39" s="12">
        <f t="shared" si="3"/>
        <v>0</v>
      </c>
      <c r="V39" s="211">
        <f t="shared" si="3"/>
        <v>0</v>
      </c>
    </row>
    <row r="40" spans="2:22" x14ac:dyDescent="0.4">
      <c r="B40" s="194" t="s">
        <v>405</v>
      </c>
      <c r="C40" s="35"/>
      <c r="D40" s="291"/>
      <c r="E40" s="461"/>
      <c r="F40" s="212"/>
      <c r="G40" s="212"/>
      <c r="H40" s="213"/>
      <c r="I40" s="27"/>
      <c r="J40" s="207">
        <f t="shared" si="4"/>
        <v>0</v>
      </c>
      <c r="K40" s="207">
        <f t="shared" si="5"/>
        <v>0</v>
      </c>
      <c r="L40" s="208">
        <f>K40*係数!$H$30</f>
        <v>0</v>
      </c>
      <c r="M40" s="35"/>
      <c r="N40" s="27"/>
      <c r="O40" s="27"/>
      <c r="P40" s="213"/>
      <c r="Q40" s="27"/>
      <c r="R40" s="462">
        <f t="shared" si="1"/>
        <v>0</v>
      </c>
      <c r="S40" s="12">
        <f t="shared" si="2"/>
        <v>0</v>
      </c>
      <c r="T40" s="208">
        <f>S40*係数!$H$30</f>
        <v>0</v>
      </c>
      <c r="U40" s="12">
        <f t="shared" si="3"/>
        <v>0</v>
      </c>
      <c r="V40" s="211">
        <f t="shared" si="3"/>
        <v>0</v>
      </c>
    </row>
    <row r="41" spans="2:22" x14ac:dyDescent="0.4">
      <c r="B41" s="194" t="s">
        <v>406</v>
      </c>
      <c r="C41" s="35"/>
      <c r="D41" s="291"/>
      <c r="E41" s="461"/>
      <c r="F41" s="212"/>
      <c r="G41" s="212"/>
      <c r="H41" s="213"/>
      <c r="I41" s="27"/>
      <c r="J41" s="207">
        <f t="shared" si="4"/>
        <v>0</v>
      </c>
      <c r="K41" s="207">
        <f t="shared" si="5"/>
        <v>0</v>
      </c>
      <c r="L41" s="208">
        <f>K41*係数!$H$30</f>
        <v>0</v>
      </c>
      <c r="M41" s="35"/>
      <c r="N41" s="27"/>
      <c r="O41" s="27"/>
      <c r="P41" s="213"/>
      <c r="Q41" s="27"/>
      <c r="R41" s="462">
        <f t="shared" si="1"/>
        <v>0</v>
      </c>
      <c r="S41" s="12">
        <f t="shared" si="2"/>
        <v>0</v>
      </c>
      <c r="T41" s="208">
        <f>S41*係数!$H$30</f>
        <v>0</v>
      </c>
      <c r="U41" s="12">
        <f t="shared" si="3"/>
        <v>0</v>
      </c>
      <c r="V41" s="211">
        <f t="shared" si="3"/>
        <v>0</v>
      </c>
    </row>
    <row r="42" spans="2:22" x14ac:dyDescent="0.4">
      <c r="B42" s="194" t="s">
        <v>407</v>
      </c>
      <c r="C42" s="35"/>
      <c r="D42" s="291"/>
      <c r="E42" s="461"/>
      <c r="F42" s="212"/>
      <c r="G42" s="212"/>
      <c r="H42" s="213"/>
      <c r="I42" s="27"/>
      <c r="J42" s="207">
        <f t="shared" si="4"/>
        <v>0</v>
      </c>
      <c r="K42" s="207">
        <f t="shared" si="5"/>
        <v>0</v>
      </c>
      <c r="L42" s="208">
        <f>K42*係数!$H$30</f>
        <v>0</v>
      </c>
      <c r="M42" s="35"/>
      <c r="N42" s="27"/>
      <c r="O42" s="27"/>
      <c r="P42" s="213"/>
      <c r="Q42" s="27"/>
      <c r="R42" s="462">
        <f t="shared" si="1"/>
        <v>0</v>
      </c>
      <c r="S42" s="12">
        <f t="shared" si="2"/>
        <v>0</v>
      </c>
      <c r="T42" s="208">
        <f>S42*係数!$H$30</f>
        <v>0</v>
      </c>
      <c r="U42" s="12">
        <f t="shared" si="3"/>
        <v>0</v>
      </c>
      <c r="V42" s="211">
        <f t="shared" si="3"/>
        <v>0</v>
      </c>
    </row>
    <row r="43" spans="2:22" x14ac:dyDescent="0.4">
      <c r="B43" s="194" t="s">
        <v>408</v>
      </c>
      <c r="C43" s="35"/>
      <c r="D43" s="291"/>
      <c r="E43" s="461"/>
      <c r="F43" s="212"/>
      <c r="G43" s="212"/>
      <c r="H43" s="213"/>
      <c r="I43" s="27"/>
      <c r="J43" s="207">
        <f t="shared" si="4"/>
        <v>0</v>
      </c>
      <c r="K43" s="207">
        <f t="shared" si="5"/>
        <v>0</v>
      </c>
      <c r="L43" s="208">
        <f>K43*係数!$H$30</f>
        <v>0</v>
      </c>
      <c r="M43" s="35"/>
      <c r="N43" s="27"/>
      <c r="O43" s="27"/>
      <c r="P43" s="213"/>
      <c r="Q43" s="27"/>
      <c r="R43" s="462">
        <f t="shared" si="1"/>
        <v>0</v>
      </c>
      <c r="S43" s="12">
        <f t="shared" si="2"/>
        <v>0</v>
      </c>
      <c r="T43" s="208">
        <f>S43*係数!$H$30</f>
        <v>0</v>
      </c>
      <c r="U43" s="12">
        <f t="shared" si="3"/>
        <v>0</v>
      </c>
      <c r="V43" s="211">
        <f t="shared" si="3"/>
        <v>0</v>
      </c>
    </row>
    <row r="44" spans="2:22" x14ac:dyDescent="0.4">
      <c r="B44" s="194" t="s">
        <v>409</v>
      </c>
      <c r="C44" s="35"/>
      <c r="D44" s="291"/>
      <c r="E44" s="461"/>
      <c r="F44" s="212"/>
      <c r="G44" s="212"/>
      <c r="H44" s="213"/>
      <c r="I44" s="27"/>
      <c r="J44" s="207">
        <f t="shared" si="4"/>
        <v>0</v>
      </c>
      <c r="K44" s="207">
        <f t="shared" si="5"/>
        <v>0</v>
      </c>
      <c r="L44" s="208">
        <f>K44*係数!$H$30</f>
        <v>0</v>
      </c>
      <c r="M44" s="35"/>
      <c r="N44" s="27"/>
      <c r="O44" s="27"/>
      <c r="P44" s="213"/>
      <c r="Q44" s="27"/>
      <c r="R44" s="462">
        <f t="shared" si="1"/>
        <v>0</v>
      </c>
      <c r="S44" s="12">
        <f t="shared" si="2"/>
        <v>0</v>
      </c>
      <c r="T44" s="208">
        <f>S44*係数!$H$30</f>
        <v>0</v>
      </c>
      <c r="U44" s="12">
        <f t="shared" si="3"/>
        <v>0</v>
      </c>
      <c r="V44" s="211">
        <f t="shared" si="3"/>
        <v>0</v>
      </c>
    </row>
    <row r="45" spans="2:22" x14ac:dyDescent="0.4">
      <c r="B45" s="194" t="s">
        <v>410</v>
      </c>
      <c r="C45" s="35"/>
      <c r="D45" s="291"/>
      <c r="E45" s="461"/>
      <c r="F45" s="212"/>
      <c r="G45" s="212"/>
      <c r="H45" s="213"/>
      <c r="I45" s="27"/>
      <c r="J45" s="207">
        <f t="shared" si="4"/>
        <v>0</v>
      </c>
      <c r="K45" s="207">
        <f t="shared" si="5"/>
        <v>0</v>
      </c>
      <c r="L45" s="208">
        <f>K45*係数!$H$30</f>
        <v>0</v>
      </c>
      <c r="M45" s="35"/>
      <c r="N45" s="27"/>
      <c r="O45" s="27"/>
      <c r="P45" s="213"/>
      <c r="Q45" s="27"/>
      <c r="R45" s="462">
        <f t="shared" si="1"/>
        <v>0</v>
      </c>
      <c r="S45" s="12">
        <f t="shared" si="2"/>
        <v>0</v>
      </c>
      <c r="T45" s="208">
        <f>S45*係数!$H$30</f>
        <v>0</v>
      </c>
      <c r="U45" s="12">
        <f t="shared" si="3"/>
        <v>0</v>
      </c>
      <c r="V45" s="211">
        <f t="shared" si="3"/>
        <v>0</v>
      </c>
    </row>
    <row r="46" spans="2:22" x14ac:dyDescent="0.4">
      <c r="B46" s="194" t="s">
        <v>411</v>
      </c>
      <c r="C46" s="35"/>
      <c r="D46" s="291"/>
      <c r="E46" s="461"/>
      <c r="F46" s="212"/>
      <c r="G46" s="212"/>
      <c r="H46" s="213"/>
      <c r="I46" s="27"/>
      <c r="J46" s="207">
        <f t="shared" si="4"/>
        <v>0</v>
      </c>
      <c r="K46" s="207">
        <f t="shared" si="5"/>
        <v>0</v>
      </c>
      <c r="L46" s="208">
        <f>K46*係数!$H$30</f>
        <v>0</v>
      </c>
      <c r="M46" s="35"/>
      <c r="N46" s="27"/>
      <c r="O46" s="27"/>
      <c r="P46" s="213"/>
      <c r="Q46" s="27"/>
      <c r="R46" s="462">
        <f t="shared" si="1"/>
        <v>0</v>
      </c>
      <c r="S46" s="12">
        <f t="shared" si="2"/>
        <v>0</v>
      </c>
      <c r="T46" s="208">
        <f>S46*係数!$H$30</f>
        <v>0</v>
      </c>
      <c r="U46" s="12">
        <f t="shared" si="3"/>
        <v>0</v>
      </c>
      <c r="V46" s="211">
        <f t="shared" si="3"/>
        <v>0</v>
      </c>
    </row>
    <row r="47" spans="2:22" x14ac:dyDescent="0.4">
      <c r="B47" s="194" t="s">
        <v>412</v>
      </c>
      <c r="C47" s="35"/>
      <c r="D47" s="291"/>
      <c r="E47" s="461"/>
      <c r="F47" s="212"/>
      <c r="G47" s="212"/>
      <c r="H47" s="213"/>
      <c r="I47" s="27"/>
      <c r="J47" s="207">
        <f t="shared" si="4"/>
        <v>0</v>
      </c>
      <c r="K47" s="207">
        <f t="shared" si="5"/>
        <v>0</v>
      </c>
      <c r="L47" s="208">
        <f>K47*係数!$H$30</f>
        <v>0</v>
      </c>
      <c r="M47" s="35"/>
      <c r="N47" s="27"/>
      <c r="O47" s="27"/>
      <c r="P47" s="213"/>
      <c r="Q47" s="27"/>
      <c r="R47" s="462">
        <f t="shared" si="1"/>
        <v>0</v>
      </c>
      <c r="S47" s="12">
        <f t="shared" si="2"/>
        <v>0</v>
      </c>
      <c r="T47" s="208">
        <f>S47*係数!$H$30</f>
        <v>0</v>
      </c>
      <c r="U47" s="12">
        <f t="shared" si="3"/>
        <v>0</v>
      </c>
      <c r="V47" s="211">
        <f t="shared" si="3"/>
        <v>0</v>
      </c>
    </row>
    <row r="48" spans="2:22" x14ac:dyDescent="0.4">
      <c r="B48" s="194" t="s">
        <v>413</v>
      </c>
      <c r="C48" s="35"/>
      <c r="D48" s="291"/>
      <c r="E48" s="461"/>
      <c r="F48" s="212"/>
      <c r="G48" s="212"/>
      <c r="H48" s="213"/>
      <c r="I48" s="27"/>
      <c r="J48" s="207">
        <f t="shared" si="4"/>
        <v>0</v>
      </c>
      <c r="K48" s="207">
        <f t="shared" si="5"/>
        <v>0</v>
      </c>
      <c r="L48" s="208">
        <f>K48*係数!$H$30</f>
        <v>0</v>
      </c>
      <c r="M48" s="35"/>
      <c r="N48" s="27"/>
      <c r="O48" s="27"/>
      <c r="P48" s="213"/>
      <c r="Q48" s="27"/>
      <c r="R48" s="462">
        <f t="shared" si="1"/>
        <v>0</v>
      </c>
      <c r="S48" s="12">
        <f t="shared" si="2"/>
        <v>0</v>
      </c>
      <c r="T48" s="208">
        <f>S48*係数!$H$30</f>
        <v>0</v>
      </c>
      <c r="U48" s="12">
        <f t="shared" si="3"/>
        <v>0</v>
      </c>
      <c r="V48" s="211">
        <f t="shared" si="3"/>
        <v>0</v>
      </c>
    </row>
    <row r="49" spans="2:22" x14ac:dyDescent="0.4">
      <c r="B49" s="194" t="s">
        <v>414</v>
      </c>
      <c r="C49" s="35"/>
      <c r="D49" s="291"/>
      <c r="E49" s="461"/>
      <c r="F49" s="212"/>
      <c r="G49" s="212"/>
      <c r="H49" s="213"/>
      <c r="I49" s="27"/>
      <c r="J49" s="207">
        <f t="shared" si="4"/>
        <v>0</v>
      </c>
      <c r="K49" s="207">
        <f t="shared" si="5"/>
        <v>0</v>
      </c>
      <c r="L49" s="208">
        <f>K49*係数!$H$30</f>
        <v>0</v>
      </c>
      <c r="M49" s="35"/>
      <c r="N49" s="27"/>
      <c r="O49" s="27"/>
      <c r="P49" s="213"/>
      <c r="Q49" s="27"/>
      <c r="R49" s="462">
        <f t="shared" si="1"/>
        <v>0</v>
      </c>
      <c r="S49" s="12">
        <f t="shared" si="2"/>
        <v>0</v>
      </c>
      <c r="T49" s="208">
        <f>S49*係数!$H$30</f>
        <v>0</v>
      </c>
      <c r="U49" s="12">
        <f t="shared" si="3"/>
        <v>0</v>
      </c>
      <c r="V49" s="211">
        <f t="shared" si="3"/>
        <v>0</v>
      </c>
    </row>
    <row r="50" spans="2:22" x14ac:dyDescent="0.4">
      <c r="B50" s="194" t="s">
        <v>415</v>
      </c>
      <c r="C50" s="35"/>
      <c r="D50" s="291"/>
      <c r="E50" s="461"/>
      <c r="F50" s="212"/>
      <c r="G50" s="212"/>
      <c r="H50" s="213"/>
      <c r="I50" s="27"/>
      <c r="J50" s="207">
        <f t="shared" si="4"/>
        <v>0</v>
      </c>
      <c r="K50" s="207">
        <f t="shared" si="5"/>
        <v>0</v>
      </c>
      <c r="L50" s="208">
        <f>K50*係数!$H$30</f>
        <v>0</v>
      </c>
      <c r="M50" s="35"/>
      <c r="N50" s="27"/>
      <c r="O50" s="27"/>
      <c r="P50" s="213"/>
      <c r="Q50" s="27"/>
      <c r="R50" s="462">
        <f t="shared" si="1"/>
        <v>0</v>
      </c>
      <c r="S50" s="12">
        <f t="shared" si="2"/>
        <v>0</v>
      </c>
      <c r="T50" s="208">
        <f>S50*係数!$H$30</f>
        <v>0</v>
      </c>
      <c r="U50" s="12">
        <f t="shared" si="3"/>
        <v>0</v>
      </c>
      <c r="V50" s="211">
        <f t="shared" si="3"/>
        <v>0</v>
      </c>
    </row>
    <row r="51" spans="2:22" x14ac:dyDescent="0.4">
      <c r="B51" s="194" t="s">
        <v>416</v>
      </c>
      <c r="C51" s="35"/>
      <c r="D51" s="291"/>
      <c r="E51" s="461"/>
      <c r="F51" s="212"/>
      <c r="G51" s="212"/>
      <c r="H51" s="213"/>
      <c r="I51" s="27"/>
      <c r="J51" s="207">
        <f t="shared" si="4"/>
        <v>0</v>
      </c>
      <c r="K51" s="207">
        <f t="shared" si="5"/>
        <v>0</v>
      </c>
      <c r="L51" s="208">
        <f>K51*係数!$H$30</f>
        <v>0</v>
      </c>
      <c r="M51" s="35"/>
      <c r="N51" s="27"/>
      <c r="O51" s="27"/>
      <c r="P51" s="213"/>
      <c r="Q51" s="27"/>
      <c r="R51" s="462">
        <f t="shared" si="1"/>
        <v>0</v>
      </c>
      <c r="S51" s="12">
        <f t="shared" si="2"/>
        <v>0</v>
      </c>
      <c r="T51" s="208">
        <f>S51*係数!$H$30</f>
        <v>0</v>
      </c>
      <c r="U51" s="12">
        <f t="shared" si="3"/>
        <v>0</v>
      </c>
      <c r="V51" s="211">
        <f t="shared" si="3"/>
        <v>0</v>
      </c>
    </row>
    <row r="52" spans="2:22" x14ac:dyDescent="0.4">
      <c r="B52" s="194" t="s">
        <v>417</v>
      </c>
      <c r="C52" s="35"/>
      <c r="D52" s="291"/>
      <c r="E52" s="461"/>
      <c r="F52" s="212"/>
      <c r="G52" s="212"/>
      <c r="H52" s="213"/>
      <c r="I52" s="27"/>
      <c r="J52" s="207">
        <f t="shared" si="4"/>
        <v>0</v>
      </c>
      <c r="K52" s="207">
        <f t="shared" si="5"/>
        <v>0</v>
      </c>
      <c r="L52" s="208">
        <f>K52*係数!$H$30</f>
        <v>0</v>
      </c>
      <c r="M52" s="35"/>
      <c r="N52" s="27"/>
      <c r="O52" s="27"/>
      <c r="P52" s="213"/>
      <c r="Q52" s="27"/>
      <c r="R52" s="462">
        <f t="shared" si="1"/>
        <v>0</v>
      </c>
      <c r="S52" s="12">
        <f t="shared" si="2"/>
        <v>0</v>
      </c>
      <c r="T52" s="208">
        <f>S52*係数!$H$30</f>
        <v>0</v>
      </c>
      <c r="U52" s="12">
        <f t="shared" si="3"/>
        <v>0</v>
      </c>
      <c r="V52" s="211">
        <f t="shared" si="3"/>
        <v>0</v>
      </c>
    </row>
    <row r="53" spans="2:22" x14ac:dyDescent="0.4">
      <c r="B53" s="194" t="s">
        <v>418</v>
      </c>
      <c r="C53" s="35"/>
      <c r="D53" s="291"/>
      <c r="E53" s="461"/>
      <c r="F53" s="212"/>
      <c r="G53" s="212"/>
      <c r="H53" s="213"/>
      <c r="I53" s="27"/>
      <c r="J53" s="207">
        <f t="shared" si="4"/>
        <v>0</v>
      </c>
      <c r="K53" s="207">
        <f t="shared" si="5"/>
        <v>0</v>
      </c>
      <c r="L53" s="208">
        <f>K53*係数!$H$30</f>
        <v>0</v>
      </c>
      <c r="M53" s="35"/>
      <c r="N53" s="27"/>
      <c r="O53" s="27"/>
      <c r="P53" s="213"/>
      <c r="Q53" s="27"/>
      <c r="R53" s="462">
        <f t="shared" si="1"/>
        <v>0</v>
      </c>
      <c r="S53" s="12">
        <f t="shared" si="2"/>
        <v>0</v>
      </c>
      <c r="T53" s="208">
        <f>S53*係数!$H$30</f>
        <v>0</v>
      </c>
      <c r="U53" s="12">
        <f t="shared" si="3"/>
        <v>0</v>
      </c>
      <c r="V53" s="211">
        <f t="shared" si="3"/>
        <v>0</v>
      </c>
    </row>
    <row r="54" spans="2:22" x14ac:dyDescent="0.4">
      <c r="B54" s="194" t="s">
        <v>419</v>
      </c>
      <c r="C54" s="35"/>
      <c r="D54" s="291"/>
      <c r="E54" s="461"/>
      <c r="F54" s="212"/>
      <c r="G54" s="212"/>
      <c r="H54" s="213"/>
      <c r="I54" s="27"/>
      <c r="J54" s="207">
        <f t="shared" si="4"/>
        <v>0</v>
      </c>
      <c r="K54" s="207">
        <f t="shared" si="5"/>
        <v>0</v>
      </c>
      <c r="L54" s="208">
        <f>K54*係数!$H$30</f>
        <v>0</v>
      </c>
      <c r="M54" s="35"/>
      <c r="N54" s="27"/>
      <c r="O54" s="27"/>
      <c r="P54" s="213"/>
      <c r="Q54" s="27"/>
      <c r="R54" s="462">
        <f t="shared" si="1"/>
        <v>0</v>
      </c>
      <c r="S54" s="12">
        <f t="shared" si="2"/>
        <v>0</v>
      </c>
      <c r="T54" s="208">
        <f>S54*係数!$H$30</f>
        <v>0</v>
      </c>
      <c r="U54" s="12">
        <f t="shared" si="3"/>
        <v>0</v>
      </c>
      <c r="V54" s="211">
        <f t="shared" si="3"/>
        <v>0</v>
      </c>
    </row>
    <row r="55" spans="2:22" x14ac:dyDescent="0.4">
      <c r="B55" s="194" t="s">
        <v>420</v>
      </c>
      <c r="C55" s="35"/>
      <c r="D55" s="291"/>
      <c r="E55" s="461"/>
      <c r="F55" s="212"/>
      <c r="G55" s="212"/>
      <c r="H55" s="213"/>
      <c r="I55" s="27"/>
      <c r="J55" s="207">
        <f t="shared" si="4"/>
        <v>0</v>
      </c>
      <c r="K55" s="207">
        <f t="shared" si="5"/>
        <v>0</v>
      </c>
      <c r="L55" s="208">
        <f>K55*係数!$H$30</f>
        <v>0</v>
      </c>
      <c r="M55" s="35"/>
      <c r="N55" s="27"/>
      <c r="O55" s="27"/>
      <c r="P55" s="213"/>
      <c r="Q55" s="27"/>
      <c r="R55" s="462">
        <f t="shared" si="1"/>
        <v>0</v>
      </c>
      <c r="S55" s="12">
        <f t="shared" si="2"/>
        <v>0</v>
      </c>
      <c r="T55" s="208">
        <f>S55*係数!$H$30</f>
        <v>0</v>
      </c>
      <c r="U55" s="12">
        <f t="shared" si="3"/>
        <v>0</v>
      </c>
      <c r="V55" s="211">
        <f t="shared" si="3"/>
        <v>0</v>
      </c>
    </row>
    <row r="56" spans="2:22" x14ac:dyDescent="0.4">
      <c r="B56" s="194" t="s">
        <v>421</v>
      </c>
      <c r="C56" s="35"/>
      <c r="D56" s="291"/>
      <c r="E56" s="461"/>
      <c r="F56" s="212"/>
      <c r="G56" s="212"/>
      <c r="H56" s="213"/>
      <c r="I56" s="27"/>
      <c r="J56" s="207">
        <f t="shared" si="4"/>
        <v>0</v>
      </c>
      <c r="K56" s="207">
        <f t="shared" si="5"/>
        <v>0</v>
      </c>
      <c r="L56" s="208">
        <f>K56*係数!$H$30</f>
        <v>0</v>
      </c>
      <c r="M56" s="35"/>
      <c r="N56" s="27"/>
      <c r="O56" s="27"/>
      <c r="P56" s="213"/>
      <c r="Q56" s="27"/>
      <c r="R56" s="462">
        <f t="shared" si="1"/>
        <v>0</v>
      </c>
      <c r="S56" s="12">
        <f t="shared" si="2"/>
        <v>0</v>
      </c>
      <c r="T56" s="208">
        <f>S56*係数!$H$30</f>
        <v>0</v>
      </c>
      <c r="U56" s="12">
        <f t="shared" si="3"/>
        <v>0</v>
      </c>
      <c r="V56" s="211">
        <f t="shared" si="3"/>
        <v>0</v>
      </c>
    </row>
    <row r="57" spans="2:22" x14ac:dyDescent="0.4">
      <c r="B57" s="194" t="s">
        <v>422</v>
      </c>
      <c r="C57" s="35"/>
      <c r="D57" s="291"/>
      <c r="E57" s="461"/>
      <c r="F57" s="212"/>
      <c r="G57" s="212"/>
      <c r="H57" s="213"/>
      <c r="I57" s="27"/>
      <c r="J57" s="207">
        <f t="shared" si="4"/>
        <v>0</v>
      </c>
      <c r="K57" s="207">
        <f t="shared" si="5"/>
        <v>0</v>
      </c>
      <c r="L57" s="208">
        <f>K57*係数!$H$30</f>
        <v>0</v>
      </c>
      <c r="M57" s="35"/>
      <c r="N57" s="27"/>
      <c r="O57" s="27"/>
      <c r="P57" s="213"/>
      <c r="Q57" s="27"/>
      <c r="R57" s="462">
        <f t="shared" si="1"/>
        <v>0</v>
      </c>
      <c r="S57" s="12">
        <f t="shared" si="2"/>
        <v>0</v>
      </c>
      <c r="T57" s="208">
        <f>S57*係数!$H$30</f>
        <v>0</v>
      </c>
      <c r="U57" s="12">
        <f t="shared" si="3"/>
        <v>0</v>
      </c>
      <c r="V57" s="211">
        <f t="shared" si="3"/>
        <v>0</v>
      </c>
    </row>
    <row r="58" spans="2:22" x14ac:dyDescent="0.4">
      <c r="B58" s="194" t="s">
        <v>423</v>
      </c>
      <c r="C58" s="35"/>
      <c r="D58" s="291"/>
      <c r="E58" s="461"/>
      <c r="F58" s="212"/>
      <c r="G58" s="212"/>
      <c r="H58" s="213"/>
      <c r="I58" s="27"/>
      <c r="J58" s="207">
        <f t="shared" si="4"/>
        <v>0</v>
      </c>
      <c r="K58" s="207">
        <f t="shared" si="5"/>
        <v>0</v>
      </c>
      <c r="L58" s="208">
        <f>K58*係数!$H$30</f>
        <v>0</v>
      </c>
      <c r="M58" s="35"/>
      <c r="N58" s="27"/>
      <c r="O58" s="27"/>
      <c r="P58" s="213"/>
      <c r="Q58" s="27"/>
      <c r="R58" s="462">
        <f t="shared" si="1"/>
        <v>0</v>
      </c>
      <c r="S58" s="12">
        <f t="shared" si="2"/>
        <v>0</v>
      </c>
      <c r="T58" s="208">
        <f>S58*係数!$H$30</f>
        <v>0</v>
      </c>
      <c r="U58" s="12">
        <f t="shared" si="3"/>
        <v>0</v>
      </c>
      <c r="V58" s="211">
        <f t="shared" si="3"/>
        <v>0</v>
      </c>
    </row>
    <row r="59" spans="2:22" x14ac:dyDescent="0.4">
      <c r="B59" s="194" t="s">
        <v>424</v>
      </c>
      <c r="C59" s="35"/>
      <c r="D59" s="291"/>
      <c r="E59" s="461"/>
      <c r="F59" s="212"/>
      <c r="G59" s="212"/>
      <c r="H59" s="213"/>
      <c r="I59" s="27"/>
      <c r="J59" s="207">
        <f t="shared" si="4"/>
        <v>0</v>
      </c>
      <c r="K59" s="207">
        <f t="shared" si="5"/>
        <v>0</v>
      </c>
      <c r="L59" s="208">
        <f>K59*係数!$H$30</f>
        <v>0</v>
      </c>
      <c r="M59" s="35"/>
      <c r="N59" s="27"/>
      <c r="O59" s="27"/>
      <c r="P59" s="213"/>
      <c r="Q59" s="27"/>
      <c r="R59" s="462">
        <f t="shared" si="1"/>
        <v>0</v>
      </c>
      <c r="S59" s="12">
        <f t="shared" si="2"/>
        <v>0</v>
      </c>
      <c r="T59" s="208">
        <f>S59*係数!$H$30</f>
        <v>0</v>
      </c>
      <c r="U59" s="12">
        <f t="shared" si="3"/>
        <v>0</v>
      </c>
      <c r="V59" s="211">
        <f t="shared" si="3"/>
        <v>0</v>
      </c>
    </row>
    <row r="60" spans="2:22" x14ac:dyDescent="0.4">
      <c r="B60" s="194" t="s">
        <v>425</v>
      </c>
      <c r="C60" s="35"/>
      <c r="D60" s="291"/>
      <c r="E60" s="461"/>
      <c r="F60" s="212"/>
      <c r="G60" s="212"/>
      <c r="H60" s="213"/>
      <c r="I60" s="27"/>
      <c r="J60" s="207">
        <f t="shared" si="4"/>
        <v>0</v>
      </c>
      <c r="K60" s="207">
        <f t="shared" si="5"/>
        <v>0</v>
      </c>
      <c r="L60" s="208">
        <f>K60*係数!$H$30</f>
        <v>0</v>
      </c>
      <c r="M60" s="35"/>
      <c r="N60" s="27"/>
      <c r="O60" s="27"/>
      <c r="P60" s="213"/>
      <c r="Q60" s="27"/>
      <c r="R60" s="462">
        <f t="shared" si="1"/>
        <v>0</v>
      </c>
      <c r="S60" s="12">
        <f t="shared" si="2"/>
        <v>0</v>
      </c>
      <c r="T60" s="208">
        <f>S60*係数!$H$30</f>
        <v>0</v>
      </c>
      <c r="U60" s="12">
        <f t="shared" si="3"/>
        <v>0</v>
      </c>
      <c r="V60" s="211">
        <f t="shared" si="3"/>
        <v>0</v>
      </c>
    </row>
    <row r="61" spans="2:22" x14ac:dyDescent="0.4">
      <c r="B61" s="194" t="s">
        <v>426</v>
      </c>
      <c r="C61" s="35"/>
      <c r="D61" s="291"/>
      <c r="E61" s="461"/>
      <c r="F61" s="212"/>
      <c r="G61" s="212"/>
      <c r="H61" s="213"/>
      <c r="I61" s="27"/>
      <c r="J61" s="207">
        <f t="shared" si="4"/>
        <v>0</v>
      </c>
      <c r="K61" s="207">
        <f t="shared" si="5"/>
        <v>0</v>
      </c>
      <c r="L61" s="208">
        <f>K61*係数!$H$30</f>
        <v>0</v>
      </c>
      <c r="M61" s="35"/>
      <c r="N61" s="27"/>
      <c r="O61" s="27"/>
      <c r="P61" s="213"/>
      <c r="Q61" s="27"/>
      <c r="R61" s="462">
        <f t="shared" si="1"/>
        <v>0</v>
      </c>
      <c r="S61" s="12">
        <f t="shared" si="2"/>
        <v>0</v>
      </c>
      <c r="T61" s="208">
        <f>S61*係数!$H$30</f>
        <v>0</v>
      </c>
      <c r="U61" s="12">
        <f t="shared" si="3"/>
        <v>0</v>
      </c>
      <c r="V61" s="211">
        <f t="shared" si="3"/>
        <v>0</v>
      </c>
    </row>
    <row r="62" spans="2:22" x14ac:dyDescent="0.4">
      <c r="B62" s="194" t="s">
        <v>427</v>
      </c>
      <c r="C62" s="35"/>
      <c r="D62" s="291"/>
      <c r="E62" s="461"/>
      <c r="F62" s="212"/>
      <c r="G62" s="212"/>
      <c r="H62" s="213"/>
      <c r="I62" s="27"/>
      <c r="J62" s="207">
        <f t="shared" si="4"/>
        <v>0</v>
      </c>
      <c r="K62" s="207">
        <f t="shared" si="5"/>
        <v>0</v>
      </c>
      <c r="L62" s="208">
        <f>K62*係数!$H$30</f>
        <v>0</v>
      </c>
      <c r="M62" s="35"/>
      <c r="N62" s="27"/>
      <c r="O62" s="27"/>
      <c r="P62" s="213"/>
      <c r="Q62" s="27"/>
      <c r="R62" s="462">
        <f t="shared" si="1"/>
        <v>0</v>
      </c>
      <c r="S62" s="12">
        <f t="shared" si="2"/>
        <v>0</v>
      </c>
      <c r="T62" s="208">
        <f>S62*係数!$H$30</f>
        <v>0</v>
      </c>
      <c r="U62" s="12">
        <f t="shared" si="3"/>
        <v>0</v>
      </c>
      <c r="V62" s="211">
        <f t="shared" si="3"/>
        <v>0</v>
      </c>
    </row>
    <row r="63" spans="2:22" x14ac:dyDescent="0.4">
      <c r="B63" s="194" t="s">
        <v>428</v>
      </c>
      <c r="C63" s="35"/>
      <c r="D63" s="291"/>
      <c r="E63" s="461"/>
      <c r="F63" s="212"/>
      <c r="G63" s="212"/>
      <c r="H63" s="213"/>
      <c r="I63" s="27"/>
      <c r="J63" s="207">
        <f t="shared" si="4"/>
        <v>0</v>
      </c>
      <c r="K63" s="207">
        <f t="shared" si="5"/>
        <v>0</v>
      </c>
      <c r="L63" s="208">
        <f>K63*係数!$H$30</f>
        <v>0</v>
      </c>
      <c r="M63" s="35"/>
      <c r="N63" s="27"/>
      <c r="O63" s="27"/>
      <c r="P63" s="213"/>
      <c r="Q63" s="27"/>
      <c r="R63" s="462">
        <f t="shared" si="1"/>
        <v>0</v>
      </c>
      <c r="S63" s="12">
        <f t="shared" si="2"/>
        <v>0</v>
      </c>
      <c r="T63" s="208">
        <f>S63*係数!$H$30</f>
        <v>0</v>
      </c>
      <c r="U63" s="12">
        <f t="shared" si="3"/>
        <v>0</v>
      </c>
      <c r="V63" s="211">
        <f t="shared" si="3"/>
        <v>0</v>
      </c>
    </row>
    <row r="64" spans="2:22" x14ac:dyDescent="0.4">
      <c r="B64" s="194" t="s">
        <v>429</v>
      </c>
      <c r="C64" s="35"/>
      <c r="D64" s="291"/>
      <c r="E64" s="461"/>
      <c r="F64" s="212"/>
      <c r="G64" s="212"/>
      <c r="H64" s="213"/>
      <c r="I64" s="27"/>
      <c r="J64" s="207">
        <f t="shared" si="4"/>
        <v>0</v>
      </c>
      <c r="K64" s="207">
        <f t="shared" si="5"/>
        <v>0</v>
      </c>
      <c r="L64" s="208">
        <f>K64*係数!$H$30</f>
        <v>0</v>
      </c>
      <c r="M64" s="35"/>
      <c r="N64" s="27"/>
      <c r="O64" s="27"/>
      <c r="P64" s="213"/>
      <c r="Q64" s="27"/>
      <c r="R64" s="462">
        <f t="shared" si="1"/>
        <v>0</v>
      </c>
      <c r="S64" s="12">
        <f t="shared" si="2"/>
        <v>0</v>
      </c>
      <c r="T64" s="208">
        <f>S64*係数!$H$30</f>
        <v>0</v>
      </c>
      <c r="U64" s="12">
        <f t="shared" si="3"/>
        <v>0</v>
      </c>
      <c r="V64" s="211">
        <f t="shared" si="3"/>
        <v>0</v>
      </c>
    </row>
    <row r="65" spans="2:22" x14ac:dyDescent="0.4">
      <c r="B65" s="194" t="s">
        <v>430</v>
      </c>
      <c r="C65" s="35"/>
      <c r="D65" s="291"/>
      <c r="E65" s="461"/>
      <c r="F65" s="212"/>
      <c r="G65" s="212"/>
      <c r="H65" s="213"/>
      <c r="I65" s="27"/>
      <c r="J65" s="207">
        <f t="shared" si="4"/>
        <v>0</v>
      </c>
      <c r="K65" s="207">
        <f t="shared" si="5"/>
        <v>0</v>
      </c>
      <c r="L65" s="208">
        <f>K65*係数!$H$30</f>
        <v>0</v>
      </c>
      <c r="M65" s="35"/>
      <c r="N65" s="27"/>
      <c r="O65" s="27"/>
      <c r="P65" s="213"/>
      <c r="Q65" s="27"/>
      <c r="R65" s="462">
        <f t="shared" si="1"/>
        <v>0</v>
      </c>
      <c r="S65" s="12">
        <f t="shared" si="2"/>
        <v>0</v>
      </c>
      <c r="T65" s="208">
        <f>S65*係数!$H$30</f>
        <v>0</v>
      </c>
      <c r="U65" s="12">
        <f t="shared" si="3"/>
        <v>0</v>
      </c>
      <c r="V65" s="211">
        <f t="shared" si="3"/>
        <v>0</v>
      </c>
    </row>
    <row r="66" spans="2:22" x14ac:dyDescent="0.4">
      <c r="B66" s="194" t="s">
        <v>431</v>
      </c>
      <c r="C66" s="35"/>
      <c r="D66" s="291"/>
      <c r="E66" s="461"/>
      <c r="F66" s="212"/>
      <c r="G66" s="212"/>
      <c r="H66" s="213"/>
      <c r="I66" s="27"/>
      <c r="J66" s="207">
        <f t="shared" si="4"/>
        <v>0</v>
      </c>
      <c r="K66" s="207">
        <f t="shared" si="5"/>
        <v>0</v>
      </c>
      <c r="L66" s="208">
        <f>K66*係数!$H$30</f>
        <v>0</v>
      </c>
      <c r="M66" s="35"/>
      <c r="N66" s="27"/>
      <c r="O66" s="27"/>
      <c r="P66" s="213"/>
      <c r="Q66" s="27"/>
      <c r="R66" s="462">
        <f t="shared" si="1"/>
        <v>0</v>
      </c>
      <c r="S66" s="12">
        <f t="shared" si="2"/>
        <v>0</v>
      </c>
      <c r="T66" s="208">
        <f>S66*係数!$H$30</f>
        <v>0</v>
      </c>
      <c r="U66" s="12">
        <f t="shared" si="3"/>
        <v>0</v>
      </c>
      <c r="V66" s="211">
        <f t="shared" si="3"/>
        <v>0</v>
      </c>
    </row>
    <row r="67" spans="2:22" x14ac:dyDescent="0.4">
      <c r="B67" s="194" t="s">
        <v>432</v>
      </c>
      <c r="C67" s="35"/>
      <c r="D67" s="291"/>
      <c r="E67" s="461"/>
      <c r="F67" s="212"/>
      <c r="G67" s="212"/>
      <c r="H67" s="213"/>
      <c r="I67" s="27"/>
      <c r="J67" s="207">
        <f t="shared" si="4"/>
        <v>0</v>
      </c>
      <c r="K67" s="207">
        <f t="shared" si="5"/>
        <v>0</v>
      </c>
      <c r="L67" s="208">
        <f>K67*係数!$H$30</f>
        <v>0</v>
      </c>
      <c r="M67" s="35"/>
      <c r="N67" s="27"/>
      <c r="O67" s="27"/>
      <c r="P67" s="213"/>
      <c r="Q67" s="27"/>
      <c r="R67" s="462">
        <f t="shared" si="1"/>
        <v>0</v>
      </c>
      <c r="S67" s="12">
        <f t="shared" si="2"/>
        <v>0</v>
      </c>
      <c r="T67" s="208">
        <f>S67*係数!$H$30</f>
        <v>0</v>
      </c>
      <c r="U67" s="12">
        <f t="shared" si="3"/>
        <v>0</v>
      </c>
      <c r="V67" s="211">
        <f t="shared" si="3"/>
        <v>0</v>
      </c>
    </row>
    <row r="68" spans="2:22" x14ac:dyDescent="0.4">
      <c r="B68" s="194" t="s">
        <v>611</v>
      </c>
      <c r="C68" s="35"/>
      <c r="D68" s="291"/>
      <c r="E68" s="461"/>
      <c r="F68" s="212"/>
      <c r="G68" s="212"/>
      <c r="H68" s="213"/>
      <c r="I68" s="27"/>
      <c r="J68" s="207">
        <f t="shared" si="4"/>
        <v>0</v>
      </c>
      <c r="K68" s="207">
        <f t="shared" si="5"/>
        <v>0</v>
      </c>
      <c r="L68" s="208">
        <f>K68*係数!$H$30</f>
        <v>0</v>
      </c>
      <c r="M68" s="35"/>
      <c r="N68" s="27"/>
      <c r="O68" s="27"/>
      <c r="P68" s="213"/>
      <c r="Q68" s="27"/>
      <c r="R68" s="462">
        <f t="shared" si="1"/>
        <v>0</v>
      </c>
      <c r="S68" s="12">
        <f t="shared" si="2"/>
        <v>0</v>
      </c>
      <c r="T68" s="208">
        <f>S68*係数!$H$30</f>
        <v>0</v>
      </c>
      <c r="U68" s="12">
        <f t="shared" si="3"/>
        <v>0</v>
      </c>
      <c r="V68" s="211">
        <f t="shared" si="3"/>
        <v>0</v>
      </c>
    </row>
    <row r="69" spans="2:22" x14ac:dyDescent="0.4">
      <c r="B69" s="194" t="s">
        <v>612</v>
      </c>
      <c r="C69" s="35"/>
      <c r="D69" s="291"/>
      <c r="E69" s="461"/>
      <c r="F69" s="212"/>
      <c r="G69" s="212"/>
      <c r="H69" s="213"/>
      <c r="I69" s="27"/>
      <c r="J69" s="207">
        <f t="shared" si="4"/>
        <v>0</v>
      </c>
      <c r="K69" s="207">
        <f t="shared" si="5"/>
        <v>0</v>
      </c>
      <c r="L69" s="208">
        <f>K69*係数!$H$30</f>
        <v>0</v>
      </c>
      <c r="M69" s="35"/>
      <c r="N69" s="27"/>
      <c r="O69" s="27"/>
      <c r="P69" s="213"/>
      <c r="Q69" s="27"/>
      <c r="R69" s="462">
        <f t="shared" si="1"/>
        <v>0</v>
      </c>
      <c r="S69" s="12">
        <f t="shared" si="2"/>
        <v>0</v>
      </c>
      <c r="T69" s="208">
        <f>S69*係数!$H$30</f>
        <v>0</v>
      </c>
      <c r="U69" s="12">
        <f t="shared" si="3"/>
        <v>0</v>
      </c>
      <c r="V69" s="211">
        <f t="shared" si="3"/>
        <v>0</v>
      </c>
    </row>
    <row r="70" spans="2:22" x14ac:dyDescent="0.4">
      <c r="B70" s="194" t="s">
        <v>613</v>
      </c>
      <c r="C70" s="35"/>
      <c r="D70" s="291"/>
      <c r="E70" s="461"/>
      <c r="F70" s="212"/>
      <c r="G70" s="212"/>
      <c r="H70" s="213"/>
      <c r="I70" s="27"/>
      <c r="J70" s="207">
        <f t="shared" si="4"/>
        <v>0</v>
      </c>
      <c r="K70" s="207">
        <f t="shared" si="5"/>
        <v>0</v>
      </c>
      <c r="L70" s="208">
        <f>K70*係数!$H$30</f>
        <v>0</v>
      </c>
      <c r="M70" s="35"/>
      <c r="N70" s="27"/>
      <c r="O70" s="27"/>
      <c r="P70" s="213"/>
      <c r="Q70" s="27"/>
      <c r="R70" s="462">
        <f t="shared" si="1"/>
        <v>0</v>
      </c>
      <c r="S70" s="12">
        <f t="shared" si="2"/>
        <v>0</v>
      </c>
      <c r="T70" s="208">
        <f>S70*係数!$H$30</f>
        <v>0</v>
      </c>
      <c r="U70" s="12">
        <f t="shared" si="3"/>
        <v>0</v>
      </c>
      <c r="V70" s="211">
        <f t="shared" si="3"/>
        <v>0</v>
      </c>
    </row>
    <row r="71" spans="2:22" x14ac:dyDescent="0.4">
      <c r="B71" s="194" t="s">
        <v>614</v>
      </c>
      <c r="C71" s="35"/>
      <c r="D71" s="291"/>
      <c r="E71" s="461"/>
      <c r="F71" s="212"/>
      <c r="G71" s="212"/>
      <c r="H71" s="213"/>
      <c r="I71" s="27"/>
      <c r="J71" s="207">
        <f t="shared" si="4"/>
        <v>0</v>
      </c>
      <c r="K71" s="207">
        <f t="shared" si="5"/>
        <v>0</v>
      </c>
      <c r="L71" s="208">
        <f>K71*係数!$H$30</f>
        <v>0</v>
      </c>
      <c r="M71" s="35"/>
      <c r="N71" s="27"/>
      <c r="O71" s="27"/>
      <c r="P71" s="213"/>
      <c r="Q71" s="27"/>
      <c r="R71" s="462">
        <f t="shared" si="1"/>
        <v>0</v>
      </c>
      <c r="S71" s="12">
        <f t="shared" si="2"/>
        <v>0</v>
      </c>
      <c r="T71" s="208">
        <f>S71*係数!$H$30</f>
        <v>0</v>
      </c>
      <c r="U71" s="12">
        <f t="shared" si="3"/>
        <v>0</v>
      </c>
      <c r="V71" s="211">
        <f t="shared" si="3"/>
        <v>0</v>
      </c>
    </row>
    <row r="72" spans="2:22" x14ac:dyDescent="0.4">
      <c r="B72" s="194" t="s">
        <v>615</v>
      </c>
      <c r="C72" s="35"/>
      <c r="D72" s="291"/>
      <c r="E72" s="461"/>
      <c r="F72" s="212"/>
      <c r="G72" s="212"/>
      <c r="H72" s="213"/>
      <c r="I72" s="27"/>
      <c r="J72" s="207">
        <f t="shared" si="4"/>
        <v>0</v>
      </c>
      <c r="K72" s="207">
        <f t="shared" si="5"/>
        <v>0</v>
      </c>
      <c r="L72" s="208">
        <f>K72*係数!$H$30</f>
        <v>0</v>
      </c>
      <c r="M72" s="35"/>
      <c r="N72" s="27"/>
      <c r="O72" s="27"/>
      <c r="P72" s="213"/>
      <c r="Q72" s="27"/>
      <c r="R72" s="462">
        <f t="shared" si="1"/>
        <v>0</v>
      </c>
      <c r="S72" s="12">
        <f t="shared" si="2"/>
        <v>0</v>
      </c>
      <c r="T72" s="208">
        <f>S72*係数!$H$30</f>
        <v>0</v>
      </c>
      <c r="U72" s="12">
        <f t="shared" si="3"/>
        <v>0</v>
      </c>
      <c r="V72" s="211">
        <f t="shared" si="3"/>
        <v>0</v>
      </c>
    </row>
    <row r="73" spans="2:22" x14ac:dyDescent="0.4">
      <c r="B73" s="194" t="s">
        <v>616</v>
      </c>
      <c r="C73" s="35"/>
      <c r="D73" s="291"/>
      <c r="E73" s="461"/>
      <c r="F73" s="212"/>
      <c r="G73" s="212"/>
      <c r="H73" s="213"/>
      <c r="I73" s="27"/>
      <c r="J73" s="207">
        <f t="shared" si="4"/>
        <v>0</v>
      </c>
      <c r="K73" s="207">
        <f t="shared" si="5"/>
        <v>0</v>
      </c>
      <c r="L73" s="208">
        <f>K73*係数!$H$30</f>
        <v>0</v>
      </c>
      <c r="M73" s="35"/>
      <c r="N73" s="27"/>
      <c r="O73" s="27"/>
      <c r="P73" s="213"/>
      <c r="Q73" s="27"/>
      <c r="R73" s="462">
        <f t="shared" si="1"/>
        <v>0</v>
      </c>
      <c r="S73" s="12">
        <f t="shared" si="2"/>
        <v>0</v>
      </c>
      <c r="T73" s="208">
        <f>S73*係数!$H$30</f>
        <v>0</v>
      </c>
      <c r="U73" s="12">
        <f t="shared" si="3"/>
        <v>0</v>
      </c>
      <c r="V73" s="211">
        <f t="shared" si="3"/>
        <v>0</v>
      </c>
    </row>
    <row r="74" spans="2:22" x14ac:dyDescent="0.4">
      <c r="B74" s="194" t="s">
        <v>617</v>
      </c>
      <c r="C74" s="35"/>
      <c r="D74" s="291"/>
      <c r="E74" s="461"/>
      <c r="F74" s="212"/>
      <c r="G74" s="212"/>
      <c r="H74" s="213"/>
      <c r="I74" s="27"/>
      <c r="J74" s="207">
        <f t="shared" si="4"/>
        <v>0</v>
      </c>
      <c r="K74" s="207">
        <f t="shared" si="5"/>
        <v>0</v>
      </c>
      <c r="L74" s="208">
        <f>K74*係数!$H$30</f>
        <v>0</v>
      </c>
      <c r="M74" s="35"/>
      <c r="N74" s="27"/>
      <c r="O74" s="27"/>
      <c r="P74" s="213"/>
      <c r="Q74" s="27"/>
      <c r="R74" s="462">
        <f t="shared" si="1"/>
        <v>0</v>
      </c>
      <c r="S74" s="12">
        <f t="shared" si="2"/>
        <v>0</v>
      </c>
      <c r="T74" s="208">
        <f>S74*係数!$H$30</f>
        <v>0</v>
      </c>
      <c r="U74" s="12">
        <f t="shared" si="3"/>
        <v>0</v>
      </c>
      <c r="V74" s="211">
        <f t="shared" si="3"/>
        <v>0</v>
      </c>
    </row>
    <row r="75" spans="2:22" x14ac:dyDescent="0.4">
      <c r="B75" s="194" t="s">
        <v>618</v>
      </c>
      <c r="C75" s="35"/>
      <c r="D75" s="291"/>
      <c r="E75" s="461"/>
      <c r="F75" s="212"/>
      <c r="G75" s="212"/>
      <c r="H75" s="213"/>
      <c r="I75" s="27"/>
      <c r="J75" s="207">
        <f t="shared" si="4"/>
        <v>0</v>
      </c>
      <c r="K75" s="207">
        <f t="shared" si="5"/>
        <v>0</v>
      </c>
      <c r="L75" s="208">
        <f>K75*係数!$H$30</f>
        <v>0</v>
      </c>
      <c r="M75" s="35"/>
      <c r="N75" s="27"/>
      <c r="O75" s="27"/>
      <c r="P75" s="213"/>
      <c r="Q75" s="27"/>
      <c r="R75" s="462">
        <f t="shared" si="1"/>
        <v>0</v>
      </c>
      <c r="S75" s="12">
        <f t="shared" si="2"/>
        <v>0</v>
      </c>
      <c r="T75" s="208">
        <f>S75*係数!$H$30</f>
        <v>0</v>
      </c>
      <c r="U75" s="12">
        <f t="shared" si="3"/>
        <v>0</v>
      </c>
      <c r="V75" s="211">
        <f t="shared" si="3"/>
        <v>0</v>
      </c>
    </row>
    <row r="76" spans="2:22" x14ac:dyDescent="0.4">
      <c r="B76" s="194" t="s">
        <v>619</v>
      </c>
      <c r="C76" s="35"/>
      <c r="D76" s="291"/>
      <c r="E76" s="461"/>
      <c r="F76" s="212"/>
      <c r="G76" s="212"/>
      <c r="H76" s="213"/>
      <c r="I76" s="27"/>
      <c r="J76" s="207">
        <f t="shared" si="4"/>
        <v>0</v>
      </c>
      <c r="K76" s="207">
        <f t="shared" si="5"/>
        <v>0</v>
      </c>
      <c r="L76" s="208">
        <f>K76*係数!$H$30</f>
        <v>0</v>
      </c>
      <c r="M76" s="35"/>
      <c r="N76" s="27"/>
      <c r="O76" s="27"/>
      <c r="P76" s="213"/>
      <c r="Q76" s="27"/>
      <c r="R76" s="462">
        <f t="shared" si="1"/>
        <v>0</v>
      </c>
      <c r="S76" s="12">
        <f t="shared" si="2"/>
        <v>0</v>
      </c>
      <c r="T76" s="208">
        <f>S76*係数!$H$30</f>
        <v>0</v>
      </c>
      <c r="U76" s="12">
        <f t="shared" si="3"/>
        <v>0</v>
      </c>
      <c r="V76" s="211">
        <f t="shared" si="3"/>
        <v>0</v>
      </c>
    </row>
    <row r="77" spans="2:22" x14ac:dyDescent="0.4">
      <c r="B77" s="194" t="s">
        <v>620</v>
      </c>
      <c r="C77" s="35"/>
      <c r="D77" s="291"/>
      <c r="E77" s="461"/>
      <c r="F77" s="212"/>
      <c r="G77" s="212"/>
      <c r="H77" s="213"/>
      <c r="I77" s="27"/>
      <c r="J77" s="207">
        <f t="shared" si="4"/>
        <v>0</v>
      </c>
      <c r="K77" s="207">
        <f t="shared" si="5"/>
        <v>0</v>
      </c>
      <c r="L77" s="208">
        <f>K77*係数!$H$30</f>
        <v>0</v>
      </c>
      <c r="M77" s="35"/>
      <c r="N77" s="27"/>
      <c r="O77" s="27"/>
      <c r="P77" s="213"/>
      <c r="Q77" s="27"/>
      <c r="R77" s="462">
        <f t="shared" si="1"/>
        <v>0</v>
      </c>
      <c r="S77" s="12">
        <f t="shared" si="2"/>
        <v>0</v>
      </c>
      <c r="T77" s="208">
        <f>S77*係数!$H$30</f>
        <v>0</v>
      </c>
      <c r="U77" s="12">
        <f t="shared" si="3"/>
        <v>0</v>
      </c>
      <c r="V77" s="211">
        <f t="shared" si="3"/>
        <v>0</v>
      </c>
    </row>
    <row r="78" spans="2:22" x14ac:dyDescent="0.4">
      <c r="B78" s="194" t="s">
        <v>621</v>
      </c>
      <c r="C78" s="35"/>
      <c r="D78" s="291"/>
      <c r="E78" s="461"/>
      <c r="F78" s="212"/>
      <c r="G78" s="212"/>
      <c r="H78" s="213"/>
      <c r="I78" s="27"/>
      <c r="J78" s="207">
        <f t="shared" si="4"/>
        <v>0</v>
      </c>
      <c r="K78" s="207">
        <f t="shared" si="5"/>
        <v>0</v>
      </c>
      <c r="L78" s="208">
        <f>K78*係数!$H$30</f>
        <v>0</v>
      </c>
      <c r="M78" s="35"/>
      <c r="N78" s="27"/>
      <c r="O78" s="27"/>
      <c r="P78" s="213"/>
      <c r="Q78" s="27"/>
      <c r="R78" s="462">
        <f t="shared" si="1"/>
        <v>0</v>
      </c>
      <c r="S78" s="12">
        <f t="shared" si="2"/>
        <v>0</v>
      </c>
      <c r="T78" s="208">
        <f>S78*係数!$H$30</f>
        <v>0</v>
      </c>
      <c r="U78" s="12">
        <f t="shared" si="3"/>
        <v>0</v>
      </c>
      <c r="V78" s="211">
        <f t="shared" si="3"/>
        <v>0</v>
      </c>
    </row>
    <row r="79" spans="2:22" x14ac:dyDescent="0.4">
      <c r="B79" s="194" t="s">
        <v>622</v>
      </c>
      <c r="C79" s="35"/>
      <c r="D79" s="291"/>
      <c r="E79" s="461"/>
      <c r="F79" s="212"/>
      <c r="G79" s="212"/>
      <c r="H79" s="213"/>
      <c r="I79" s="27"/>
      <c r="J79" s="207">
        <f t="shared" si="4"/>
        <v>0</v>
      </c>
      <c r="K79" s="207">
        <f t="shared" si="5"/>
        <v>0</v>
      </c>
      <c r="L79" s="208">
        <f>K79*係数!$H$30</f>
        <v>0</v>
      </c>
      <c r="M79" s="35"/>
      <c r="N79" s="27"/>
      <c r="O79" s="27"/>
      <c r="P79" s="213"/>
      <c r="Q79" s="27"/>
      <c r="R79" s="462">
        <f t="shared" si="1"/>
        <v>0</v>
      </c>
      <c r="S79" s="12">
        <f t="shared" si="2"/>
        <v>0</v>
      </c>
      <c r="T79" s="208">
        <f>S79*係数!$H$30</f>
        <v>0</v>
      </c>
      <c r="U79" s="12">
        <f t="shared" si="3"/>
        <v>0</v>
      </c>
      <c r="V79" s="211">
        <f t="shared" si="3"/>
        <v>0</v>
      </c>
    </row>
    <row r="80" spans="2:22" x14ac:dyDescent="0.4">
      <c r="B80" s="194" t="s">
        <v>623</v>
      </c>
      <c r="C80" s="35"/>
      <c r="D80" s="291"/>
      <c r="E80" s="461"/>
      <c r="F80" s="212"/>
      <c r="G80" s="212"/>
      <c r="H80" s="213"/>
      <c r="I80" s="27"/>
      <c r="J80" s="207">
        <f t="shared" si="4"/>
        <v>0</v>
      </c>
      <c r="K80" s="207">
        <f t="shared" si="5"/>
        <v>0</v>
      </c>
      <c r="L80" s="208">
        <f>K80*係数!$H$30</f>
        <v>0</v>
      </c>
      <c r="M80" s="35"/>
      <c r="N80" s="27"/>
      <c r="O80" s="27"/>
      <c r="P80" s="213"/>
      <c r="Q80" s="27"/>
      <c r="R80" s="462">
        <f t="shared" si="1"/>
        <v>0</v>
      </c>
      <c r="S80" s="12">
        <f t="shared" si="2"/>
        <v>0</v>
      </c>
      <c r="T80" s="208">
        <f>S80*係数!$H$30</f>
        <v>0</v>
      </c>
      <c r="U80" s="12">
        <f t="shared" si="3"/>
        <v>0</v>
      </c>
      <c r="V80" s="211">
        <f t="shared" si="3"/>
        <v>0</v>
      </c>
    </row>
    <row r="81" spans="2:22" x14ac:dyDescent="0.4">
      <c r="B81" s="194" t="s">
        <v>624</v>
      </c>
      <c r="C81" s="35"/>
      <c r="D81" s="291"/>
      <c r="E81" s="461"/>
      <c r="F81" s="212"/>
      <c r="G81" s="212"/>
      <c r="H81" s="213"/>
      <c r="I81" s="27"/>
      <c r="J81" s="207">
        <f t="shared" si="4"/>
        <v>0</v>
      </c>
      <c r="K81" s="207">
        <f t="shared" si="5"/>
        <v>0</v>
      </c>
      <c r="L81" s="208">
        <f>K81*係数!$H$30</f>
        <v>0</v>
      </c>
      <c r="M81" s="35"/>
      <c r="N81" s="27"/>
      <c r="O81" s="27"/>
      <c r="P81" s="213"/>
      <c r="Q81" s="27"/>
      <c r="R81" s="462">
        <f t="shared" si="1"/>
        <v>0</v>
      </c>
      <c r="S81" s="12">
        <f t="shared" si="2"/>
        <v>0</v>
      </c>
      <c r="T81" s="208">
        <f>S81*係数!$H$30</f>
        <v>0</v>
      </c>
      <c r="U81" s="12">
        <f t="shared" si="3"/>
        <v>0</v>
      </c>
      <c r="V81" s="211">
        <f t="shared" si="3"/>
        <v>0</v>
      </c>
    </row>
    <row r="82" spans="2:22" x14ac:dyDescent="0.4">
      <c r="B82" s="194" t="s">
        <v>625</v>
      </c>
      <c r="C82" s="35"/>
      <c r="D82" s="291"/>
      <c r="E82" s="461"/>
      <c r="F82" s="212"/>
      <c r="G82" s="212"/>
      <c r="H82" s="213"/>
      <c r="I82" s="27"/>
      <c r="J82" s="207">
        <f t="shared" si="4"/>
        <v>0</v>
      </c>
      <c r="K82" s="207">
        <f t="shared" si="5"/>
        <v>0</v>
      </c>
      <c r="L82" s="208">
        <f>K82*係数!$H$30</f>
        <v>0</v>
      </c>
      <c r="M82" s="35"/>
      <c r="N82" s="27"/>
      <c r="O82" s="27"/>
      <c r="P82" s="213"/>
      <c r="Q82" s="27"/>
      <c r="R82" s="462">
        <f t="shared" ref="R82:R145" si="6">IF(P82="",J82,J82*Q82/100)</f>
        <v>0</v>
      </c>
      <c r="S82" s="12">
        <f t="shared" ref="S82:S145" si="7">N82*O82*R82/1000</f>
        <v>0</v>
      </c>
      <c r="T82" s="208">
        <f>S82*係数!$H$30</f>
        <v>0</v>
      </c>
      <c r="U82" s="12">
        <f t="shared" ref="U82:V145" si="8">K82-S82</f>
        <v>0</v>
      </c>
      <c r="V82" s="211">
        <f t="shared" si="8"/>
        <v>0</v>
      </c>
    </row>
    <row r="83" spans="2:22" x14ac:dyDescent="0.4">
      <c r="B83" s="194" t="s">
        <v>626</v>
      </c>
      <c r="C83" s="35"/>
      <c r="D83" s="291"/>
      <c r="E83" s="461"/>
      <c r="F83" s="212"/>
      <c r="G83" s="212"/>
      <c r="H83" s="213"/>
      <c r="I83" s="27"/>
      <c r="J83" s="207">
        <f t="shared" ref="J83:J146" si="9">IF(H83="",F83*G83,F83*G83*I83/100)</f>
        <v>0</v>
      </c>
      <c r="K83" s="207">
        <f t="shared" si="5"/>
        <v>0</v>
      </c>
      <c r="L83" s="208">
        <f>K83*係数!$H$30</f>
        <v>0</v>
      </c>
      <c r="M83" s="35"/>
      <c r="N83" s="27"/>
      <c r="O83" s="27"/>
      <c r="P83" s="213"/>
      <c r="Q83" s="27"/>
      <c r="R83" s="462">
        <f t="shared" si="6"/>
        <v>0</v>
      </c>
      <c r="S83" s="12">
        <f t="shared" si="7"/>
        <v>0</v>
      </c>
      <c r="T83" s="208">
        <f>S83*係数!$H$30</f>
        <v>0</v>
      </c>
      <c r="U83" s="12">
        <f t="shared" si="8"/>
        <v>0</v>
      </c>
      <c r="V83" s="211">
        <f t="shared" si="8"/>
        <v>0</v>
      </c>
    </row>
    <row r="84" spans="2:22" x14ac:dyDescent="0.4">
      <c r="B84" s="194" t="s">
        <v>627</v>
      </c>
      <c r="C84" s="35"/>
      <c r="D84" s="291"/>
      <c r="E84" s="461"/>
      <c r="F84" s="212"/>
      <c r="G84" s="212"/>
      <c r="H84" s="213"/>
      <c r="I84" s="27"/>
      <c r="J84" s="207">
        <f t="shared" si="9"/>
        <v>0</v>
      </c>
      <c r="K84" s="207">
        <f t="shared" ref="K84:K147" si="10">D84*E84*J84/1000</f>
        <v>0</v>
      </c>
      <c r="L84" s="208">
        <f>K84*係数!$H$30</f>
        <v>0</v>
      </c>
      <c r="M84" s="35"/>
      <c r="N84" s="27"/>
      <c r="O84" s="27"/>
      <c r="P84" s="213"/>
      <c r="Q84" s="27"/>
      <c r="R84" s="462">
        <f t="shared" si="6"/>
        <v>0</v>
      </c>
      <c r="S84" s="12">
        <f t="shared" si="7"/>
        <v>0</v>
      </c>
      <c r="T84" s="208">
        <f>S84*係数!$H$30</f>
        <v>0</v>
      </c>
      <c r="U84" s="12">
        <f t="shared" si="8"/>
        <v>0</v>
      </c>
      <c r="V84" s="211">
        <f t="shared" si="8"/>
        <v>0</v>
      </c>
    </row>
    <row r="85" spans="2:22" x14ac:dyDescent="0.4">
      <c r="B85" s="194" t="s">
        <v>628</v>
      </c>
      <c r="C85" s="35"/>
      <c r="D85" s="291"/>
      <c r="E85" s="461"/>
      <c r="F85" s="212"/>
      <c r="G85" s="212"/>
      <c r="H85" s="213"/>
      <c r="I85" s="27"/>
      <c r="J85" s="207">
        <f t="shared" si="9"/>
        <v>0</v>
      </c>
      <c r="K85" s="207">
        <f t="shared" si="10"/>
        <v>0</v>
      </c>
      <c r="L85" s="208">
        <f>K85*係数!$H$30</f>
        <v>0</v>
      </c>
      <c r="M85" s="35"/>
      <c r="N85" s="27"/>
      <c r="O85" s="27"/>
      <c r="P85" s="213"/>
      <c r="Q85" s="27"/>
      <c r="R85" s="462">
        <f t="shared" si="6"/>
        <v>0</v>
      </c>
      <c r="S85" s="12">
        <f t="shared" si="7"/>
        <v>0</v>
      </c>
      <c r="T85" s="208">
        <f>S85*係数!$H$30</f>
        <v>0</v>
      </c>
      <c r="U85" s="12">
        <f t="shared" si="8"/>
        <v>0</v>
      </c>
      <c r="V85" s="211">
        <f t="shared" si="8"/>
        <v>0</v>
      </c>
    </row>
    <row r="86" spans="2:22" x14ac:dyDescent="0.4">
      <c r="B86" s="194" t="s">
        <v>629</v>
      </c>
      <c r="C86" s="35"/>
      <c r="D86" s="291"/>
      <c r="E86" s="461"/>
      <c r="F86" s="212"/>
      <c r="G86" s="212"/>
      <c r="H86" s="213"/>
      <c r="I86" s="27"/>
      <c r="J86" s="207">
        <f t="shared" si="9"/>
        <v>0</v>
      </c>
      <c r="K86" s="207">
        <f t="shared" si="10"/>
        <v>0</v>
      </c>
      <c r="L86" s="208">
        <f>K86*係数!$H$30</f>
        <v>0</v>
      </c>
      <c r="M86" s="35"/>
      <c r="N86" s="27"/>
      <c r="O86" s="27"/>
      <c r="P86" s="213"/>
      <c r="Q86" s="27"/>
      <c r="R86" s="462">
        <f t="shared" si="6"/>
        <v>0</v>
      </c>
      <c r="S86" s="12">
        <f t="shared" si="7"/>
        <v>0</v>
      </c>
      <c r="T86" s="208">
        <f>S86*係数!$H$30</f>
        <v>0</v>
      </c>
      <c r="U86" s="12">
        <f t="shared" si="8"/>
        <v>0</v>
      </c>
      <c r="V86" s="211">
        <f t="shared" si="8"/>
        <v>0</v>
      </c>
    </row>
    <row r="87" spans="2:22" x14ac:dyDescent="0.4">
      <c r="B87" s="194" t="s">
        <v>630</v>
      </c>
      <c r="C87" s="35"/>
      <c r="D87" s="291"/>
      <c r="E87" s="461"/>
      <c r="F87" s="212"/>
      <c r="G87" s="212"/>
      <c r="H87" s="213"/>
      <c r="I87" s="27"/>
      <c r="J87" s="207">
        <f t="shared" si="9"/>
        <v>0</v>
      </c>
      <c r="K87" s="207">
        <f t="shared" si="10"/>
        <v>0</v>
      </c>
      <c r="L87" s="208">
        <f>K87*係数!$H$30</f>
        <v>0</v>
      </c>
      <c r="M87" s="35"/>
      <c r="N87" s="27"/>
      <c r="O87" s="27"/>
      <c r="P87" s="213"/>
      <c r="Q87" s="27"/>
      <c r="R87" s="462">
        <f t="shared" si="6"/>
        <v>0</v>
      </c>
      <c r="S87" s="12">
        <f t="shared" si="7"/>
        <v>0</v>
      </c>
      <c r="T87" s="208">
        <f>S87*係数!$H$30</f>
        <v>0</v>
      </c>
      <c r="U87" s="12">
        <f t="shared" si="8"/>
        <v>0</v>
      </c>
      <c r="V87" s="211">
        <f t="shared" si="8"/>
        <v>0</v>
      </c>
    </row>
    <row r="88" spans="2:22" x14ac:dyDescent="0.4">
      <c r="B88" s="194" t="s">
        <v>631</v>
      </c>
      <c r="C88" s="35"/>
      <c r="D88" s="291"/>
      <c r="E88" s="461"/>
      <c r="F88" s="212"/>
      <c r="G88" s="212"/>
      <c r="H88" s="213"/>
      <c r="I88" s="27"/>
      <c r="J88" s="207">
        <f t="shared" si="9"/>
        <v>0</v>
      </c>
      <c r="K88" s="207">
        <f t="shared" si="10"/>
        <v>0</v>
      </c>
      <c r="L88" s="208">
        <f>K88*係数!$H$30</f>
        <v>0</v>
      </c>
      <c r="M88" s="35"/>
      <c r="N88" s="27"/>
      <c r="O88" s="27"/>
      <c r="P88" s="213"/>
      <c r="Q88" s="27"/>
      <c r="R88" s="462">
        <f t="shared" si="6"/>
        <v>0</v>
      </c>
      <c r="S88" s="12">
        <f t="shared" si="7"/>
        <v>0</v>
      </c>
      <c r="T88" s="208">
        <f>S88*係数!$H$30</f>
        <v>0</v>
      </c>
      <c r="U88" s="12">
        <f t="shared" si="8"/>
        <v>0</v>
      </c>
      <c r="V88" s="211">
        <f t="shared" si="8"/>
        <v>0</v>
      </c>
    </row>
    <row r="89" spans="2:22" x14ac:dyDescent="0.4">
      <c r="B89" s="194" t="s">
        <v>632</v>
      </c>
      <c r="C89" s="35"/>
      <c r="D89" s="291"/>
      <c r="E89" s="461"/>
      <c r="F89" s="212"/>
      <c r="G89" s="212"/>
      <c r="H89" s="213"/>
      <c r="I89" s="27"/>
      <c r="J89" s="207">
        <f t="shared" si="9"/>
        <v>0</v>
      </c>
      <c r="K89" s="207">
        <f t="shared" si="10"/>
        <v>0</v>
      </c>
      <c r="L89" s="208">
        <f>K89*係数!$H$30</f>
        <v>0</v>
      </c>
      <c r="M89" s="35"/>
      <c r="N89" s="27"/>
      <c r="O89" s="27"/>
      <c r="P89" s="213"/>
      <c r="Q89" s="27"/>
      <c r="R89" s="462">
        <f t="shared" si="6"/>
        <v>0</v>
      </c>
      <c r="S89" s="12">
        <f t="shared" si="7"/>
        <v>0</v>
      </c>
      <c r="T89" s="208">
        <f>S89*係数!$H$30</f>
        <v>0</v>
      </c>
      <c r="U89" s="12">
        <f t="shared" si="8"/>
        <v>0</v>
      </c>
      <c r="V89" s="211">
        <f t="shared" si="8"/>
        <v>0</v>
      </c>
    </row>
    <row r="90" spans="2:22" x14ac:dyDescent="0.4">
      <c r="B90" s="194" t="s">
        <v>633</v>
      </c>
      <c r="C90" s="35"/>
      <c r="D90" s="291"/>
      <c r="E90" s="461"/>
      <c r="F90" s="212"/>
      <c r="G90" s="212"/>
      <c r="H90" s="213"/>
      <c r="I90" s="27"/>
      <c r="J90" s="207">
        <f t="shared" si="9"/>
        <v>0</v>
      </c>
      <c r="K90" s="207">
        <f t="shared" si="10"/>
        <v>0</v>
      </c>
      <c r="L90" s="208">
        <f>K90*係数!$H$30</f>
        <v>0</v>
      </c>
      <c r="M90" s="35"/>
      <c r="N90" s="27"/>
      <c r="O90" s="27"/>
      <c r="P90" s="213"/>
      <c r="Q90" s="27"/>
      <c r="R90" s="462">
        <f t="shared" si="6"/>
        <v>0</v>
      </c>
      <c r="S90" s="12">
        <f t="shared" si="7"/>
        <v>0</v>
      </c>
      <c r="T90" s="208">
        <f>S90*係数!$H$30</f>
        <v>0</v>
      </c>
      <c r="U90" s="12">
        <f t="shared" si="8"/>
        <v>0</v>
      </c>
      <c r="V90" s="211">
        <f t="shared" si="8"/>
        <v>0</v>
      </c>
    </row>
    <row r="91" spans="2:22" x14ac:dyDescent="0.4">
      <c r="B91" s="194" t="s">
        <v>634</v>
      </c>
      <c r="C91" s="35"/>
      <c r="D91" s="291"/>
      <c r="E91" s="461"/>
      <c r="F91" s="212"/>
      <c r="G91" s="212"/>
      <c r="H91" s="213"/>
      <c r="I91" s="27"/>
      <c r="J91" s="207">
        <f t="shared" si="9"/>
        <v>0</v>
      </c>
      <c r="K91" s="207">
        <f t="shared" si="10"/>
        <v>0</v>
      </c>
      <c r="L91" s="208">
        <f>K91*係数!$H$30</f>
        <v>0</v>
      </c>
      <c r="M91" s="35"/>
      <c r="N91" s="27"/>
      <c r="O91" s="27"/>
      <c r="P91" s="213"/>
      <c r="Q91" s="27"/>
      <c r="R91" s="462">
        <f t="shared" si="6"/>
        <v>0</v>
      </c>
      <c r="S91" s="12">
        <f t="shared" si="7"/>
        <v>0</v>
      </c>
      <c r="T91" s="208">
        <f>S91*係数!$H$30</f>
        <v>0</v>
      </c>
      <c r="U91" s="12">
        <f t="shared" si="8"/>
        <v>0</v>
      </c>
      <c r="V91" s="211">
        <f t="shared" si="8"/>
        <v>0</v>
      </c>
    </row>
    <row r="92" spans="2:22" x14ac:dyDescent="0.4">
      <c r="B92" s="194" t="s">
        <v>635</v>
      </c>
      <c r="C92" s="35"/>
      <c r="D92" s="291"/>
      <c r="E92" s="461"/>
      <c r="F92" s="212"/>
      <c r="G92" s="212"/>
      <c r="H92" s="213"/>
      <c r="I92" s="27"/>
      <c r="J92" s="207">
        <f t="shared" si="9"/>
        <v>0</v>
      </c>
      <c r="K92" s="207">
        <f t="shared" si="10"/>
        <v>0</v>
      </c>
      <c r="L92" s="208">
        <f>K92*係数!$H$30</f>
        <v>0</v>
      </c>
      <c r="M92" s="35"/>
      <c r="N92" s="27"/>
      <c r="O92" s="27"/>
      <c r="P92" s="213"/>
      <c r="Q92" s="27"/>
      <c r="R92" s="462">
        <f t="shared" si="6"/>
        <v>0</v>
      </c>
      <c r="S92" s="12">
        <f t="shared" si="7"/>
        <v>0</v>
      </c>
      <c r="T92" s="208">
        <f>S92*係数!$H$30</f>
        <v>0</v>
      </c>
      <c r="U92" s="12">
        <f t="shared" si="8"/>
        <v>0</v>
      </c>
      <c r="V92" s="211">
        <f t="shared" si="8"/>
        <v>0</v>
      </c>
    </row>
    <row r="93" spans="2:22" x14ac:dyDescent="0.4">
      <c r="B93" s="194" t="s">
        <v>636</v>
      </c>
      <c r="C93" s="35"/>
      <c r="D93" s="291"/>
      <c r="E93" s="461"/>
      <c r="F93" s="212"/>
      <c r="G93" s="212"/>
      <c r="H93" s="213"/>
      <c r="I93" s="27"/>
      <c r="J93" s="207">
        <f t="shared" si="9"/>
        <v>0</v>
      </c>
      <c r="K93" s="207">
        <f t="shared" si="10"/>
        <v>0</v>
      </c>
      <c r="L93" s="208">
        <f>K93*係数!$H$30</f>
        <v>0</v>
      </c>
      <c r="M93" s="35"/>
      <c r="N93" s="27"/>
      <c r="O93" s="27"/>
      <c r="P93" s="213"/>
      <c r="Q93" s="27"/>
      <c r="R93" s="462">
        <f t="shared" si="6"/>
        <v>0</v>
      </c>
      <c r="S93" s="12">
        <f t="shared" si="7"/>
        <v>0</v>
      </c>
      <c r="T93" s="208">
        <f>S93*係数!$H$30</f>
        <v>0</v>
      </c>
      <c r="U93" s="12">
        <f t="shared" si="8"/>
        <v>0</v>
      </c>
      <c r="V93" s="211">
        <f t="shared" si="8"/>
        <v>0</v>
      </c>
    </row>
    <row r="94" spans="2:22" x14ac:dyDescent="0.4">
      <c r="B94" s="194" t="s">
        <v>637</v>
      </c>
      <c r="C94" s="35"/>
      <c r="D94" s="291"/>
      <c r="E94" s="461"/>
      <c r="F94" s="212"/>
      <c r="G94" s="212"/>
      <c r="H94" s="213"/>
      <c r="I94" s="27"/>
      <c r="J94" s="207">
        <f t="shared" si="9"/>
        <v>0</v>
      </c>
      <c r="K94" s="207">
        <f t="shared" si="10"/>
        <v>0</v>
      </c>
      <c r="L94" s="208">
        <f>K94*係数!$H$30</f>
        <v>0</v>
      </c>
      <c r="M94" s="35"/>
      <c r="N94" s="27"/>
      <c r="O94" s="27"/>
      <c r="P94" s="213"/>
      <c r="Q94" s="27"/>
      <c r="R94" s="462">
        <f t="shared" si="6"/>
        <v>0</v>
      </c>
      <c r="S94" s="12">
        <f t="shared" si="7"/>
        <v>0</v>
      </c>
      <c r="T94" s="208">
        <f>S94*係数!$H$30</f>
        <v>0</v>
      </c>
      <c r="U94" s="12">
        <f t="shared" si="8"/>
        <v>0</v>
      </c>
      <c r="V94" s="211">
        <f t="shared" si="8"/>
        <v>0</v>
      </c>
    </row>
    <row r="95" spans="2:22" x14ac:dyDescent="0.4">
      <c r="B95" s="194" t="s">
        <v>638</v>
      </c>
      <c r="C95" s="35"/>
      <c r="D95" s="291"/>
      <c r="E95" s="461"/>
      <c r="F95" s="212"/>
      <c r="G95" s="212"/>
      <c r="H95" s="213"/>
      <c r="I95" s="27"/>
      <c r="J95" s="207">
        <f t="shared" si="9"/>
        <v>0</v>
      </c>
      <c r="K95" s="207">
        <f t="shared" si="10"/>
        <v>0</v>
      </c>
      <c r="L95" s="208">
        <f>K95*係数!$H$30</f>
        <v>0</v>
      </c>
      <c r="M95" s="35"/>
      <c r="N95" s="27"/>
      <c r="O95" s="27"/>
      <c r="P95" s="213"/>
      <c r="Q95" s="27"/>
      <c r="R95" s="462">
        <f t="shared" si="6"/>
        <v>0</v>
      </c>
      <c r="S95" s="12">
        <f t="shared" si="7"/>
        <v>0</v>
      </c>
      <c r="T95" s="208">
        <f>S95*係数!$H$30</f>
        <v>0</v>
      </c>
      <c r="U95" s="12">
        <f t="shared" si="8"/>
        <v>0</v>
      </c>
      <c r="V95" s="211">
        <f t="shared" si="8"/>
        <v>0</v>
      </c>
    </row>
    <row r="96" spans="2:22" x14ac:dyDescent="0.4">
      <c r="B96" s="194" t="s">
        <v>639</v>
      </c>
      <c r="C96" s="35"/>
      <c r="D96" s="291"/>
      <c r="E96" s="461"/>
      <c r="F96" s="212"/>
      <c r="G96" s="212"/>
      <c r="H96" s="213"/>
      <c r="I96" s="27"/>
      <c r="J96" s="207">
        <f t="shared" si="9"/>
        <v>0</v>
      </c>
      <c r="K96" s="207">
        <f t="shared" si="10"/>
        <v>0</v>
      </c>
      <c r="L96" s="208">
        <f>K96*係数!$H$30</f>
        <v>0</v>
      </c>
      <c r="M96" s="35"/>
      <c r="N96" s="27"/>
      <c r="O96" s="27"/>
      <c r="P96" s="213"/>
      <c r="Q96" s="27"/>
      <c r="R96" s="462">
        <f t="shared" si="6"/>
        <v>0</v>
      </c>
      <c r="S96" s="12">
        <f t="shared" si="7"/>
        <v>0</v>
      </c>
      <c r="T96" s="208">
        <f>S96*係数!$H$30</f>
        <v>0</v>
      </c>
      <c r="U96" s="12">
        <f t="shared" si="8"/>
        <v>0</v>
      </c>
      <c r="V96" s="211">
        <f t="shared" si="8"/>
        <v>0</v>
      </c>
    </row>
    <row r="97" spans="2:22" x14ac:dyDescent="0.4">
      <c r="B97" s="194" t="s">
        <v>640</v>
      </c>
      <c r="C97" s="35"/>
      <c r="D97" s="291"/>
      <c r="E97" s="461"/>
      <c r="F97" s="212"/>
      <c r="G97" s="212"/>
      <c r="H97" s="213"/>
      <c r="I97" s="27"/>
      <c r="J97" s="207">
        <f t="shared" si="9"/>
        <v>0</v>
      </c>
      <c r="K97" s="207">
        <f t="shared" si="10"/>
        <v>0</v>
      </c>
      <c r="L97" s="208">
        <f>K97*係数!$H$30</f>
        <v>0</v>
      </c>
      <c r="M97" s="35"/>
      <c r="N97" s="27"/>
      <c r="O97" s="27"/>
      <c r="P97" s="213"/>
      <c r="Q97" s="27"/>
      <c r="R97" s="462">
        <f t="shared" si="6"/>
        <v>0</v>
      </c>
      <c r="S97" s="12">
        <f t="shared" si="7"/>
        <v>0</v>
      </c>
      <c r="T97" s="208">
        <f>S97*係数!$H$30</f>
        <v>0</v>
      </c>
      <c r="U97" s="12">
        <f t="shared" si="8"/>
        <v>0</v>
      </c>
      <c r="V97" s="211">
        <f t="shared" si="8"/>
        <v>0</v>
      </c>
    </row>
    <row r="98" spans="2:22" x14ac:dyDescent="0.4">
      <c r="B98" s="194" t="s">
        <v>641</v>
      </c>
      <c r="C98" s="35"/>
      <c r="D98" s="291"/>
      <c r="E98" s="461"/>
      <c r="F98" s="212"/>
      <c r="G98" s="212"/>
      <c r="H98" s="213"/>
      <c r="I98" s="27"/>
      <c r="J98" s="207">
        <f t="shared" si="9"/>
        <v>0</v>
      </c>
      <c r="K98" s="207">
        <f t="shared" si="10"/>
        <v>0</v>
      </c>
      <c r="L98" s="208">
        <f>K98*係数!$H$30</f>
        <v>0</v>
      </c>
      <c r="M98" s="35"/>
      <c r="N98" s="27"/>
      <c r="O98" s="27"/>
      <c r="P98" s="213"/>
      <c r="Q98" s="27"/>
      <c r="R98" s="462">
        <f t="shared" si="6"/>
        <v>0</v>
      </c>
      <c r="S98" s="12">
        <f t="shared" si="7"/>
        <v>0</v>
      </c>
      <c r="T98" s="208">
        <f>S98*係数!$H$30</f>
        <v>0</v>
      </c>
      <c r="U98" s="12">
        <f t="shared" si="8"/>
        <v>0</v>
      </c>
      <c r="V98" s="211">
        <f t="shared" si="8"/>
        <v>0</v>
      </c>
    </row>
    <row r="99" spans="2:22" x14ac:dyDescent="0.4">
      <c r="B99" s="194" t="s">
        <v>642</v>
      </c>
      <c r="C99" s="35"/>
      <c r="D99" s="291"/>
      <c r="E99" s="461"/>
      <c r="F99" s="212"/>
      <c r="G99" s="212"/>
      <c r="H99" s="213"/>
      <c r="I99" s="27"/>
      <c r="J99" s="207">
        <f t="shared" si="9"/>
        <v>0</v>
      </c>
      <c r="K99" s="207">
        <f t="shared" si="10"/>
        <v>0</v>
      </c>
      <c r="L99" s="208">
        <f>K99*係数!$H$30</f>
        <v>0</v>
      </c>
      <c r="M99" s="35"/>
      <c r="N99" s="27"/>
      <c r="O99" s="27"/>
      <c r="P99" s="213"/>
      <c r="Q99" s="27"/>
      <c r="R99" s="462">
        <f t="shared" si="6"/>
        <v>0</v>
      </c>
      <c r="S99" s="12">
        <f t="shared" si="7"/>
        <v>0</v>
      </c>
      <c r="T99" s="208">
        <f>S99*係数!$H$30</f>
        <v>0</v>
      </c>
      <c r="U99" s="12">
        <f t="shared" si="8"/>
        <v>0</v>
      </c>
      <c r="V99" s="211">
        <f t="shared" si="8"/>
        <v>0</v>
      </c>
    </row>
    <row r="100" spans="2:22" x14ac:dyDescent="0.4">
      <c r="B100" s="194" t="s">
        <v>643</v>
      </c>
      <c r="C100" s="35"/>
      <c r="D100" s="291"/>
      <c r="E100" s="461"/>
      <c r="F100" s="212"/>
      <c r="G100" s="212"/>
      <c r="H100" s="213"/>
      <c r="I100" s="27"/>
      <c r="J100" s="207">
        <f t="shared" si="9"/>
        <v>0</v>
      </c>
      <c r="K100" s="207">
        <f t="shared" si="10"/>
        <v>0</v>
      </c>
      <c r="L100" s="208">
        <f>K100*係数!$H$30</f>
        <v>0</v>
      </c>
      <c r="M100" s="35"/>
      <c r="N100" s="27"/>
      <c r="O100" s="27"/>
      <c r="P100" s="213"/>
      <c r="Q100" s="27"/>
      <c r="R100" s="462">
        <f t="shared" si="6"/>
        <v>0</v>
      </c>
      <c r="S100" s="12">
        <f t="shared" si="7"/>
        <v>0</v>
      </c>
      <c r="T100" s="208">
        <f>S100*係数!$H$30</f>
        <v>0</v>
      </c>
      <c r="U100" s="12">
        <f t="shared" si="8"/>
        <v>0</v>
      </c>
      <c r="V100" s="211">
        <f t="shared" si="8"/>
        <v>0</v>
      </c>
    </row>
    <row r="101" spans="2:22" x14ac:dyDescent="0.4">
      <c r="B101" s="194" t="s">
        <v>644</v>
      </c>
      <c r="C101" s="35"/>
      <c r="D101" s="291"/>
      <c r="E101" s="461"/>
      <c r="F101" s="212"/>
      <c r="G101" s="212"/>
      <c r="H101" s="213"/>
      <c r="I101" s="27"/>
      <c r="J101" s="207">
        <f t="shared" si="9"/>
        <v>0</v>
      </c>
      <c r="K101" s="207">
        <f t="shared" si="10"/>
        <v>0</v>
      </c>
      <c r="L101" s="208">
        <f>K101*係数!$H$30</f>
        <v>0</v>
      </c>
      <c r="M101" s="35"/>
      <c r="N101" s="27"/>
      <c r="O101" s="27"/>
      <c r="P101" s="213"/>
      <c r="Q101" s="27"/>
      <c r="R101" s="462">
        <f t="shared" si="6"/>
        <v>0</v>
      </c>
      <c r="S101" s="12">
        <f t="shared" si="7"/>
        <v>0</v>
      </c>
      <c r="T101" s="208">
        <f>S101*係数!$H$30</f>
        <v>0</v>
      </c>
      <c r="U101" s="12">
        <f t="shared" si="8"/>
        <v>0</v>
      </c>
      <c r="V101" s="211">
        <f t="shared" si="8"/>
        <v>0</v>
      </c>
    </row>
    <row r="102" spans="2:22" x14ac:dyDescent="0.4">
      <c r="B102" s="194" t="s">
        <v>645</v>
      </c>
      <c r="C102" s="35"/>
      <c r="D102" s="291"/>
      <c r="E102" s="461"/>
      <c r="F102" s="212"/>
      <c r="G102" s="212"/>
      <c r="H102" s="213"/>
      <c r="I102" s="27"/>
      <c r="J102" s="207">
        <f t="shared" si="9"/>
        <v>0</v>
      </c>
      <c r="K102" s="207">
        <f t="shared" si="10"/>
        <v>0</v>
      </c>
      <c r="L102" s="208">
        <f>K102*係数!$H$30</f>
        <v>0</v>
      </c>
      <c r="M102" s="35"/>
      <c r="N102" s="27"/>
      <c r="O102" s="27"/>
      <c r="P102" s="213"/>
      <c r="Q102" s="27"/>
      <c r="R102" s="462">
        <f t="shared" si="6"/>
        <v>0</v>
      </c>
      <c r="S102" s="12">
        <f t="shared" si="7"/>
        <v>0</v>
      </c>
      <c r="T102" s="208">
        <f>S102*係数!$H$30</f>
        <v>0</v>
      </c>
      <c r="U102" s="12">
        <f t="shared" si="8"/>
        <v>0</v>
      </c>
      <c r="V102" s="211">
        <f t="shared" si="8"/>
        <v>0</v>
      </c>
    </row>
    <row r="103" spans="2:22" x14ac:dyDescent="0.4">
      <c r="B103" s="194" t="s">
        <v>646</v>
      </c>
      <c r="C103" s="35"/>
      <c r="D103" s="291"/>
      <c r="E103" s="461"/>
      <c r="F103" s="212"/>
      <c r="G103" s="212"/>
      <c r="H103" s="213"/>
      <c r="I103" s="27"/>
      <c r="J103" s="207">
        <f t="shared" si="9"/>
        <v>0</v>
      </c>
      <c r="K103" s="207">
        <f t="shared" si="10"/>
        <v>0</v>
      </c>
      <c r="L103" s="208">
        <f>K103*係数!$H$30</f>
        <v>0</v>
      </c>
      <c r="M103" s="35"/>
      <c r="N103" s="27"/>
      <c r="O103" s="27"/>
      <c r="P103" s="213"/>
      <c r="Q103" s="27"/>
      <c r="R103" s="462">
        <f t="shared" si="6"/>
        <v>0</v>
      </c>
      <c r="S103" s="12">
        <f t="shared" si="7"/>
        <v>0</v>
      </c>
      <c r="T103" s="208">
        <f>S103*係数!$H$30</f>
        <v>0</v>
      </c>
      <c r="U103" s="12">
        <f t="shared" si="8"/>
        <v>0</v>
      </c>
      <c r="V103" s="211">
        <f t="shared" si="8"/>
        <v>0</v>
      </c>
    </row>
    <row r="104" spans="2:22" x14ac:dyDescent="0.4">
      <c r="B104" s="194" t="s">
        <v>647</v>
      </c>
      <c r="C104" s="35"/>
      <c r="D104" s="291"/>
      <c r="E104" s="461"/>
      <c r="F104" s="212"/>
      <c r="G104" s="212"/>
      <c r="H104" s="213"/>
      <c r="I104" s="27"/>
      <c r="J104" s="207">
        <f t="shared" si="9"/>
        <v>0</v>
      </c>
      <c r="K104" s="207">
        <f t="shared" si="10"/>
        <v>0</v>
      </c>
      <c r="L104" s="208">
        <f>K104*係数!$H$30</f>
        <v>0</v>
      </c>
      <c r="M104" s="35"/>
      <c r="N104" s="27"/>
      <c r="O104" s="27"/>
      <c r="P104" s="213"/>
      <c r="Q104" s="27"/>
      <c r="R104" s="462">
        <f t="shared" si="6"/>
        <v>0</v>
      </c>
      <c r="S104" s="12">
        <f t="shared" si="7"/>
        <v>0</v>
      </c>
      <c r="T104" s="208">
        <f>S104*係数!$H$30</f>
        <v>0</v>
      </c>
      <c r="U104" s="12">
        <f t="shared" si="8"/>
        <v>0</v>
      </c>
      <c r="V104" s="211">
        <f t="shared" si="8"/>
        <v>0</v>
      </c>
    </row>
    <row r="105" spans="2:22" x14ac:dyDescent="0.4">
      <c r="B105" s="194" t="s">
        <v>648</v>
      </c>
      <c r="C105" s="35"/>
      <c r="D105" s="291"/>
      <c r="E105" s="461"/>
      <c r="F105" s="212"/>
      <c r="G105" s="212"/>
      <c r="H105" s="213"/>
      <c r="I105" s="27"/>
      <c r="J105" s="207">
        <f t="shared" si="9"/>
        <v>0</v>
      </c>
      <c r="K105" s="207">
        <f t="shared" si="10"/>
        <v>0</v>
      </c>
      <c r="L105" s="208">
        <f>K105*係数!$H$30</f>
        <v>0</v>
      </c>
      <c r="M105" s="35"/>
      <c r="N105" s="27"/>
      <c r="O105" s="27"/>
      <c r="P105" s="213"/>
      <c r="Q105" s="27"/>
      <c r="R105" s="462">
        <f t="shared" si="6"/>
        <v>0</v>
      </c>
      <c r="S105" s="12">
        <f t="shared" si="7"/>
        <v>0</v>
      </c>
      <c r="T105" s="208">
        <f>S105*係数!$H$30</f>
        <v>0</v>
      </c>
      <c r="U105" s="12">
        <f t="shared" si="8"/>
        <v>0</v>
      </c>
      <c r="V105" s="211">
        <f t="shared" si="8"/>
        <v>0</v>
      </c>
    </row>
    <row r="106" spans="2:22" x14ac:dyDescent="0.4">
      <c r="B106" s="194" t="s">
        <v>649</v>
      </c>
      <c r="C106" s="35"/>
      <c r="D106" s="291"/>
      <c r="E106" s="461"/>
      <c r="F106" s="212"/>
      <c r="G106" s="212"/>
      <c r="H106" s="213"/>
      <c r="I106" s="27"/>
      <c r="J106" s="207">
        <f t="shared" si="9"/>
        <v>0</v>
      </c>
      <c r="K106" s="207">
        <f t="shared" si="10"/>
        <v>0</v>
      </c>
      <c r="L106" s="208">
        <f>K106*係数!$H$30</f>
        <v>0</v>
      </c>
      <c r="M106" s="35"/>
      <c r="N106" s="27"/>
      <c r="O106" s="27"/>
      <c r="P106" s="213"/>
      <c r="Q106" s="27"/>
      <c r="R106" s="462">
        <f t="shared" si="6"/>
        <v>0</v>
      </c>
      <c r="S106" s="12">
        <f t="shared" si="7"/>
        <v>0</v>
      </c>
      <c r="T106" s="208">
        <f>S106*係数!$H$30</f>
        <v>0</v>
      </c>
      <c r="U106" s="12">
        <f t="shared" si="8"/>
        <v>0</v>
      </c>
      <c r="V106" s="211">
        <f t="shared" si="8"/>
        <v>0</v>
      </c>
    </row>
    <row r="107" spans="2:22" x14ac:dyDescent="0.4">
      <c r="B107" s="194" t="s">
        <v>650</v>
      </c>
      <c r="C107" s="35"/>
      <c r="D107" s="291"/>
      <c r="E107" s="461"/>
      <c r="F107" s="212"/>
      <c r="G107" s="212"/>
      <c r="H107" s="213"/>
      <c r="I107" s="27"/>
      <c r="J107" s="207">
        <f t="shared" si="9"/>
        <v>0</v>
      </c>
      <c r="K107" s="207">
        <f t="shared" si="10"/>
        <v>0</v>
      </c>
      <c r="L107" s="208">
        <f>K107*係数!$H$30</f>
        <v>0</v>
      </c>
      <c r="M107" s="35"/>
      <c r="N107" s="27"/>
      <c r="O107" s="27"/>
      <c r="P107" s="213"/>
      <c r="Q107" s="27"/>
      <c r="R107" s="462">
        <f t="shared" si="6"/>
        <v>0</v>
      </c>
      <c r="S107" s="12">
        <f t="shared" si="7"/>
        <v>0</v>
      </c>
      <c r="T107" s="208">
        <f>S107*係数!$H$30</f>
        <v>0</v>
      </c>
      <c r="U107" s="12">
        <f t="shared" si="8"/>
        <v>0</v>
      </c>
      <c r="V107" s="211">
        <f t="shared" si="8"/>
        <v>0</v>
      </c>
    </row>
    <row r="108" spans="2:22" x14ac:dyDescent="0.4">
      <c r="B108" s="194" t="s">
        <v>651</v>
      </c>
      <c r="C108" s="35"/>
      <c r="D108" s="291"/>
      <c r="E108" s="461"/>
      <c r="F108" s="212"/>
      <c r="G108" s="212"/>
      <c r="H108" s="213"/>
      <c r="I108" s="27"/>
      <c r="J108" s="207">
        <f t="shared" si="9"/>
        <v>0</v>
      </c>
      <c r="K108" s="207">
        <f t="shared" si="10"/>
        <v>0</v>
      </c>
      <c r="L108" s="208">
        <f>K108*係数!$H$30</f>
        <v>0</v>
      </c>
      <c r="M108" s="35"/>
      <c r="N108" s="27"/>
      <c r="O108" s="27"/>
      <c r="P108" s="213"/>
      <c r="Q108" s="27"/>
      <c r="R108" s="462">
        <f t="shared" si="6"/>
        <v>0</v>
      </c>
      <c r="S108" s="12">
        <f t="shared" si="7"/>
        <v>0</v>
      </c>
      <c r="T108" s="208">
        <f>S108*係数!$H$30</f>
        <v>0</v>
      </c>
      <c r="U108" s="12">
        <f t="shared" si="8"/>
        <v>0</v>
      </c>
      <c r="V108" s="211">
        <f t="shared" si="8"/>
        <v>0</v>
      </c>
    </row>
    <row r="109" spans="2:22" x14ac:dyDescent="0.4">
      <c r="B109" s="194" t="s">
        <v>652</v>
      </c>
      <c r="C109" s="35"/>
      <c r="D109" s="291"/>
      <c r="E109" s="461"/>
      <c r="F109" s="212"/>
      <c r="G109" s="212"/>
      <c r="H109" s="213"/>
      <c r="I109" s="27"/>
      <c r="J109" s="207">
        <f t="shared" si="9"/>
        <v>0</v>
      </c>
      <c r="K109" s="207">
        <f t="shared" si="10"/>
        <v>0</v>
      </c>
      <c r="L109" s="208">
        <f>K109*係数!$H$30</f>
        <v>0</v>
      </c>
      <c r="M109" s="35"/>
      <c r="N109" s="27"/>
      <c r="O109" s="27"/>
      <c r="P109" s="213"/>
      <c r="Q109" s="27"/>
      <c r="R109" s="462">
        <f t="shared" si="6"/>
        <v>0</v>
      </c>
      <c r="S109" s="12">
        <f t="shared" si="7"/>
        <v>0</v>
      </c>
      <c r="T109" s="208">
        <f>S109*係数!$H$30</f>
        <v>0</v>
      </c>
      <c r="U109" s="12">
        <f t="shared" si="8"/>
        <v>0</v>
      </c>
      <c r="V109" s="211">
        <f t="shared" si="8"/>
        <v>0</v>
      </c>
    </row>
    <row r="110" spans="2:22" x14ac:dyDescent="0.4">
      <c r="B110" s="194" t="s">
        <v>653</v>
      </c>
      <c r="C110" s="35"/>
      <c r="D110" s="291"/>
      <c r="E110" s="461"/>
      <c r="F110" s="212"/>
      <c r="G110" s="212"/>
      <c r="H110" s="213"/>
      <c r="I110" s="27"/>
      <c r="J110" s="207">
        <f t="shared" si="9"/>
        <v>0</v>
      </c>
      <c r="K110" s="207">
        <f t="shared" si="10"/>
        <v>0</v>
      </c>
      <c r="L110" s="208">
        <f>K110*係数!$H$30</f>
        <v>0</v>
      </c>
      <c r="M110" s="35"/>
      <c r="N110" s="27"/>
      <c r="O110" s="27"/>
      <c r="P110" s="213"/>
      <c r="Q110" s="27"/>
      <c r="R110" s="462">
        <f t="shared" si="6"/>
        <v>0</v>
      </c>
      <c r="S110" s="12">
        <f t="shared" si="7"/>
        <v>0</v>
      </c>
      <c r="T110" s="208">
        <f>S110*係数!$H$30</f>
        <v>0</v>
      </c>
      <c r="U110" s="12">
        <f t="shared" si="8"/>
        <v>0</v>
      </c>
      <c r="V110" s="211">
        <f t="shared" si="8"/>
        <v>0</v>
      </c>
    </row>
    <row r="111" spans="2:22" x14ac:dyDescent="0.4">
      <c r="B111" s="194" t="s">
        <v>654</v>
      </c>
      <c r="C111" s="35"/>
      <c r="D111" s="291"/>
      <c r="E111" s="461"/>
      <c r="F111" s="212"/>
      <c r="G111" s="212"/>
      <c r="H111" s="213"/>
      <c r="I111" s="27"/>
      <c r="J111" s="207">
        <f t="shared" si="9"/>
        <v>0</v>
      </c>
      <c r="K111" s="207">
        <f t="shared" si="10"/>
        <v>0</v>
      </c>
      <c r="L111" s="208">
        <f>K111*係数!$H$30</f>
        <v>0</v>
      </c>
      <c r="M111" s="35"/>
      <c r="N111" s="27"/>
      <c r="O111" s="27"/>
      <c r="P111" s="213"/>
      <c r="Q111" s="27"/>
      <c r="R111" s="462">
        <f t="shared" si="6"/>
        <v>0</v>
      </c>
      <c r="S111" s="12">
        <f t="shared" si="7"/>
        <v>0</v>
      </c>
      <c r="T111" s="208">
        <f>S111*係数!$H$30</f>
        <v>0</v>
      </c>
      <c r="U111" s="12">
        <f t="shared" si="8"/>
        <v>0</v>
      </c>
      <c r="V111" s="211">
        <f t="shared" si="8"/>
        <v>0</v>
      </c>
    </row>
    <row r="112" spans="2:22" x14ac:dyDescent="0.4">
      <c r="B112" s="194" t="s">
        <v>655</v>
      </c>
      <c r="C112" s="35"/>
      <c r="D112" s="291"/>
      <c r="E112" s="461"/>
      <c r="F112" s="212"/>
      <c r="G112" s="212"/>
      <c r="H112" s="213"/>
      <c r="I112" s="27"/>
      <c r="J112" s="207">
        <f t="shared" si="9"/>
        <v>0</v>
      </c>
      <c r="K112" s="207">
        <f t="shared" si="10"/>
        <v>0</v>
      </c>
      <c r="L112" s="208">
        <f>K112*係数!$H$30</f>
        <v>0</v>
      </c>
      <c r="M112" s="35"/>
      <c r="N112" s="27"/>
      <c r="O112" s="27"/>
      <c r="P112" s="213"/>
      <c r="Q112" s="27"/>
      <c r="R112" s="462">
        <f t="shared" si="6"/>
        <v>0</v>
      </c>
      <c r="S112" s="12">
        <f t="shared" si="7"/>
        <v>0</v>
      </c>
      <c r="T112" s="208">
        <f>S112*係数!$H$30</f>
        <v>0</v>
      </c>
      <c r="U112" s="12">
        <f t="shared" si="8"/>
        <v>0</v>
      </c>
      <c r="V112" s="211">
        <f t="shared" si="8"/>
        <v>0</v>
      </c>
    </row>
    <row r="113" spans="2:22" x14ac:dyDescent="0.4">
      <c r="B113" s="194" t="s">
        <v>656</v>
      </c>
      <c r="C113" s="35"/>
      <c r="D113" s="291"/>
      <c r="E113" s="461"/>
      <c r="F113" s="212"/>
      <c r="G113" s="212"/>
      <c r="H113" s="213"/>
      <c r="I113" s="27"/>
      <c r="J113" s="207">
        <f t="shared" si="9"/>
        <v>0</v>
      </c>
      <c r="K113" s="207">
        <f t="shared" si="10"/>
        <v>0</v>
      </c>
      <c r="L113" s="208">
        <f>K113*係数!$H$30</f>
        <v>0</v>
      </c>
      <c r="M113" s="35"/>
      <c r="N113" s="27"/>
      <c r="O113" s="27"/>
      <c r="P113" s="213"/>
      <c r="Q113" s="27"/>
      <c r="R113" s="462">
        <f t="shared" si="6"/>
        <v>0</v>
      </c>
      <c r="S113" s="12">
        <f t="shared" si="7"/>
        <v>0</v>
      </c>
      <c r="T113" s="208">
        <f>S113*係数!$H$30</f>
        <v>0</v>
      </c>
      <c r="U113" s="12">
        <f t="shared" si="8"/>
        <v>0</v>
      </c>
      <c r="V113" s="211">
        <f t="shared" si="8"/>
        <v>0</v>
      </c>
    </row>
    <row r="114" spans="2:22" x14ac:dyDescent="0.4">
      <c r="B114" s="194" t="s">
        <v>657</v>
      </c>
      <c r="C114" s="35"/>
      <c r="D114" s="291"/>
      <c r="E114" s="461"/>
      <c r="F114" s="212"/>
      <c r="G114" s="212"/>
      <c r="H114" s="213"/>
      <c r="I114" s="27"/>
      <c r="J114" s="207">
        <f t="shared" si="9"/>
        <v>0</v>
      </c>
      <c r="K114" s="207">
        <f t="shared" si="10"/>
        <v>0</v>
      </c>
      <c r="L114" s="208">
        <f>K114*係数!$H$30</f>
        <v>0</v>
      </c>
      <c r="M114" s="35"/>
      <c r="N114" s="27"/>
      <c r="O114" s="27"/>
      <c r="P114" s="213"/>
      <c r="Q114" s="27"/>
      <c r="R114" s="462">
        <f t="shared" si="6"/>
        <v>0</v>
      </c>
      <c r="S114" s="12">
        <f t="shared" si="7"/>
        <v>0</v>
      </c>
      <c r="T114" s="208">
        <f>S114*係数!$H$30</f>
        <v>0</v>
      </c>
      <c r="U114" s="12">
        <f t="shared" si="8"/>
        <v>0</v>
      </c>
      <c r="V114" s="211">
        <f t="shared" si="8"/>
        <v>0</v>
      </c>
    </row>
    <row r="115" spans="2:22" x14ac:dyDescent="0.4">
      <c r="B115" s="194" t="s">
        <v>658</v>
      </c>
      <c r="C115" s="35"/>
      <c r="D115" s="291"/>
      <c r="E115" s="461"/>
      <c r="F115" s="212"/>
      <c r="G115" s="212"/>
      <c r="H115" s="213"/>
      <c r="I115" s="27"/>
      <c r="J115" s="207">
        <f t="shared" si="9"/>
        <v>0</v>
      </c>
      <c r="K115" s="207">
        <f t="shared" si="10"/>
        <v>0</v>
      </c>
      <c r="L115" s="208">
        <f>K115*係数!$H$30</f>
        <v>0</v>
      </c>
      <c r="M115" s="35"/>
      <c r="N115" s="27"/>
      <c r="O115" s="27"/>
      <c r="P115" s="213"/>
      <c r="Q115" s="27"/>
      <c r="R115" s="462">
        <f t="shared" si="6"/>
        <v>0</v>
      </c>
      <c r="S115" s="12">
        <f t="shared" si="7"/>
        <v>0</v>
      </c>
      <c r="T115" s="208">
        <f>S115*係数!$H$30</f>
        <v>0</v>
      </c>
      <c r="U115" s="12">
        <f t="shared" si="8"/>
        <v>0</v>
      </c>
      <c r="V115" s="211">
        <f t="shared" si="8"/>
        <v>0</v>
      </c>
    </row>
    <row r="116" spans="2:22" x14ac:dyDescent="0.4">
      <c r="B116" s="194" t="s">
        <v>659</v>
      </c>
      <c r="C116" s="35"/>
      <c r="D116" s="291"/>
      <c r="E116" s="461"/>
      <c r="F116" s="212"/>
      <c r="G116" s="212"/>
      <c r="H116" s="213"/>
      <c r="I116" s="27"/>
      <c r="J116" s="207">
        <f t="shared" si="9"/>
        <v>0</v>
      </c>
      <c r="K116" s="207">
        <f t="shared" si="10"/>
        <v>0</v>
      </c>
      <c r="L116" s="208">
        <f>K116*係数!$H$30</f>
        <v>0</v>
      </c>
      <c r="M116" s="35"/>
      <c r="N116" s="27"/>
      <c r="O116" s="27"/>
      <c r="P116" s="213"/>
      <c r="Q116" s="27"/>
      <c r="R116" s="462">
        <f t="shared" si="6"/>
        <v>0</v>
      </c>
      <c r="S116" s="12">
        <f t="shared" si="7"/>
        <v>0</v>
      </c>
      <c r="T116" s="208">
        <f>S116*係数!$H$30</f>
        <v>0</v>
      </c>
      <c r="U116" s="12">
        <f t="shared" si="8"/>
        <v>0</v>
      </c>
      <c r="V116" s="211">
        <f t="shared" si="8"/>
        <v>0</v>
      </c>
    </row>
    <row r="117" spans="2:22" x14ac:dyDescent="0.4">
      <c r="B117" s="194" t="s">
        <v>660</v>
      </c>
      <c r="C117" s="35"/>
      <c r="D117" s="291"/>
      <c r="E117" s="461"/>
      <c r="F117" s="212"/>
      <c r="G117" s="212"/>
      <c r="H117" s="213"/>
      <c r="I117" s="27"/>
      <c r="J117" s="207">
        <f t="shared" si="9"/>
        <v>0</v>
      </c>
      <c r="K117" s="207">
        <f t="shared" si="10"/>
        <v>0</v>
      </c>
      <c r="L117" s="208">
        <f>K117*係数!$H$30</f>
        <v>0</v>
      </c>
      <c r="M117" s="35"/>
      <c r="N117" s="27"/>
      <c r="O117" s="27"/>
      <c r="P117" s="213"/>
      <c r="Q117" s="27"/>
      <c r="R117" s="462">
        <f t="shared" si="6"/>
        <v>0</v>
      </c>
      <c r="S117" s="12">
        <f t="shared" si="7"/>
        <v>0</v>
      </c>
      <c r="T117" s="208">
        <f>S117*係数!$H$30</f>
        <v>0</v>
      </c>
      <c r="U117" s="12">
        <f t="shared" si="8"/>
        <v>0</v>
      </c>
      <c r="V117" s="211">
        <f t="shared" si="8"/>
        <v>0</v>
      </c>
    </row>
    <row r="118" spans="2:22" x14ac:dyDescent="0.4">
      <c r="B118" s="194" t="s">
        <v>661</v>
      </c>
      <c r="C118" s="35"/>
      <c r="D118" s="291"/>
      <c r="E118" s="461"/>
      <c r="F118" s="212"/>
      <c r="G118" s="212"/>
      <c r="H118" s="213"/>
      <c r="I118" s="27"/>
      <c r="J118" s="207">
        <f t="shared" si="9"/>
        <v>0</v>
      </c>
      <c r="K118" s="207">
        <f t="shared" si="10"/>
        <v>0</v>
      </c>
      <c r="L118" s="208">
        <f>K118*係数!$H$30</f>
        <v>0</v>
      </c>
      <c r="M118" s="35"/>
      <c r="N118" s="27"/>
      <c r="O118" s="27"/>
      <c r="P118" s="213"/>
      <c r="Q118" s="27"/>
      <c r="R118" s="462">
        <f t="shared" si="6"/>
        <v>0</v>
      </c>
      <c r="S118" s="12">
        <f t="shared" si="7"/>
        <v>0</v>
      </c>
      <c r="T118" s="208">
        <f>S118*係数!$H$30</f>
        <v>0</v>
      </c>
      <c r="U118" s="12">
        <f t="shared" si="8"/>
        <v>0</v>
      </c>
      <c r="V118" s="211">
        <f t="shared" si="8"/>
        <v>0</v>
      </c>
    </row>
    <row r="119" spans="2:22" x14ac:dyDescent="0.4">
      <c r="B119" s="194" t="s">
        <v>662</v>
      </c>
      <c r="C119" s="35"/>
      <c r="D119" s="291"/>
      <c r="E119" s="461"/>
      <c r="F119" s="212"/>
      <c r="G119" s="212"/>
      <c r="H119" s="213"/>
      <c r="I119" s="27"/>
      <c r="J119" s="207">
        <f t="shared" si="9"/>
        <v>0</v>
      </c>
      <c r="K119" s="207">
        <f t="shared" si="10"/>
        <v>0</v>
      </c>
      <c r="L119" s="208">
        <f>K119*係数!$H$30</f>
        <v>0</v>
      </c>
      <c r="M119" s="35"/>
      <c r="N119" s="27"/>
      <c r="O119" s="27"/>
      <c r="P119" s="213"/>
      <c r="Q119" s="27"/>
      <c r="R119" s="462">
        <f t="shared" si="6"/>
        <v>0</v>
      </c>
      <c r="S119" s="12">
        <f t="shared" si="7"/>
        <v>0</v>
      </c>
      <c r="T119" s="208">
        <f>S119*係数!$H$30</f>
        <v>0</v>
      </c>
      <c r="U119" s="12">
        <f t="shared" si="8"/>
        <v>0</v>
      </c>
      <c r="V119" s="211">
        <f t="shared" si="8"/>
        <v>0</v>
      </c>
    </row>
    <row r="120" spans="2:22" x14ac:dyDescent="0.4">
      <c r="B120" s="194" t="s">
        <v>663</v>
      </c>
      <c r="C120" s="35"/>
      <c r="D120" s="291"/>
      <c r="E120" s="461"/>
      <c r="F120" s="212"/>
      <c r="G120" s="212"/>
      <c r="H120" s="213"/>
      <c r="I120" s="27"/>
      <c r="J120" s="207">
        <f t="shared" si="9"/>
        <v>0</v>
      </c>
      <c r="K120" s="207">
        <f t="shared" si="10"/>
        <v>0</v>
      </c>
      <c r="L120" s="208">
        <f>K120*係数!$H$30</f>
        <v>0</v>
      </c>
      <c r="M120" s="35"/>
      <c r="N120" s="27"/>
      <c r="O120" s="27"/>
      <c r="P120" s="213"/>
      <c r="Q120" s="27"/>
      <c r="R120" s="462">
        <f t="shared" si="6"/>
        <v>0</v>
      </c>
      <c r="S120" s="12">
        <f t="shared" si="7"/>
        <v>0</v>
      </c>
      <c r="T120" s="208">
        <f>S120*係数!$H$30</f>
        <v>0</v>
      </c>
      <c r="U120" s="12">
        <f t="shared" si="8"/>
        <v>0</v>
      </c>
      <c r="V120" s="211">
        <f t="shared" si="8"/>
        <v>0</v>
      </c>
    </row>
    <row r="121" spans="2:22" x14ac:dyDescent="0.4">
      <c r="B121" s="194" t="s">
        <v>664</v>
      </c>
      <c r="C121" s="35"/>
      <c r="D121" s="291"/>
      <c r="E121" s="461"/>
      <c r="F121" s="212"/>
      <c r="G121" s="212"/>
      <c r="H121" s="213"/>
      <c r="I121" s="27"/>
      <c r="J121" s="207">
        <f t="shared" si="9"/>
        <v>0</v>
      </c>
      <c r="K121" s="207">
        <f t="shared" si="10"/>
        <v>0</v>
      </c>
      <c r="L121" s="208">
        <f>K121*係数!$H$30</f>
        <v>0</v>
      </c>
      <c r="M121" s="35"/>
      <c r="N121" s="27"/>
      <c r="O121" s="27"/>
      <c r="P121" s="213"/>
      <c r="Q121" s="27"/>
      <c r="R121" s="462">
        <f t="shared" si="6"/>
        <v>0</v>
      </c>
      <c r="S121" s="12">
        <f t="shared" si="7"/>
        <v>0</v>
      </c>
      <c r="T121" s="208">
        <f>S121*係数!$H$30</f>
        <v>0</v>
      </c>
      <c r="U121" s="12">
        <f t="shared" si="8"/>
        <v>0</v>
      </c>
      <c r="V121" s="211">
        <f t="shared" si="8"/>
        <v>0</v>
      </c>
    </row>
    <row r="122" spans="2:22" x14ac:dyDescent="0.4">
      <c r="B122" s="194" t="s">
        <v>665</v>
      </c>
      <c r="C122" s="35"/>
      <c r="D122" s="291"/>
      <c r="E122" s="461"/>
      <c r="F122" s="212"/>
      <c r="G122" s="212"/>
      <c r="H122" s="213"/>
      <c r="I122" s="27"/>
      <c r="J122" s="207">
        <f t="shared" si="9"/>
        <v>0</v>
      </c>
      <c r="K122" s="207">
        <f t="shared" si="10"/>
        <v>0</v>
      </c>
      <c r="L122" s="208">
        <f>K122*係数!$H$30</f>
        <v>0</v>
      </c>
      <c r="M122" s="35"/>
      <c r="N122" s="27"/>
      <c r="O122" s="27"/>
      <c r="P122" s="213"/>
      <c r="Q122" s="27"/>
      <c r="R122" s="462">
        <f t="shared" si="6"/>
        <v>0</v>
      </c>
      <c r="S122" s="12">
        <f t="shared" si="7"/>
        <v>0</v>
      </c>
      <c r="T122" s="208">
        <f>S122*係数!$H$30</f>
        <v>0</v>
      </c>
      <c r="U122" s="12">
        <f t="shared" si="8"/>
        <v>0</v>
      </c>
      <c r="V122" s="211">
        <f t="shared" si="8"/>
        <v>0</v>
      </c>
    </row>
    <row r="123" spans="2:22" x14ac:dyDescent="0.4">
      <c r="B123" s="194" t="s">
        <v>666</v>
      </c>
      <c r="C123" s="35"/>
      <c r="D123" s="291"/>
      <c r="E123" s="461"/>
      <c r="F123" s="212"/>
      <c r="G123" s="212"/>
      <c r="H123" s="213"/>
      <c r="I123" s="27"/>
      <c r="J123" s="207">
        <f t="shared" si="9"/>
        <v>0</v>
      </c>
      <c r="K123" s="207">
        <f t="shared" si="10"/>
        <v>0</v>
      </c>
      <c r="L123" s="208">
        <f>K123*係数!$H$30</f>
        <v>0</v>
      </c>
      <c r="M123" s="35"/>
      <c r="N123" s="27"/>
      <c r="O123" s="27"/>
      <c r="P123" s="213"/>
      <c r="Q123" s="27"/>
      <c r="R123" s="462">
        <f t="shared" si="6"/>
        <v>0</v>
      </c>
      <c r="S123" s="12">
        <f t="shared" si="7"/>
        <v>0</v>
      </c>
      <c r="T123" s="208">
        <f>S123*係数!$H$30</f>
        <v>0</v>
      </c>
      <c r="U123" s="12">
        <f t="shared" si="8"/>
        <v>0</v>
      </c>
      <c r="V123" s="211">
        <f t="shared" si="8"/>
        <v>0</v>
      </c>
    </row>
    <row r="124" spans="2:22" x14ac:dyDescent="0.4">
      <c r="B124" s="194" t="s">
        <v>667</v>
      </c>
      <c r="C124" s="35"/>
      <c r="D124" s="291"/>
      <c r="E124" s="461"/>
      <c r="F124" s="212"/>
      <c r="G124" s="212"/>
      <c r="H124" s="213"/>
      <c r="I124" s="27"/>
      <c r="J124" s="207">
        <f t="shared" si="9"/>
        <v>0</v>
      </c>
      <c r="K124" s="207">
        <f t="shared" si="10"/>
        <v>0</v>
      </c>
      <c r="L124" s="208">
        <f>K124*係数!$H$30</f>
        <v>0</v>
      </c>
      <c r="M124" s="35"/>
      <c r="N124" s="27"/>
      <c r="O124" s="27"/>
      <c r="P124" s="213"/>
      <c r="Q124" s="27"/>
      <c r="R124" s="462">
        <f t="shared" si="6"/>
        <v>0</v>
      </c>
      <c r="S124" s="12">
        <f t="shared" si="7"/>
        <v>0</v>
      </c>
      <c r="T124" s="208">
        <f>S124*係数!$H$30</f>
        <v>0</v>
      </c>
      <c r="U124" s="12">
        <f t="shared" si="8"/>
        <v>0</v>
      </c>
      <c r="V124" s="211">
        <f t="shared" si="8"/>
        <v>0</v>
      </c>
    </row>
    <row r="125" spans="2:22" x14ac:dyDescent="0.4">
      <c r="B125" s="194" t="s">
        <v>668</v>
      </c>
      <c r="C125" s="35"/>
      <c r="D125" s="291"/>
      <c r="E125" s="461"/>
      <c r="F125" s="212"/>
      <c r="G125" s="212"/>
      <c r="H125" s="213"/>
      <c r="I125" s="27"/>
      <c r="J125" s="207">
        <f t="shared" si="9"/>
        <v>0</v>
      </c>
      <c r="K125" s="207">
        <f t="shared" si="10"/>
        <v>0</v>
      </c>
      <c r="L125" s="208">
        <f>K125*係数!$H$30</f>
        <v>0</v>
      </c>
      <c r="M125" s="35"/>
      <c r="N125" s="27"/>
      <c r="O125" s="27"/>
      <c r="P125" s="213"/>
      <c r="Q125" s="27"/>
      <c r="R125" s="462">
        <f t="shared" si="6"/>
        <v>0</v>
      </c>
      <c r="S125" s="12">
        <f t="shared" si="7"/>
        <v>0</v>
      </c>
      <c r="T125" s="208">
        <f>S125*係数!$H$30</f>
        <v>0</v>
      </c>
      <c r="U125" s="12">
        <f t="shared" si="8"/>
        <v>0</v>
      </c>
      <c r="V125" s="211">
        <f t="shared" si="8"/>
        <v>0</v>
      </c>
    </row>
    <row r="126" spans="2:22" x14ac:dyDescent="0.4">
      <c r="B126" s="194" t="s">
        <v>669</v>
      </c>
      <c r="C126" s="35"/>
      <c r="D126" s="291"/>
      <c r="E126" s="461"/>
      <c r="F126" s="212"/>
      <c r="G126" s="212"/>
      <c r="H126" s="213"/>
      <c r="I126" s="27"/>
      <c r="J126" s="207">
        <f t="shared" si="9"/>
        <v>0</v>
      </c>
      <c r="K126" s="207">
        <f t="shared" si="10"/>
        <v>0</v>
      </c>
      <c r="L126" s="208">
        <f>K126*係数!$H$30</f>
        <v>0</v>
      </c>
      <c r="M126" s="35"/>
      <c r="N126" s="27"/>
      <c r="O126" s="27"/>
      <c r="P126" s="213"/>
      <c r="Q126" s="27"/>
      <c r="R126" s="462">
        <f t="shared" si="6"/>
        <v>0</v>
      </c>
      <c r="S126" s="12">
        <f t="shared" si="7"/>
        <v>0</v>
      </c>
      <c r="T126" s="208">
        <f>S126*係数!$H$30</f>
        <v>0</v>
      </c>
      <c r="U126" s="12">
        <f t="shared" si="8"/>
        <v>0</v>
      </c>
      <c r="V126" s="211">
        <f t="shared" si="8"/>
        <v>0</v>
      </c>
    </row>
    <row r="127" spans="2:22" x14ac:dyDescent="0.4">
      <c r="B127" s="194" t="s">
        <v>670</v>
      </c>
      <c r="C127" s="35"/>
      <c r="D127" s="291"/>
      <c r="E127" s="461"/>
      <c r="F127" s="212"/>
      <c r="G127" s="212"/>
      <c r="H127" s="213"/>
      <c r="I127" s="27"/>
      <c r="J127" s="207">
        <f t="shared" si="9"/>
        <v>0</v>
      </c>
      <c r="K127" s="207">
        <f t="shared" si="10"/>
        <v>0</v>
      </c>
      <c r="L127" s="208">
        <f>K127*係数!$H$30</f>
        <v>0</v>
      </c>
      <c r="M127" s="35"/>
      <c r="N127" s="27"/>
      <c r="O127" s="27"/>
      <c r="P127" s="213"/>
      <c r="Q127" s="27"/>
      <c r="R127" s="462">
        <f t="shared" si="6"/>
        <v>0</v>
      </c>
      <c r="S127" s="12">
        <f t="shared" si="7"/>
        <v>0</v>
      </c>
      <c r="T127" s="208">
        <f>S127*係数!$H$30</f>
        <v>0</v>
      </c>
      <c r="U127" s="12">
        <f t="shared" si="8"/>
        <v>0</v>
      </c>
      <c r="V127" s="211">
        <f t="shared" si="8"/>
        <v>0</v>
      </c>
    </row>
    <row r="128" spans="2:22" x14ac:dyDescent="0.4">
      <c r="B128" s="194" t="s">
        <v>671</v>
      </c>
      <c r="C128" s="35"/>
      <c r="D128" s="291"/>
      <c r="E128" s="461"/>
      <c r="F128" s="212"/>
      <c r="G128" s="212"/>
      <c r="H128" s="213"/>
      <c r="I128" s="27"/>
      <c r="J128" s="207">
        <f t="shared" si="9"/>
        <v>0</v>
      </c>
      <c r="K128" s="207">
        <f t="shared" si="10"/>
        <v>0</v>
      </c>
      <c r="L128" s="208">
        <f>K128*係数!$H$30</f>
        <v>0</v>
      </c>
      <c r="M128" s="35"/>
      <c r="N128" s="27"/>
      <c r="O128" s="27"/>
      <c r="P128" s="213"/>
      <c r="Q128" s="27"/>
      <c r="R128" s="462">
        <f t="shared" si="6"/>
        <v>0</v>
      </c>
      <c r="S128" s="12">
        <f t="shared" si="7"/>
        <v>0</v>
      </c>
      <c r="T128" s="208">
        <f>S128*係数!$H$30</f>
        <v>0</v>
      </c>
      <c r="U128" s="12">
        <f t="shared" si="8"/>
        <v>0</v>
      </c>
      <c r="V128" s="211">
        <f t="shared" si="8"/>
        <v>0</v>
      </c>
    </row>
    <row r="129" spans="2:22" x14ac:dyDescent="0.4">
      <c r="B129" s="194" t="s">
        <v>672</v>
      </c>
      <c r="C129" s="35"/>
      <c r="D129" s="291"/>
      <c r="E129" s="461"/>
      <c r="F129" s="212"/>
      <c r="G129" s="212"/>
      <c r="H129" s="213"/>
      <c r="I129" s="27"/>
      <c r="J129" s="207">
        <f t="shared" si="9"/>
        <v>0</v>
      </c>
      <c r="K129" s="207">
        <f t="shared" si="10"/>
        <v>0</v>
      </c>
      <c r="L129" s="208">
        <f>K129*係数!$H$30</f>
        <v>0</v>
      </c>
      <c r="M129" s="35"/>
      <c r="N129" s="27"/>
      <c r="O129" s="27"/>
      <c r="P129" s="213"/>
      <c r="Q129" s="27"/>
      <c r="R129" s="462">
        <f t="shared" si="6"/>
        <v>0</v>
      </c>
      <c r="S129" s="12">
        <f t="shared" si="7"/>
        <v>0</v>
      </c>
      <c r="T129" s="208">
        <f>S129*係数!$H$30</f>
        <v>0</v>
      </c>
      <c r="U129" s="12">
        <f t="shared" si="8"/>
        <v>0</v>
      </c>
      <c r="V129" s="211">
        <f t="shared" si="8"/>
        <v>0</v>
      </c>
    </row>
    <row r="130" spans="2:22" x14ac:dyDescent="0.4">
      <c r="B130" s="194" t="s">
        <v>673</v>
      </c>
      <c r="C130" s="35"/>
      <c r="D130" s="291"/>
      <c r="E130" s="461"/>
      <c r="F130" s="212"/>
      <c r="G130" s="212"/>
      <c r="H130" s="213"/>
      <c r="I130" s="27"/>
      <c r="J130" s="207">
        <f t="shared" si="9"/>
        <v>0</v>
      </c>
      <c r="K130" s="207">
        <f t="shared" si="10"/>
        <v>0</v>
      </c>
      <c r="L130" s="208">
        <f>K130*係数!$H$30</f>
        <v>0</v>
      </c>
      <c r="M130" s="35"/>
      <c r="N130" s="27"/>
      <c r="O130" s="27"/>
      <c r="P130" s="213"/>
      <c r="Q130" s="27"/>
      <c r="R130" s="462">
        <f t="shared" si="6"/>
        <v>0</v>
      </c>
      <c r="S130" s="12">
        <f t="shared" si="7"/>
        <v>0</v>
      </c>
      <c r="T130" s="208">
        <f>S130*係数!$H$30</f>
        <v>0</v>
      </c>
      <c r="U130" s="12">
        <f t="shared" si="8"/>
        <v>0</v>
      </c>
      <c r="V130" s="211">
        <f t="shared" si="8"/>
        <v>0</v>
      </c>
    </row>
    <row r="131" spans="2:22" x14ac:dyDescent="0.4">
      <c r="B131" s="194" t="s">
        <v>674</v>
      </c>
      <c r="C131" s="35"/>
      <c r="D131" s="291"/>
      <c r="E131" s="461"/>
      <c r="F131" s="212"/>
      <c r="G131" s="212"/>
      <c r="H131" s="213"/>
      <c r="I131" s="27"/>
      <c r="J131" s="207">
        <f t="shared" si="9"/>
        <v>0</v>
      </c>
      <c r="K131" s="207">
        <f t="shared" si="10"/>
        <v>0</v>
      </c>
      <c r="L131" s="208">
        <f>K131*係数!$H$30</f>
        <v>0</v>
      </c>
      <c r="M131" s="35"/>
      <c r="N131" s="27"/>
      <c r="O131" s="27"/>
      <c r="P131" s="213"/>
      <c r="Q131" s="27"/>
      <c r="R131" s="462">
        <f t="shared" si="6"/>
        <v>0</v>
      </c>
      <c r="S131" s="12">
        <f t="shared" si="7"/>
        <v>0</v>
      </c>
      <c r="T131" s="208">
        <f>S131*係数!$H$30</f>
        <v>0</v>
      </c>
      <c r="U131" s="12">
        <f t="shared" si="8"/>
        <v>0</v>
      </c>
      <c r="V131" s="211">
        <f t="shared" si="8"/>
        <v>0</v>
      </c>
    </row>
    <row r="132" spans="2:22" x14ac:dyDescent="0.4">
      <c r="B132" s="194" t="s">
        <v>675</v>
      </c>
      <c r="C132" s="35"/>
      <c r="D132" s="291"/>
      <c r="E132" s="461"/>
      <c r="F132" s="212"/>
      <c r="G132" s="212"/>
      <c r="H132" s="213"/>
      <c r="I132" s="27"/>
      <c r="J132" s="207">
        <f t="shared" si="9"/>
        <v>0</v>
      </c>
      <c r="K132" s="207">
        <f t="shared" si="10"/>
        <v>0</v>
      </c>
      <c r="L132" s="208">
        <f>K132*係数!$H$30</f>
        <v>0</v>
      </c>
      <c r="M132" s="35"/>
      <c r="N132" s="27"/>
      <c r="O132" s="27"/>
      <c r="P132" s="213"/>
      <c r="Q132" s="27"/>
      <c r="R132" s="462">
        <f t="shared" si="6"/>
        <v>0</v>
      </c>
      <c r="S132" s="12">
        <f t="shared" si="7"/>
        <v>0</v>
      </c>
      <c r="T132" s="208">
        <f>S132*係数!$H$30</f>
        <v>0</v>
      </c>
      <c r="U132" s="12">
        <f t="shared" si="8"/>
        <v>0</v>
      </c>
      <c r="V132" s="211">
        <f t="shared" si="8"/>
        <v>0</v>
      </c>
    </row>
    <row r="133" spans="2:22" x14ac:dyDescent="0.4">
      <c r="B133" s="194" t="s">
        <v>676</v>
      </c>
      <c r="C133" s="35"/>
      <c r="D133" s="291"/>
      <c r="E133" s="461"/>
      <c r="F133" s="212"/>
      <c r="G133" s="212"/>
      <c r="H133" s="213"/>
      <c r="I133" s="27"/>
      <c r="J133" s="207">
        <f t="shared" si="9"/>
        <v>0</v>
      </c>
      <c r="K133" s="207">
        <f t="shared" si="10"/>
        <v>0</v>
      </c>
      <c r="L133" s="208">
        <f>K133*係数!$H$30</f>
        <v>0</v>
      </c>
      <c r="M133" s="35"/>
      <c r="N133" s="27"/>
      <c r="O133" s="27"/>
      <c r="P133" s="213"/>
      <c r="Q133" s="27"/>
      <c r="R133" s="462">
        <f t="shared" si="6"/>
        <v>0</v>
      </c>
      <c r="S133" s="12">
        <f t="shared" si="7"/>
        <v>0</v>
      </c>
      <c r="T133" s="208">
        <f>S133*係数!$H$30</f>
        <v>0</v>
      </c>
      <c r="U133" s="12">
        <f t="shared" si="8"/>
        <v>0</v>
      </c>
      <c r="V133" s="211">
        <f t="shared" si="8"/>
        <v>0</v>
      </c>
    </row>
    <row r="134" spans="2:22" x14ac:dyDescent="0.4">
      <c r="B134" s="194" t="s">
        <v>677</v>
      </c>
      <c r="C134" s="35"/>
      <c r="D134" s="291"/>
      <c r="E134" s="461"/>
      <c r="F134" s="212"/>
      <c r="G134" s="212"/>
      <c r="H134" s="213"/>
      <c r="I134" s="27"/>
      <c r="J134" s="207">
        <f t="shared" si="9"/>
        <v>0</v>
      </c>
      <c r="K134" s="207">
        <f t="shared" si="10"/>
        <v>0</v>
      </c>
      <c r="L134" s="208">
        <f>K134*係数!$H$30</f>
        <v>0</v>
      </c>
      <c r="M134" s="35"/>
      <c r="N134" s="27"/>
      <c r="O134" s="27"/>
      <c r="P134" s="213"/>
      <c r="Q134" s="27"/>
      <c r="R134" s="462">
        <f t="shared" si="6"/>
        <v>0</v>
      </c>
      <c r="S134" s="12">
        <f t="shared" si="7"/>
        <v>0</v>
      </c>
      <c r="T134" s="208">
        <f>S134*係数!$H$30</f>
        <v>0</v>
      </c>
      <c r="U134" s="12">
        <f t="shared" si="8"/>
        <v>0</v>
      </c>
      <c r="V134" s="211">
        <f t="shared" si="8"/>
        <v>0</v>
      </c>
    </row>
    <row r="135" spans="2:22" x14ac:dyDescent="0.4">
      <c r="B135" s="194" t="s">
        <v>678</v>
      </c>
      <c r="C135" s="35"/>
      <c r="D135" s="291"/>
      <c r="E135" s="461"/>
      <c r="F135" s="212"/>
      <c r="G135" s="212"/>
      <c r="H135" s="213"/>
      <c r="I135" s="27"/>
      <c r="J135" s="207">
        <f t="shared" si="9"/>
        <v>0</v>
      </c>
      <c r="K135" s="207">
        <f t="shared" si="10"/>
        <v>0</v>
      </c>
      <c r="L135" s="208">
        <f>K135*係数!$H$30</f>
        <v>0</v>
      </c>
      <c r="M135" s="35"/>
      <c r="N135" s="27"/>
      <c r="O135" s="27"/>
      <c r="P135" s="213"/>
      <c r="Q135" s="27"/>
      <c r="R135" s="462">
        <f t="shared" si="6"/>
        <v>0</v>
      </c>
      <c r="S135" s="12">
        <f t="shared" si="7"/>
        <v>0</v>
      </c>
      <c r="T135" s="208">
        <f>S135*係数!$H$30</f>
        <v>0</v>
      </c>
      <c r="U135" s="12">
        <f t="shared" si="8"/>
        <v>0</v>
      </c>
      <c r="V135" s="211">
        <f t="shared" si="8"/>
        <v>0</v>
      </c>
    </row>
    <row r="136" spans="2:22" x14ac:dyDescent="0.4">
      <c r="B136" s="194" t="s">
        <v>679</v>
      </c>
      <c r="C136" s="35"/>
      <c r="D136" s="291"/>
      <c r="E136" s="461"/>
      <c r="F136" s="212"/>
      <c r="G136" s="212"/>
      <c r="H136" s="213"/>
      <c r="I136" s="27"/>
      <c r="J136" s="207">
        <f t="shared" si="9"/>
        <v>0</v>
      </c>
      <c r="K136" s="207">
        <f t="shared" si="10"/>
        <v>0</v>
      </c>
      <c r="L136" s="208">
        <f>K136*係数!$H$30</f>
        <v>0</v>
      </c>
      <c r="M136" s="35"/>
      <c r="N136" s="27"/>
      <c r="O136" s="27"/>
      <c r="P136" s="213"/>
      <c r="Q136" s="27"/>
      <c r="R136" s="462">
        <f t="shared" si="6"/>
        <v>0</v>
      </c>
      <c r="S136" s="12">
        <f t="shared" si="7"/>
        <v>0</v>
      </c>
      <c r="T136" s="208">
        <f>S136*係数!$H$30</f>
        <v>0</v>
      </c>
      <c r="U136" s="12">
        <f t="shared" si="8"/>
        <v>0</v>
      </c>
      <c r="V136" s="211">
        <f t="shared" si="8"/>
        <v>0</v>
      </c>
    </row>
    <row r="137" spans="2:22" x14ac:dyDescent="0.4">
      <c r="B137" s="194" t="s">
        <v>680</v>
      </c>
      <c r="C137" s="35"/>
      <c r="D137" s="291"/>
      <c r="E137" s="461"/>
      <c r="F137" s="212"/>
      <c r="G137" s="212"/>
      <c r="H137" s="213"/>
      <c r="I137" s="27"/>
      <c r="J137" s="207">
        <f t="shared" si="9"/>
        <v>0</v>
      </c>
      <c r="K137" s="207">
        <f t="shared" si="10"/>
        <v>0</v>
      </c>
      <c r="L137" s="208">
        <f>K137*係数!$H$30</f>
        <v>0</v>
      </c>
      <c r="M137" s="35"/>
      <c r="N137" s="27"/>
      <c r="O137" s="27"/>
      <c r="P137" s="213"/>
      <c r="Q137" s="27"/>
      <c r="R137" s="462">
        <f t="shared" si="6"/>
        <v>0</v>
      </c>
      <c r="S137" s="12">
        <f t="shared" si="7"/>
        <v>0</v>
      </c>
      <c r="T137" s="208">
        <f>S137*係数!$H$30</f>
        <v>0</v>
      </c>
      <c r="U137" s="12">
        <f t="shared" si="8"/>
        <v>0</v>
      </c>
      <c r="V137" s="211">
        <f t="shared" si="8"/>
        <v>0</v>
      </c>
    </row>
    <row r="138" spans="2:22" x14ac:dyDescent="0.4">
      <c r="B138" s="194" t="s">
        <v>681</v>
      </c>
      <c r="C138" s="35"/>
      <c r="D138" s="291"/>
      <c r="E138" s="461"/>
      <c r="F138" s="212"/>
      <c r="G138" s="212"/>
      <c r="H138" s="213"/>
      <c r="I138" s="27"/>
      <c r="J138" s="207">
        <f t="shared" si="9"/>
        <v>0</v>
      </c>
      <c r="K138" s="207">
        <f t="shared" si="10"/>
        <v>0</v>
      </c>
      <c r="L138" s="208">
        <f>K138*係数!$H$30</f>
        <v>0</v>
      </c>
      <c r="M138" s="35"/>
      <c r="N138" s="27"/>
      <c r="O138" s="27"/>
      <c r="P138" s="213"/>
      <c r="Q138" s="27"/>
      <c r="R138" s="462">
        <f t="shared" si="6"/>
        <v>0</v>
      </c>
      <c r="S138" s="12">
        <f t="shared" si="7"/>
        <v>0</v>
      </c>
      <c r="T138" s="208">
        <f>S138*係数!$H$30</f>
        <v>0</v>
      </c>
      <c r="U138" s="12">
        <f t="shared" si="8"/>
        <v>0</v>
      </c>
      <c r="V138" s="211">
        <f t="shared" si="8"/>
        <v>0</v>
      </c>
    </row>
    <row r="139" spans="2:22" x14ac:dyDescent="0.4">
      <c r="B139" s="194" t="s">
        <v>682</v>
      </c>
      <c r="C139" s="35"/>
      <c r="D139" s="291"/>
      <c r="E139" s="461"/>
      <c r="F139" s="212"/>
      <c r="G139" s="212"/>
      <c r="H139" s="213"/>
      <c r="I139" s="27"/>
      <c r="J139" s="207">
        <f t="shared" si="9"/>
        <v>0</v>
      </c>
      <c r="K139" s="207">
        <f t="shared" si="10"/>
        <v>0</v>
      </c>
      <c r="L139" s="208">
        <f>K139*係数!$H$30</f>
        <v>0</v>
      </c>
      <c r="M139" s="35"/>
      <c r="N139" s="27"/>
      <c r="O139" s="27"/>
      <c r="P139" s="213"/>
      <c r="Q139" s="27"/>
      <c r="R139" s="462">
        <f t="shared" si="6"/>
        <v>0</v>
      </c>
      <c r="S139" s="12">
        <f t="shared" si="7"/>
        <v>0</v>
      </c>
      <c r="T139" s="208">
        <f>S139*係数!$H$30</f>
        <v>0</v>
      </c>
      <c r="U139" s="12">
        <f t="shared" si="8"/>
        <v>0</v>
      </c>
      <c r="V139" s="211">
        <f t="shared" si="8"/>
        <v>0</v>
      </c>
    </row>
    <row r="140" spans="2:22" x14ac:dyDescent="0.4">
      <c r="B140" s="194" t="s">
        <v>683</v>
      </c>
      <c r="C140" s="35"/>
      <c r="D140" s="291"/>
      <c r="E140" s="461"/>
      <c r="F140" s="212"/>
      <c r="G140" s="212"/>
      <c r="H140" s="213"/>
      <c r="I140" s="27"/>
      <c r="J140" s="207">
        <f t="shared" si="9"/>
        <v>0</v>
      </c>
      <c r="K140" s="207">
        <f t="shared" si="10"/>
        <v>0</v>
      </c>
      <c r="L140" s="208">
        <f>K140*係数!$H$30</f>
        <v>0</v>
      </c>
      <c r="M140" s="35"/>
      <c r="N140" s="27"/>
      <c r="O140" s="27"/>
      <c r="P140" s="213"/>
      <c r="Q140" s="27"/>
      <c r="R140" s="462">
        <f t="shared" si="6"/>
        <v>0</v>
      </c>
      <c r="S140" s="12">
        <f t="shared" si="7"/>
        <v>0</v>
      </c>
      <c r="T140" s="208">
        <f>S140*係数!$H$30</f>
        <v>0</v>
      </c>
      <c r="U140" s="12">
        <f t="shared" si="8"/>
        <v>0</v>
      </c>
      <c r="V140" s="211">
        <f t="shared" si="8"/>
        <v>0</v>
      </c>
    </row>
    <row r="141" spans="2:22" x14ac:dyDescent="0.4">
      <c r="B141" s="194" t="s">
        <v>684</v>
      </c>
      <c r="C141" s="35"/>
      <c r="D141" s="291"/>
      <c r="E141" s="461"/>
      <c r="F141" s="212"/>
      <c r="G141" s="212"/>
      <c r="H141" s="213"/>
      <c r="I141" s="27"/>
      <c r="J141" s="207">
        <f t="shared" si="9"/>
        <v>0</v>
      </c>
      <c r="K141" s="207">
        <f t="shared" si="10"/>
        <v>0</v>
      </c>
      <c r="L141" s="208">
        <f>K141*係数!$H$30</f>
        <v>0</v>
      </c>
      <c r="M141" s="35"/>
      <c r="N141" s="27"/>
      <c r="O141" s="27"/>
      <c r="P141" s="213"/>
      <c r="Q141" s="27"/>
      <c r="R141" s="462">
        <f t="shared" si="6"/>
        <v>0</v>
      </c>
      <c r="S141" s="12">
        <f t="shared" si="7"/>
        <v>0</v>
      </c>
      <c r="T141" s="208">
        <f>S141*係数!$H$30</f>
        <v>0</v>
      </c>
      <c r="U141" s="12">
        <f t="shared" si="8"/>
        <v>0</v>
      </c>
      <c r="V141" s="211">
        <f t="shared" si="8"/>
        <v>0</v>
      </c>
    </row>
    <row r="142" spans="2:22" x14ac:dyDescent="0.4">
      <c r="B142" s="194" t="s">
        <v>685</v>
      </c>
      <c r="C142" s="35"/>
      <c r="D142" s="291"/>
      <c r="E142" s="461"/>
      <c r="F142" s="212"/>
      <c r="G142" s="212"/>
      <c r="H142" s="213"/>
      <c r="I142" s="27"/>
      <c r="J142" s="207">
        <f t="shared" si="9"/>
        <v>0</v>
      </c>
      <c r="K142" s="207">
        <f t="shared" si="10"/>
        <v>0</v>
      </c>
      <c r="L142" s="208">
        <f>K142*係数!$H$30</f>
        <v>0</v>
      </c>
      <c r="M142" s="35"/>
      <c r="N142" s="27"/>
      <c r="O142" s="27"/>
      <c r="P142" s="213"/>
      <c r="Q142" s="27"/>
      <c r="R142" s="462">
        <f t="shared" si="6"/>
        <v>0</v>
      </c>
      <c r="S142" s="12">
        <f t="shared" si="7"/>
        <v>0</v>
      </c>
      <c r="T142" s="208">
        <f>S142*係数!$H$30</f>
        <v>0</v>
      </c>
      <c r="U142" s="12">
        <f t="shared" si="8"/>
        <v>0</v>
      </c>
      <c r="V142" s="211">
        <f t="shared" si="8"/>
        <v>0</v>
      </c>
    </row>
    <row r="143" spans="2:22" x14ac:dyDescent="0.4">
      <c r="B143" s="194" t="s">
        <v>686</v>
      </c>
      <c r="C143" s="35"/>
      <c r="D143" s="291"/>
      <c r="E143" s="461"/>
      <c r="F143" s="212"/>
      <c r="G143" s="212"/>
      <c r="H143" s="213"/>
      <c r="I143" s="27"/>
      <c r="J143" s="207">
        <f t="shared" si="9"/>
        <v>0</v>
      </c>
      <c r="K143" s="207">
        <f t="shared" si="10"/>
        <v>0</v>
      </c>
      <c r="L143" s="208">
        <f>K143*係数!$H$30</f>
        <v>0</v>
      </c>
      <c r="M143" s="35"/>
      <c r="N143" s="27"/>
      <c r="O143" s="27"/>
      <c r="P143" s="213"/>
      <c r="Q143" s="27"/>
      <c r="R143" s="462">
        <f t="shared" si="6"/>
        <v>0</v>
      </c>
      <c r="S143" s="12">
        <f t="shared" si="7"/>
        <v>0</v>
      </c>
      <c r="T143" s="208">
        <f>S143*係数!$H$30</f>
        <v>0</v>
      </c>
      <c r="U143" s="12">
        <f t="shared" si="8"/>
        <v>0</v>
      </c>
      <c r="V143" s="211">
        <f t="shared" si="8"/>
        <v>0</v>
      </c>
    </row>
    <row r="144" spans="2:22" x14ac:dyDescent="0.4">
      <c r="B144" s="194" t="s">
        <v>687</v>
      </c>
      <c r="C144" s="35"/>
      <c r="D144" s="291"/>
      <c r="E144" s="461"/>
      <c r="F144" s="212"/>
      <c r="G144" s="212"/>
      <c r="H144" s="213"/>
      <c r="I144" s="27"/>
      <c r="J144" s="207">
        <f t="shared" si="9"/>
        <v>0</v>
      </c>
      <c r="K144" s="207">
        <f t="shared" si="10"/>
        <v>0</v>
      </c>
      <c r="L144" s="208">
        <f>K144*係数!$H$30</f>
        <v>0</v>
      </c>
      <c r="M144" s="35"/>
      <c r="N144" s="27"/>
      <c r="O144" s="27"/>
      <c r="P144" s="213"/>
      <c r="Q144" s="27"/>
      <c r="R144" s="462">
        <f t="shared" si="6"/>
        <v>0</v>
      </c>
      <c r="S144" s="12">
        <f t="shared" si="7"/>
        <v>0</v>
      </c>
      <c r="T144" s="208">
        <f>S144*係数!$H$30</f>
        <v>0</v>
      </c>
      <c r="U144" s="12">
        <f t="shared" si="8"/>
        <v>0</v>
      </c>
      <c r="V144" s="211">
        <f t="shared" si="8"/>
        <v>0</v>
      </c>
    </row>
    <row r="145" spans="2:22" x14ac:dyDescent="0.4">
      <c r="B145" s="194" t="s">
        <v>688</v>
      </c>
      <c r="C145" s="35"/>
      <c r="D145" s="291"/>
      <c r="E145" s="461"/>
      <c r="F145" s="212"/>
      <c r="G145" s="212"/>
      <c r="H145" s="213"/>
      <c r="I145" s="27"/>
      <c r="J145" s="207">
        <f t="shared" si="9"/>
        <v>0</v>
      </c>
      <c r="K145" s="207">
        <f t="shared" si="10"/>
        <v>0</v>
      </c>
      <c r="L145" s="208">
        <f>K145*係数!$H$30</f>
        <v>0</v>
      </c>
      <c r="M145" s="35"/>
      <c r="N145" s="27"/>
      <c r="O145" s="27"/>
      <c r="P145" s="213"/>
      <c r="Q145" s="27"/>
      <c r="R145" s="462">
        <f t="shared" si="6"/>
        <v>0</v>
      </c>
      <c r="S145" s="12">
        <f t="shared" si="7"/>
        <v>0</v>
      </c>
      <c r="T145" s="208">
        <f>S145*係数!$H$30</f>
        <v>0</v>
      </c>
      <c r="U145" s="12">
        <f t="shared" si="8"/>
        <v>0</v>
      </c>
      <c r="V145" s="211">
        <f t="shared" si="8"/>
        <v>0</v>
      </c>
    </row>
    <row r="146" spans="2:22" x14ac:dyDescent="0.4">
      <c r="B146" s="194" t="s">
        <v>689</v>
      </c>
      <c r="C146" s="35"/>
      <c r="D146" s="291"/>
      <c r="E146" s="461"/>
      <c r="F146" s="212"/>
      <c r="G146" s="212"/>
      <c r="H146" s="213"/>
      <c r="I146" s="27"/>
      <c r="J146" s="207">
        <f t="shared" si="9"/>
        <v>0</v>
      </c>
      <c r="K146" s="207">
        <f t="shared" si="10"/>
        <v>0</v>
      </c>
      <c r="L146" s="208">
        <f>K146*係数!$H$30</f>
        <v>0</v>
      </c>
      <c r="M146" s="35"/>
      <c r="N146" s="27"/>
      <c r="O146" s="27"/>
      <c r="P146" s="213"/>
      <c r="Q146" s="27"/>
      <c r="R146" s="462">
        <f t="shared" ref="R146:R209" si="11">IF(P146="",J146,J146*Q146/100)</f>
        <v>0</v>
      </c>
      <c r="S146" s="12">
        <f t="shared" ref="S146:S209" si="12">N146*O146*R146/1000</f>
        <v>0</v>
      </c>
      <c r="T146" s="208">
        <f>S146*係数!$H$30</f>
        <v>0</v>
      </c>
      <c r="U146" s="12">
        <f t="shared" ref="U146:V209" si="13">K146-S146</f>
        <v>0</v>
      </c>
      <c r="V146" s="211">
        <f t="shared" si="13"/>
        <v>0</v>
      </c>
    </row>
    <row r="147" spans="2:22" x14ac:dyDescent="0.4">
      <c r="B147" s="194" t="s">
        <v>690</v>
      </c>
      <c r="C147" s="35"/>
      <c r="D147" s="291"/>
      <c r="E147" s="461"/>
      <c r="F147" s="212"/>
      <c r="G147" s="212"/>
      <c r="H147" s="213"/>
      <c r="I147" s="27"/>
      <c r="J147" s="207">
        <f t="shared" ref="J147:J210" si="14">IF(H147="",F147*G147,F147*G147*I147/100)</f>
        <v>0</v>
      </c>
      <c r="K147" s="207">
        <f t="shared" si="10"/>
        <v>0</v>
      </c>
      <c r="L147" s="208">
        <f>K147*係数!$H$30</f>
        <v>0</v>
      </c>
      <c r="M147" s="35"/>
      <c r="N147" s="27"/>
      <c r="O147" s="27"/>
      <c r="P147" s="213"/>
      <c r="Q147" s="27"/>
      <c r="R147" s="462">
        <f t="shared" si="11"/>
        <v>0</v>
      </c>
      <c r="S147" s="12">
        <f t="shared" si="12"/>
        <v>0</v>
      </c>
      <c r="T147" s="208">
        <f>S147*係数!$H$30</f>
        <v>0</v>
      </c>
      <c r="U147" s="12">
        <f t="shared" si="13"/>
        <v>0</v>
      </c>
      <c r="V147" s="211">
        <f t="shared" si="13"/>
        <v>0</v>
      </c>
    </row>
    <row r="148" spans="2:22" x14ac:dyDescent="0.4">
      <c r="B148" s="194" t="s">
        <v>691</v>
      </c>
      <c r="C148" s="35"/>
      <c r="D148" s="291"/>
      <c r="E148" s="461"/>
      <c r="F148" s="212"/>
      <c r="G148" s="212"/>
      <c r="H148" s="213"/>
      <c r="I148" s="27"/>
      <c r="J148" s="207">
        <f t="shared" si="14"/>
        <v>0</v>
      </c>
      <c r="K148" s="207">
        <f t="shared" ref="K148:K211" si="15">D148*E148*J148/1000</f>
        <v>0</v>
      </c>
      <c r="L148" s="208">
        <f>K148*係数!$H$30</f>
        <v>0</v>
      </c>
      <c r="M148" s="35"/>
      <c r="N148" s="27"/>
      <c r="O148" s="27"/>
      <c r="P148" s="213"/>
      <c r="Q148" s="27"/>
      <c r="R148" s="462">
        <f t="shared" si="11"/>
        <v>0</v>
      </c>
      <c r="S148" s="12">
        <f t="shared" si="12"/>
        <v>0</v>
      </c>
      <c r="T148" s="208">
        <f>S148*係数!$H$30</f>
        <v>0</v>
      </c>
      <c r="U148" s="12">
        <f t="shared" si="13"/>
        <v>0</v>
      </c>
      <c r="V148" s="211">
        <f t="shared" si="13"/>
        <v>0</v>
      </c>
    </row>
    <row r="149" spans="2:22" x14ac:dyDescent="0.4">
      <c r="B149" s="194" t="s">
        <v>692</v>
      </c>
      <c r="C149" s="35"/>
      <c r="D149" s="291"/>
      <c r="E149" s="461"/>
      <c r="F149" s="212"/>
      <c r="G149" s="212"/>
      <c r="H149" s="213"/>
      <c r="I149" s="27"/>
      <c r="J149" s="207">
        <f t="shared" si="14"/>
        <v>0</v>
      </c>
      <c r="K149" s="207">
        <f t="shared" si="15"/>
        <v>0</v>
      </c>
      <c r="L149" s="208">
        <f>K149*係数!$H$30</f>
        <v>0</v>
      </c>
      <c r="M149" s="35"/>
      <c r="N149" s="27"/>
      <c r="O149" s="27"/>
      <c r="P149" s="213"/>
      <c r="Q149" s="27"/>
      <c r="R149" s="462">
        <f t="shared" si="11"/>
        <v>0</v>
      </c>
      <c r="S149" s="12">
        <f t="shared" si="12"/>
        <v>0</v>
      </c>
      <c r="T149" s="208">
        <f>S149*係数!$H$30</f>
        <v>0</v>
      </c>
      <c r="U149" s="12">
        <f t="shared" si="13"/>
        <v>0</v>
      </c>
      <c r="V149" s="211">
        <f t="shared" si="13"/>
        <v>0</v>
      </c>
    </row>
    <row r="150" spans="2:22" x14ac:dyDescent="0.4">
      <c r="B150" s="194" t="s">
        <v>693</v>
      </c>
      <c r="C150" s="35"/>
      <c r="D150" s="291"/>
      <c r="E150" s="461"/>
      <c r="F150" s="212"/>
      <c r="G150" s="212"/>
      <c r="H150" s="213"/>
      <c r="I150" s="27"/>
      <c r="J150" s="207">
        <f t="shared" si="14"/>
        <v>0</v>
      </c>
      <c r="K150" s="207">
        <f t="shared" si="15"/>
        <v>0</v>
      </c>
      <c r="L150" s="208">
        <f>K150*係数!$H$30</f>
        <v>0</v>
      </c>
      <c r="M150" s="35"/>
      <c r="N150" s="27"/>
      <c r="O150" s="27"/>
      <c r="P150" s="213"/>
      <c r="Q150" s="27"/>
      <c r="R150" s="462">
        <f t="shared" si="11"/>
        <v>0</v>
      </c>
      <c r="S150" s="12">
        <f t="shared" si="12"/>
        <v>0</v>
      </c>
      <c r="T150" s="208">
        <f>S150*係数!$H$30</f>
        <v>0</v>
      </c>
      <c r="U150" s="12">
        <f t="shared" si="13"/>
        <v>0</v>
      </c>
      <c r="V150" s="211">
        <f t="shared" si="13"/>
        <v>0</v>
      </c>
    </row>
    <row r="151" spans="2:22" x14ac:dyDescent="0.4">
      <c r="B151" s="194" t="s">
        <v>694</v>
      </c>
      <c r="C151" s="35"/>
      <c r="D151" s="291"/>
      <c r="E151" s="461"/>
      <c r="F151" s="212"/>
      <c r="G151" s="212"/>
      <c r="H151" s="213"/>
      <c r="I151" s="27"/>
      <c r="J151" s="207">
        <f t="shared" si="14"/>
        <v>0</v>
      </c>
      <c r="K151" s="207">
        <f t="shared" si="15"/>
        <v>0</v>
      </c>
      <c r="L151" s="208">
        <f>K151*係数!$H$30</f>
        <v>0</v>
      </c>
      <c r="M151" s="35"/>
      <c r="N151" s="27"/>
      <c r="O151" s="27"/>
      <c r="P151" s="213"/>
      <c r="Q151" s="27"/>
      <c r="R151" s="462">
        <f t="shared" si="11"/>
        <v>0</v>
      </c>
      <c r="S151" s="12">
        <f t="shared" si="12"/>
        <v>0</v>
      </c>
      <c r="T151" s="208">
        <f>S151*係数!$H$30</f>
        <v>0</v>
      </c>
      <c r="U151" s="12">
        <f t="shared" si="13"/>
        <v>0</v>
      </c>
      <c r="V151" s="211">
        <f t="shared" si="13"/>
        <v>0</v>
      </c>
    </row>
    <row r="152" spans="2:22" x14ac:dyDescent="0.4">
      <c r="B152" s="194" t="s">
        <v>695</v>
      </c>
      <c r="C152" s="35"/>
      <c r="D152" s="291"/>
      <c r="E152" s="461"/>
      <c r="F152" s="212"/>
      <c r="G152" s="212"/>
      <c r="H152" s="213"/>
      <c r="I152" s="27"/>
      <c r="J152" s="207">
        <f t="shared" si="14"/>
        <v>0</v>
      </c>
      <c r="K152" s="207">
        <f t="shared" si="15"/>
        <v>0</v>
      </c>
      <c r="L152" s="208">
        <f>K152*係数!$H$30</f>
        <v>0</v>
      </c>
      <c r="M152" s="35"/>
      <c r="N152" s="27"/>
      <c r="O152" s="27"/>
      <c r="P152" s="213"/>
      <c r="Q152" s="27"/>
      <c r="R152" s="462">
        <f t="shared" si="11"/>
        <v>0</v>
      </c>
      <c r="S152" s="12">
        <f t="shared" si="12"/>
        <v>0</v>
      </c>
      <c r="T152" s="208">
        <f>S152*係数!$H$30</f>
        <v>0</v>
      </c>
      <c r="U152" s="12">
        <f t="shared" si="13"/>
        <v>0</v>
      </c>
      <c r="V152" s="211">
        <f t="shared" si="13"/>
        <v>0</v>
      </c>
    </row>
    <row r="153" spans="2:22" x14ac:dyDescent="0.4">
      <c r="B153" s="194" t="s">
        <v>696</v>
      </c>
      <c r="C153" s="35"/>
      <c r="D153" s="291"/>
      <c r="E153" s="461"/>
      <c r="F153" s="212"/>
      <c r="G153" s="212"/>
      <c r="H153" s="213"/>
      <c r="I153" s="27"/>
      <c r="J153" s="207">
        <f t="shared" si="14"/>
        <v>0</v>
      </c>
      <c r="K153" s="207">
        <f t="shared" si="15"/>
        <v>0</v>
      </c>
      <c r="L153" s="208">
        <f>K153*係数!$H$30</f>
        <v>0</v>
      </c>
      <c r="M153" s="35"/>
      <c r="N153" s="27"/>
      <c r="O153" s="27"/>
      <c r="P153" s="213"/>
      <c r="Q153" s="27"/>
      <c r="R153" s="462">
        <f t="shared" si="11"/>
        <v>0</v>
      </c>
      <c r="S153" s="12">
        <f t="shared" si="12"/>
        <v>0</v>
      </c>
      <c r="T153" s="208">
        <f>S153*係数!$H$30</f>
        <v>0</v>
      </c>
      <c r="U153" s="12">
        <f t="shared" si="13"/>
        <v>0</v>
      </c>
      <c r="V153" s="211">
        <f t="shared" si="13"/>
        <v>0</v>
      </c>
    </row>
    <row r="154" spans="2:22" x14ac:dyDescent="0.4">
      <c r="B154" s="194" t="s">
        <v>697</v>
      </c>
      <c r="C154" s="35"/>
      <c r="D154" s="291"/>
      <c r="E154" s="461"/>
      <c r="F154" s="212"/>
      <c r="G154" s="212"/>
      <c r="H154" s="213"/>
      <c r="I154" s="27"/>
      <c r="J154" s="207">
        <f t="shared" si="14"/>
        <v>0</v>
      </c>
      <c r="K154" s="207">
        <f t="shared" si="15"/>
        <v>0</v>
      </c>
      <c r="L154" s="208">
        <f>K154*係数!$H$30</f>
        <v>0</v>
      </c>
      <c r="M154" s="35"/>
      <c r="N154" s="27"/>
      <c r="O154" s="27"/>
      <c r="P154" s="213"/>
      <c r="Q154" s="27"/>
      <c r="R154" s="462">
        <f t="shared" si="11"/>
        <v>0</v>
      </c>
      <c r="S154" s="12">
        <f t="shared" si="12"/>
        <v>0</v>
      </c>
      <c r="T154" s="208">
        <f>S154*係数!$H$30</f>
        <v>0</v>
      </c>
      <c r="U154" s="12">
        <f t="shared" si="13"/>
        <v>0</v>
      </c>
      <c r="V154" s="211">
        <f t="shared" si="13"/>
        <v>0</v>
      </c>
    </row>
    <row r="155" spans="2:22" x14ac:dyDescent="0.4">
      <c r="B155" s="194" t="s">
        <v>698</v>
      </c>
      <c r="C155" s="35"/>
      <c r="D155" s="291"/>
      <c r="E155" s="461"/>
      <c r="F155" s="212"/>
      <c r="G155" s="212"/>
      <c r="H155" s="213"/>
      <c r="I155" s="27"/>
      <c r="J155" s="207">
        <f t="shared" si="14"/>
        <v>0</v>
      </c>
      <c r="K155" s="207">
        <f t="shared" si="15"/>
        <v>0</v>
      </c>
      <c r="L155" s="208">
        <f>K155*係数!$H$30</f>
        <v>0</v>
      </c>
      <c r="M155" s="35"/>
      <c r="N155" s="27"/>
      <c r="O155" s="27"/>
      <c r="P155" s="213"/>
      <c r="Q155" s="27"/>
      <c r="R155" s="462">
        <f t="shared" si="11"/>
        <v>0</v>
      </c>
      <c r="S155" s="12">
        <f t="shared" si="12"/>
        <v>0</v>
      </c>
      <c r="T155" s="208">
        <f>S155*係数!$H$30</f>
        <v>0</v>
      </c>
      <c r="U155" s="12">
        <f t="shared" si="13"/>
        <v>0</v>
      </c>
      <c r="V155" s="211">
        <f t="shared" si="13"/>
        <v>0</v>
      </c>
    </row>
    <row r="156" spans="2:22" x14ac:dyDescent="0.4">
      <c r="B156" s="194" t="s">
        <v>699</v>
      </c>
      <c r="C156" s="35"/>
      <c r="D156" s="291"/>
      <c r="E156" s="461"/>
      <c r="F156" s="212"/>
      <c r="G156" s="212"/>
      <c r="H156" s="213"/>
      <c r="I156" s="27"/>
      <c r="J156" s="207">
        <f t="shared" si="14"/>
        <v>0</v>
      </c>
      <c r="K156" s="207">
        <f t="shared" si="15"/>
        <v>0</v>
      </c>
      <c r="L156" s="208">
        <f>K156*係数!$H$30</f>
        <v>0</v>
      </c>
      <c r="M156" s="35"/>
      <c r="N156" s="27"/>
      <c r="O156" s="27"/>
      <c r="P156" s="213"/>
      <c r="Q156" s="27"/>
      <c r="R156" s="462">
        <f t="shared" si="11"/>
        <v>0</v>
      </c>
      <c r="S156" s="12">
        <f t="shared" si="12"/>
        <v>0</v>
      </c>
      <c r="T156" s="208">
        <f>S156*係数!$H$30</f>
        <v>0</v>
      </c>
      <c r="U156" s="12">
        <f t="shared" si="13"/>
        <v>0</v>
      </c>
      <c r="V156" s="211">
        <f t="shared" si="13"/>
        <v>0</v>
      </c>
    </row>
    <row r="157" spans="2:22" x14ac:dyDescent="0.4">
      <c r="B157" s="194" t="s">
        <v>700</v>
      </c>
      <c r="C157" s="35"/>
      <c r="D157" s="291"/>
      <c r="E157" s="461"/>
      <c r="F157" s="212"/>
      <c r="G157" s="212"/>
      <c r="H157" s="213"/>
      <c r="I157" s="27"/>
      <c r="J157" s="207">
        <f t="shared" si="14"/>
        <v>0</v>
      </c>
      <c r="K157" s="207">
        <f t="shared" si="15"/>
        <v>0</v>
      </c>
      <c r="L157" s="208">
        <f>K157*係数!$H$30</f>
        <v>0</v>
      </c>
      <c r="M157" s="35"/>
      <c r="N157" s="27"/>
      <c r="O157" s="27"/>
      <c r="P157" s="213"/>
      <c r="Q157" s="27"/>
      <c r="R157" s="462">
        <f t="shared" si="11"/>
        <v>0</v>
      </c>
      <c r="S157" s="12">
        <f t="shared" si="12"/>
        <v>0</v>
      </c>
      <c r="T157" s="208">
        <f>S157*係数!$H$30</f>
        <v>0</v>
      </c>
      <c r="U157" s="12">
        <f t="shared" si="13"/>
        <v>0</v>
      </c>
      <c r="V157" s="211">
        <f t="shared" si="13"/>
        <v>0</v>
      </c>
    </row>
    <row r="158" spans="2:22" x14ac:dyDescent="0.4">
      <c r="B158" s="194" t="s">
        <v>701</v>
      </c>
      <c r="C158" s="35"/>
      <c r="D158" s="291"/>
      <c r="E158" s="461"/>
      <c r="F158" s="212"/>
      <c r="G158" s="212"/>
      <c r="H158" s="213"/>
      <c r="I158" s="27"/>
      <c r="J158" s="207">
        <f t="shared" si="14"/>
        <v>0</v>
      </c>
      <c r="K158" s="207">
        <f t="shared" si="15"/>
        <v>0</v>
      </c>
      <c r="L158" s="208">
        <f>K158*係数!$H$30</f>
        <v>0</v>
      </c>
      <c r="M158" s="35"/>
      <c r="N158" s="27"/>
      <c r="O158" s="27"/>
      <c r="P158" s="213"/>
      <c r="Q158" s="27"/>
      <c r="R158" s="462">
        <f t="shared" si="11"/>
        <v>0</v>
      </c>
      <c r="S158" s="12">
        <f t="shared" si="12"/>
        <v>0</v>
      </c>
      <c r="T158" s="208">
        <f>S158*係数!$H$30</f>
        <v>0</v>
      </c>
      <c r="U158" s="12">
        <f t="shared" si="13"/>
        <v>0</v>
      </c>
      <c r="V158" s="211">
        <f t="shared" si="13"/>
        <v>0</v>
      </c>
    </row>
    <row r="159" spans="2:22" x14ac:dyDescent="0.4">
      <c r="B159" s="194" t="s">
        <v>702</v>
      </c>
      <c r="C159" s="35"/>
      <c r="D159" s="291"/>
      <c r="E159" s="461"/>
      <c r="F159" s="212"/>
      <c r="G159" s="212"/>
      <c r="H159" s="213"/>
      <c r="I159" s="27"/>
      <c r="J159" s="207">
        <f t="shared" si="14"/>
        <v>0</v>
      </c>
      <c r="K159" s="207">
        <f t="shared" si="15"/>
        <v>0</v>
      </c>
      <c r="L159" s="208">
        <f>K159*係数!$H$30</f>
        <v>0</v>
      </c>
      <c r="M159" s="35"/>
      <c r="N159" s="27"/>
      <c r="O159" s="27"/>
      <c r="P159" s="213"/>
      <c r="Q159" s="27"/>
      <c r="R159" s="462">
        <f t="shared" si="11"/>
        <v>0</v>
      </c>
      <c r="S159" s="12">
        <f t="shared" si="12"/>
        <v>0</v>
      </c>
      <c r="T159" s="208">
        <f>S159*係数!$H$30</f>
        <v>0</v>
      </c>
      <c r="U159" s="12">
        <f t="shared" si="13"/>
        <v>0</v>
      </c>
      <c r="V159" s="211">
        <f t="shared" si="13"/>
        <v>0</v>
      </c>
    </row>
    <row r="160" spans="2:22" x14ac:dyDescent="0.4">
      <c r="B160" s="194" t="s">
        <v>703</v>
      </c>
      <c r="C160" s="35"/>
      <c r="D160" s="291"/>
      <c r="E160" s="461"/>
      <c r="F160" s="212"/>
      <c r="G160" s="212"/>
      <c r="H160" s="213"/>
      <c r="I160" s="27"/>
      <c r="J160" s="207">
        <f t="shared" si="14"/>
        <v>0</v>
      </c>
      <c r="K160" s="207">
        <f t="shared" si="15"/>
        <v>0</v>
      </c>
      <c r="L160" s="208">
        <f>K160*係数!$H$30</f>
        <v>0</v>
      </c>
      <c r="M160" s="35"/>
      <c r="N160" s="27"/>
      <c r="O160" s="27"/>
      <c r="P160" s="213"/>
      <c r="Q160" s="27"/>
      <c r="R160" s="462">
        <f t="shared" si="11"/>
        <v>0</v>
      </c>
      <c r="S160" s="12">
        <f t="shared" si="12"/>
        <v>0</v>
      </c>
      <c r="T160" s="208">
        <f>S160*係数!$H$30</f>
        <v>0</v>
      </c>
      <c r="U160" s="12">
        <f t="shared" si="13"/>
        <v>0</v>
      </c>
      <c r="V160" s="211">
        <f t="shared" si="13"/>
        <v>0</v>
      </c>
    </row>
    <row r="161" spans="2:22" x14ac:dyDescent="0.4">
      <c r="B161" s="194" t="s">
        <v>704</v>
      </c>
      <c r="C161" s="35"/>
      <c r="D161" s="291"/>
      <c r="E161" s="461"/>
      <c r="F161" s="212"/>
      <c r="G161" s="212"/>
      <c r="H161" s="213"/>
      <c r="I161" s="27"/>
      <c r="J161" s="207">
        <f t="shared" si="14"/>
        <v>0</v>
      </c>
      <c r="K161" s="207">
        <f t="shared" si="15"/>
        <v>0</v>
      </c>
      <c r="L161" s="208">
        <f>K161*係数!$H$30</f>
        <v>0</v>
      </c>
      <c r="M161" s="35"/>
      <c r="N161" s="27"/>
      <c r="O161" s="27"/>
      <c r="P161" s="213"/>
      <c r="Q161" s="27"/>
      <c r="R161" s="462">
        <f t="shared" si="11"/>
        <v>0</v>
      </c>
      <c r="S161" s="12">
        <f t="shared" si="12"/>
        <v>0</v>
      </c>
      <c r="T161" s="208">
        <f>S161*係数!$H$30</f>
        <v>0</v>
      </c>
      <c r="U161" s="12">
        <f t="shared" si="13"/>
        <v>0</v>
      </c>
      <c r="V161" s="211">
        <f t="shared" si="13"/>
        <v>0</v>
      </c>
    </row>
    <row r="162" spans="2:22" x14ac:dyDescent="0.4">
      <c r="B162" s="194" t="s">
        <v>705</v>
      </c>
      <c r="C162" s="35"/>
      <c r="D162" s="291"/>
      <c r="E162" s="461"/>
      <c r="F162" s="212"/>
      <c r="G162" s="212"/>
      <c r="H162" s="213"/>
      <c r="I162" s="27"/>
      <c r="J162" s="207">
        <f t="shared" si="14"/>
        <v>0</v>
      </c>
      <c r="K162" s="207">
        <f t="shared" si="15"/>
        <v>0</v>
      </c>
      <c r="L162" s="208">
        <f>K162*係数!$H$30</f>
        <v>0</v>
      </c>
      <c r="M162" s="35"/>
      <c r="N162" s="27"/>
      <c r="O162" s="27"/>
      <c r="P162" s="213"/>
      <c r="Q162" s="27"/>
      <c r="R162" s="462">
        <f t="shared" si="11"/>
        <v>0</v>
      </c>
      <c r="S162" s="12">
        <f t="shared" si="12"/>
        <v>0</v>
      </c>
      <c r="T162" s="208">
        <f>S162*係数!$H$30</f>
        <v>0</v>
      </c>
      <c r="U162" s="12">
        <f t="shared" si="13"/>
        <v>0</v>
      </c>
      <c r="V162" s="211">
        <f t="shared" si="13"/>
        <v>0</v>
      </c>
    </row>
    <row r="163" spans="2:22" x14ac:dyDescent="0.4">
      <c r="B163" s="194" t="s">
        <v>706</v>
      </c>
      <c r="C163" s="35"/>
      <c r="D163" s="291"/>
      <c r="E163" s="461"/>
      <c r="F163" s="212"/>
      <c r="G163" s="212"/>
      <c r="H163" s="213"/>
      <c r="I163" s="27"/>
      <c r="J163" s="207">
        <f t="shared" si="14"/>
        <v>0</v>
      </c>
      <c r="K163" s="207">
        <f t="shared" si="15"/>
        <v>0</v>
      </c>
      <c r="L163" s="208">
        <f>K163*係数!$H$30</f>
        <v>0</v>
      </c>
      <c r="M163" s="35"/>
      <c r="N163" s="27"/>
      <c r="O163" s="27"/>
      <c r="P163" s="213"/>
      <c r="Q163" s="27"/>
      <c r="R163" s="462">
        <f t="shared" si="11"/>
        <v>0</v>
      </c>
      <c r="S163" s="12">
        <f t="shared" si="12"/>
        <v>0</v>
      </c>
      <c r="T163" s="208">
        <f>S163*係数!$H$30</f>
        <v>0</v>
      </c>
      <c r="U163" s="12">
        <f t="shared" si="13"/>
        <v>0</v>
      </c>
      <c r="V163" s="211">
        <f t="shared" si="13"/>
        <v>0</v>
      </c>
    </row>
    <row r="164" spans="2:22" x14ac:dyDescent="0.4">
      <c r="B164" s="194" t="s">
        <v>707</v>
      </c>
      <c r="C164" s="35"/>
      <c r="D164" s="291"/>
      <c r="E164" s="461"/>
      <c r="F164" s="212"/>
      <c r="G164" s="212"/>
      <c r="H164" s="213"/>
      <c r="I164" s="27"/>
      <c r="J164" s="207">
        <f t="shared" si="14"/>
        <v>0</v>
      </c>
      <c r="K164" s="207">
        <f t="shared" si="15"/>
        <v>0</v>
      </c>
      <c r="L164" s="208">
        <f>K164*係数!$H$30</f>
        <v>0</v>
      </c>
      <c r="M164" s="35"/>
      <c r="N164" s="27"/>
      <c r="O164" s="27"/>
      <c r="P164" s="213"/>
      <c r="Q164" s="27"/>
      <c r="R164" s="462">
        <f t="shared" si="11"/>
        <v>0</v>
      </c>
      <c r="S164" s="12">
        <f t="shared" si="12"/>
        <v>0</v>
      </c>
      <c r="T164" s="208">
        <f>S164*係数!$H$30</f>
        <v>0</v>
      </c>
      <c r="U164" s="12">
        <f t="shared" si="13"/>
        <v>0</v>
      </c>
      <c r="V164" s="211">
        <f t="shared" si="13"/>
        <v>0</v>
      </c>
    </row>
    <row r="165" spans="2:22" x14ac:dyDescent="0.4">
      <c r="B165" s="194" t="s">
        <v>708</v>
      </c>
      <c r="C165" s="35"/>
      <c r="D165" s="291"/>
      <c r="E165" s="461"/>
      <c r="F165" s="212"/>
      <c r="G165" s="212"/>
      <c r="H165" s="213"/>
      <c r="I165" s="27"/>
      <c r="J165" s="207">
        <f t="shared" si="14"/>
        <v>0</v>
      </c>
      <c r="K165" s="207">
        <f t="shared" si="15"/>
        <v>0</v>
      </c>
      <c r="L165" s="208">
        <f>K165*係数!$H$30</f>
        <v>0</v>
      </c>
      <c r="M165" s="35"/>
      <c r="N165" s="27"/>
      <c r="O165" s="27"/>
      <c r="P165" s="213"/>
      <c r="Q165" s="27"/>
      <c r="R165" s="462">
        <f t="shared" si="11"/>
        <v>0</v>
      </c>
      <c r="S165" s="12">
        <f t="shared" si="12"/>
        <v>0</v>
      </c>
      <c r="T165" s="208">
        <f>S165*係数!$H$30</f>
        <v>0</v>
      </c>
      <c r="U165" s="12">
        <f t="shared" si="13"/>
        <v>0</v>
      </c>
      <c r="V165" s="211">
        <f t="shared" si="13"/>
        <v>0</v>
      </c>
    </row>
    <row r="166" spans="2:22" x14ac:dyDescent="0.4">
      <c r="B166" s="194" t="s">
        <v>709</v>
      </c>
      <c r="C166" s="35"/>
      <c r="D166" s="291"/>
      <c r="E166" s="461"/>
      <c r="F166" s="212"/>
      <c r="G166" s="212"/>
      <c r="H166" s="213"/>
      <c r="I166" s="27"/>
      <c r="J166" s="207">
        <f t="shared" si="14"/>
        <v>0</v>
      </c>
      <c r="K166" s="207">
        <f t="shared" si="15"/>
        <v>0</v>
      </c>
      <c r="L166" s="208">
        <f>K166*係数!$H$30</f>
        <v>0</v>
      </c>
      <c r="M166" s="35"/>
      <c r="N166" s="27"/>
      <c r="O166" s="27"/>
      <c r="P166" s="213"/>
      <c r="Q166" s="27"/>
      <c r="R166" s="462">
        <f t="shared" si="11"/>
        <v>0</v>
      </c>
      <c r="S166" s="12">
        <f t="shared" si="12"/>
        <v>0</v>
      </c>
      <c r="T166" s="208">
        <f>S166*係数!$H$30</f>
        <v>0</v>
      </c>
      <c r="U166" s="12">
        <f t="shared" si="13"/>
        <v>0</v>
      </c>
      <c r="V166" s="211">
        <f t="shared" si="13"/>
        <v>0</v>
      </c>
    </row>
    <row r="167" spans="2:22" x14ac:dyDescent="0.4">
      <c r="B167" s="194" t="s">
        <v>710</v>
      </c>
      <c r="C167" s="35"/>
      <c r="D167" s="291"/>
      <c r="E167" s="461"/>
      <c r="F167" s="212"/>
      <c r="G167" s="212"/>
      <c r="H167" s="213"/>
      <c r="I167" s="27"/>
      <c r="J167" s="207">
        <f t="shared" si="14"/>
        <v>0</v>
      </c>
      <c r="K167" s="207">
        <f t="shared" si="15"/>
        <v>0</v>
      </c>
      <c r="L167" s="208">
        <f>K167*係数!$H$30</f>
        <v>0</v>
      </c>
      <c r="M167" s="35"/>
      <c r="N167" s="27"/>
      <c r="O167" s="27"/>
      <c r="P167" s="213"/>
      <c r="Q167" s="27"/>
      <c r="R167" s="462">
        <f t="shared" si="11"/>
        <v>0</v>
      </c>
      <c r="S167" s="12">
        <f t="shared" si="12"/>
        <v>0</v>
      </c>
      <c r="T167" s="208">
        <f>S167*係数!$H$30</f>
        <v>0</v>
      </c>
      <c r="U167" s="12">
        <f t="shared" si="13"/>
        <v>0</v>
      </c>
      <c r="V167" s="211">
        <f t="shared" si="13"/>
        <v>0</v>
      </c>
    </row>
    <row r="168" spans="2:22" x14ac:dyDescent="0.4">
      <c r="B168" s="194" t="s">
        <v>711</v>
      </c>
      <c r="C168" s="35"/>
      <c r="D168" s="291"/>
      <c r="E168" s="461"/>
      <c r="F168" s="212"/>
      <c r="G168" s="212"/>
      <c r="H168" s="213"/>
      <c r="I168" s="27"/>
      <c r="J168" s="207">
        <f t="shared" si="14"/>
        <v>0</v>
      </c>
      <c r="K168" s="207">
        <f t="shared" si="15"/>
        <v>0</v>
      </c>
      <c r="L168" s="208">
        <f>K168*係数!$H$30</f>
        <v>0</v>
      </c>
      <c r="M168" s="35"/>
      <c r="N168" s="27"/>
      <c r="O168" s="27"/>
      <c r="P168" s="213"/>
      <c r="Q168" s="27"/>
      <c r="R168" s="462">
        <f t="shared" si="11"/>
        <v>0</v>
      </c>
      <c r="S168" s="12">
        <f t="shared" si="12"/>
        <v>0</v>
      </c>
      <c r="T168" s="208">
        <f>S168*係数!$H$30</f>
        <v>0</v>
      </c>
      <c r="U168" s="12">
        <f t="shared" si="13"/>
        <v>0</v>
      </c>
      <c r="V168" s="211">
        <f t="shared" si="13"/>
        <v>0</v>
      </c>
    </row>
    <row r="169" spans="2:22" x14ac:dyDescent="0.4">
      <c r="B169" s="194" t="s">
        <v>712</v>
      </c>
      <c r="C169" s="35"/>
      <c r="D169" s="291"/>
      <c r="E169" s="461"/>
      <c r="F169" s="212"/>
      <c r="G169" s="212"/>
      <c r="H169" s="213"/>
      <c r="I169" s="27"/>
      <c r="J169" s="207">
        <f t="shared" si="14"/>
        <v>0</v>
      </c>
      <c r="K169" s="207">
        <f t="shared" si="15"/>
        <v>0</v>
      </c>
      <c r="L169" s="208">
        <f>K169*係数!$H$30</f>
        <v>0</v>
      </c>
      <c r="M169" s="35"/>
      <c r="N169" s="27"/>
      <c r="O169" s="27"/>
      <c r="P169" s="213"/>
      <c r="Q169" s="27"/>
      <c r="R169" s="462">
        <f t="shared" si="11"/>
        <v>0</v>
      </c>
      <c r="S169" s="12">
        <f t="shared" si="12"/>
        <v>0</v>
      </c>
      <c r="T169" s="208">
        <f>S169*係数!$H$30</f>
        <v>0</v>
      </c>
      <c r="U169" s="12">
        <f t="shared" si="13"/>
        <v>0</v>
      </c>
      <c r="V169" s="211">
        <f t="shared" si="13"/>
        <v>0</v>
      </c>
    </row>
    <row r="170" spans="2:22" x14ac:dyDescent="0.4">
      <c r="B170" s="194" t="s">
        <v>713</v>
      </c>
      <c r="C170" s="35"/>
      <c r="D170" s="291"/>
      <c r="E170" s="461"/>
      <c r="F170" s="212"/>
      <c r="G170" s="212"/>
      <c r="H170" s="213"/>
      <c r="I170" s="27"/>
      <c r="J170" s="207">
        <f t="shared" si="14"/>
        <v>0</v>
      </c>
      <c r="K170" s="207">
        <f t="shared" si="15"/>
        <v>0</v>
      </c>
      <c r="L170" s="208">
        <f>K170*係数!$H$30</f>
        <v>0</v>
      </c>
      <c r="M170" s="35"/>
      <c r="N170" s="27"/>
      <c r="O170" s="27"/>
      <c r="P170" s="213"/>
      <c r="Q170" s="27"/>
      <c r="R170" s="462">
        <f t="shared" si="11"/>
        <v>0</v>
      </c>
      <c r="S170" s="12">
        <f t="shared" si="12"/>
        <v>0</v>
      </c>
      <c r="T170" s="208">
        <f>S170*係数!$H$30</f>
        <v>0</v>
      </c>
      <c r="U170" s="12">
        <f t="shared" si="13"/>
        <v>0</v>
      </c>
      <c r="V170" s="211">
        <f t="shared" si="13"/>
        <v>0</v>
      </c>
    </row>
    <row r="171" spans="2:22" x14ac:dyDescent="0.4">
      <c r="B171" s="194" t="s">
        <v>714</v>
      </c>
      <c r="C171" s="35"/>
      <c r="D171" s="291"/>
      <c r="E171" s="461"/>
      <c r="F171" s="212"/>
      <c r="G171" s="212"/>
      <c r="H171" s="213"/>
      <c r="I171" s="27"/>
      <c r="J171" s="207">
        <f t="shared" si="14"/>
        <v>0</v>
      </c>
      <c r="K171" s="207">
        <f t="shared" si="15"/>
        <v>0</v>
      </c>
      <c r="L171" s="208">
        <f>K171*係数!$H$30</f>
        <v>0</v>
      </c>
      <c r="M171" s="35"/>
      <c r="N171" s="27"/>
      <c r="O171" s="27"/>
      <c r="P171" s="213"/>
      <c r="Q171" s="27"/>
      <c r="R171" s="462">
        <f t="shared" si="11"/>
        <v>0</v>
      </c>
      <c r="S171" s="12">
        <f t="shared" si="12"/>
        <v>0</v>
      </c>
      <c r="T171" s="208">
        <f>S171*係数!$H$30</f>
        <v>0</v>
      </c>
      <c r="U171" s="12">
        <f t="shared" si="13"/>
        <v>0</v>
      </c>
      <c r="V171" s="211">
        <f t="shared" si="13"/>
        <v>0</v>
      </c>
    </row>
    <row r="172" spans="2:22" x14ac:dyDescent="0.4">
      <c r="B172" s="194" t="s">
        <v>715</v>
      </c>
      <c r="C172" s="35"/>
      <c r="D172" s="291"/>
      <c r="E172" s="461"/>
      <c r="F172" s="212"/>
      <c r="G172" s="212"/>
      <c r="H172" s="213"/>
      <c r="I172" s="27"/>
      <c r="J172" s="207">
        <f t="shared" si="14"/>
        <v>0</v>
      </c>
      <c r="K172" s="207">
        <f t="shared" si="15"/>
        <v>0</v>
      </c>
      <c r="L172" s="208">
        <f>K172*係数!$H$30</f>
        <v>0</v>
      </c>
      <c r="M172" s="35"/>
      <c r="N172" s="27"/>
      <c r="O172" s="27"/>
      <c r="P172" s="213"/>
      <c r="Q172" s="27"/>
      <c r="R172" s="462">
        <f t="shared" si="11"/>
        <v>0</v>
      </c>
      <c r="S172" s="12">
        <f t="shared" si="12"/>
        <v>0</v>
      </c>
      <c r="T172" s="208">
        <f>S172*係数!$H$30</f>
        <v>0</v>
      </c>
      <c r="U172" s="12">
        <f t="shared" si="13"/>
        <v>0</v>
      </c>
      <c r="V172" s="211">
        <f t="shared" si="13"/>
        <v>0</v>
      </c>
    </row>
    <row r="173" spans="2:22" x14ac:dyDescent="0.4">
      <c r="B173" s="194" t="s">
        <v>716</v>
      </c>
      <c r="C173" s="35"/>
      <c r="D173" s="291"/>
      <c r="E173" s="461"/>
      <c r="F173" s="212"/>
      <c r="G173" s="212"/>
      <c r="H173" s="213"/>
      <c r="I173" s="27"/>
      <c r="J173" s="207">
        <f t="shared" si="14"/>
        <v>0</v>
      </c>
      <c r="K173" s="207">
        <f t="shared" si="15"/>
        <v>0</v>
      </c>
      <c r="L173" s="208">
        <f>K173*係数!$H$30</f>
        <v>0</v>
      </c>
      <c r="M173" s="35"/>
      <c r="N173" s="27"/>
      <c r="O173" s="27"/>
      <c r="P173" s="213"/>
      <c r="Q173" s="27"/>
      <c r="R173" s="462">
        <f t="shared" si="11"/>
        <v>0</v>
      </c>
      <c r="S173" s="12">
        <f t="shared" si="12"/>
        <v>0</v>
      </c>
      <c r="T173" s="208">
        <f>S173*係数!$H$30</f>
        <v>0</v>
      </c>
      <c r="U173" s="12">
        <f t="shared" si="13"/>
        <v>0</v>
      </c>
      <c r="V173" s="211">
        <f t="shared" si="13"/>
        <v>0</v>
      </c>
    </row>
    <row r="174" spans="2:22" x14ac:dyDescent="0.4">
      <c r="B174" s="194" t="s">
        <v>717</v>
      </c>
      <c r="C174" s="35"/>
      <c r="D174" s="291"/>
      <c r="E174" s="461"/>
      <c r="F174" s="212"/>
      <c r="G174" s="212"/>
      <c r="H174" s="213"/>
      <c r="I174" s="27"/>
      <c r="J174" s="207">
        <f t="shared" si="14"/>
        <v>0</v>
      </c>
      <c r="K174" s="207">
        <f t="shared" si="15"/>
        <v>0</v>
      </c>
      <c r="L174" s="208">
        <f>K174*係数!$H$30</f>
        <v>0</v>
      </c>
      <c r="M174" s="35"/>
      <c r="N174" s="27"/>
      <c r="O174" s="27"/>
      <c r="P174" s="213"/>
      <c r="Q174" s="27"/>
      <c r="R174" s="462">
        <f t="shared" si="11"/>
        <v>0</v>
      </c>
      <c r="S174" s="12">
        <f t="shared" si="12"/>
        <v>0</v>
      </c>
      <c r="T174" s="208">
        <f>S174*係数!$H$30</f>
        <v>0</v>
      </c>
      <c r="U174" s="12">
        <f t="shared" si="13"/>
        <v>0</v>
      </c>
      <c r="V174" s="211">
        <f t="shared" si="13"/>
        <v>0</v>
      </c>
    </row>
    <row r="175" spans="2:22" x14ac:dyDescent="0.4">
      <c r="B175" s="194" t="s">
        <v>718</v>
      </c>
      <c r="C175" s="35"/>
      <c r="D175" s="291"/>
      <c r="E175" s="461"/>
      <c r="F175" s="212"/>
      <c r="G175" s="212"/>
      <c r="H175" s="213"/>
      <c r="I175" s="27"/>
      <c r="J175" s="207">
        <f t="shared" si="14"/>
        <v>0</v>
      </c>
      <c r="K175" s="207">
        <f t="shared" si="15"/>
        <v>0</v>
      </c>
      <c r="L175" s="208">
        <f>K175*係数!$H$30</f>
        <v>0</v>
      </c>
      <c r="M175" s="35"/>
      <c r="N175" s="27"/>
      <c r="O175" s="27"/>
      <c r="P175" s="213"/>
      <c r="Q175" s="27"/>
      <c r="R175" s="462">
        <f t="shared" si="11"/>
        <v>0</v>
      </c>
      <c r="S175" s="12">
        <f t="shared" si="12"/>
        <v>0</v>
      </c>
      <c r="T175" s="208">
        <f>S175*係数!$H$30</f>
        <v>0</v>
      </c>
      <c r="U175" s="12">
        <f t="shared" si="13"/>
        <v>0</v>
      </c>
      <c r="V175" s="211">
        <f t="shared" si="13"/>
        <v>0</v>
      </c>
    </row>
    <row r="176" spans="2:22" x14ac:dyDescent="0.4">
      <c r="B176" s="194" t="s">
        <v>719</v>
      </c>
      <c r="C176" s="35"/>
      <c r="D176" s="291"/>
      <c r="E176" s="461"/>
      <c r="F176" s="212"/>
      <c r="G176" s="212"/>
      <c r="H176" s="213"/>
      <c r="I176" s="27"/>
      <c r="J176" s="207">
        <f t="shared" si="14"/>
        <v>0</v>
      </c>
      <c r="K176" s="207">
        <f t="shared" si="15"/>
        <v>0</v>
      </c>
      <c r="L176" s="208">
        <f>K176*係数!$H$30</f>
        <v>0</v>
      </c>
      <c r="M176" s="35"/>
      <c r="N176" s="27"/>
      <c r="O176" s="27"/>
      <c r="P176" s="213"/>
      <c r="Q176" s="27"/>
      <c r="R176" s="462">
        <f t="shared" si="11"/>
        <v>0</v>
      </c>
      <c r="S176" s="12">
        <f t="shared" si="12"/>
        <v>0</v>
      </c>
      <c r="T176" s="208">
        <f>S176*係数!$H$30</f>
        <v>0</v>
      </c>
      <c r="U176" s="12">
        <f t="shared" si="13"/>
        <v>0</v>
      </c>
      <c r="V176" s="211">
        <f t="shared" si="13"/>
        <v>0</v>
      </c>
    </row>
    <row r="177" spans="2:22" x14ac:dyDescent="0.4">
      <c r="B177" s="194" t="s">
        <v>720</v>
      </c>
      <c r="C177" s="35"/>
      <c r="D177" s="291"/>
      <c r="E177" s="461"/>
      <c r="F177" s="212"/>
      <c r="G177" s="212"/>
      <c r="H177" s="213"/>
      <c r="I177" s="27"/>
      <c r="J177" s="207">
        <f t="shared" si="14"/>
        <v>0</v>
      </c>
      <c r="K177" s="207">
        <f t="shared" si="15"/>
        <v>0</v>
      </c>
      <c r="L177" s="208">
        <f>K177*係数!$H$30</f>
        <v>0</v>
      </c>
      <c r="M177" s="35"/>
      <c r="N177" s="27"/>
      <c r="O177" s="27"/>
      <c r="P177" s="213"/>
      <c r="Q177" s="27"/>
      <c r="R177" s="462">
        <f t="shared" si="11"/>
        <v>0</v>
      </c>
      <c r="S177" s="12">
        <f t="shared" si="12"/>
        <v>0</v>
      </c>
      <c r="T177" s="208">
        <f>S177*係数!$H$30</f>
        <v>0</v>
      </c>
      <c r="U177" s="12">
        <f t="shared" si="13"/>
        <v>0</v>
      </c>
      <c r="V177" s="211">
        <f t="shared" si="13"/>
        <v>0</v>
      </c>
    </row>
    <row r="178" spans="2:22" x14ac:dyDescent="0.4">
      <c r="B178" s="194" t="s">
        <v>721</v>
      </c>
      <c r="C178" s="35"/>
      <c r="D178" s="291"/>
      <c r="E178" s="461"/>
      <c r="F178" s="212"/>
      <c r="G178" s="212"/>
      <c r="H178" s="213"/>
      <c r="I178" s="27"/>
      <c r="J178" s="207">
        <f t="shared" si="14"/>
        <v>0</v>
      </c>
      <c r="K178" s="207">
        <f t="shared" si="15"/>
        <v>0</v>
      </c>
      <c r="L178" s="208">
        <f>K178*係数!$H$30</f>
        <v>0</v>
      </c>
      <c r="M178" s="35"/>
      <c r="N178" s="27"/>
      <c r="O178" s="27"/>
      <c r="P178" s="213"/>
      <c r="Q178" s="27"/>
      <c r="R178" s="462">
        <f t="shared" si="11"/>
        <v>0</v>
      </c>
      <c r="S178" s="12">
        <f t="shared" si="12"/>
        <v>0</v>
      </c>
      <c r="T178" s="208">
        <f>S178*係数!$H$30</f>
        <v>0</v>
      </c>
      <c r="U178" s="12">
        <f t="shared" si="13"/>
        <v>0</v>
      </c>
      <c r="V178" s="211">
        <f t="shared" si="13"/>
        <v>0</v>
      </c>
    </row>
    <row r="179" spans="2:22" x14ac:dyDescent="0.4">
      <c r="B179" s="194" t="s">
        <v>722</v>
      </c>
      <c r="C179" s="35"/>
      <c r="D179" s="291"/>
      <c r="E179" s="461"/>
      <c r="F179" s="212"/>
      <c r="G179" s="212"/>
      <c r="H179" s="213"/>
      <c r="I179" s="27"/>
      <c r="J179" s="207">
        <f t="shared" si="14"/>
        <v>0</v>
      </c>
      <c r="K179" s="207">
        <f t="shared" si="15"/>
        <v>0</v>
      </c>
      <c r="L179" s="208">
        <f>K179*係数!$H$30</f>
        <v>0</v>
      </c>
      <c r="M179" s="35"/>
      <c r="N179" s="27"/>
      <c r="O179" s="27"/>
      <c r="P179" s="213"/>
      <c r="Q179" s="27"/>
      <c r="R179" s="462">
        <f t="shared" si="11"/>
        <v>0</v>
      </c>
      <c r="S179" s="12">
        <f t="shared" si="12"/>
        <v>0</v>
      </c>
      <c r="T179" s="208">
        <f>S179*係数!$H$30</f>
        <v>0</v>
      </c>
      <c r="U179" s="12">
        <f t="shared" si="13"/>
        <v>0</v>
      </c>
      <c r="V179" s="211">
        <f t="shared" si="13"/>
        <v>0</v>
      </c>
    </row>
    <row r="180" spans="2:22" x14ac:dyDescent="0.4">
      <c r="B180" s="194" t="s">
        <v>723</v>
      </c>
      <c r="C180" s="35"/>
      <c r="D180" s="291"/>
      <c r="E180" s="461"/>
      <c r="F180" s="212"/>
      <c r="G180" s="212"/>
      <c r="H180" s="213"/>
      <c r="I180" s="27"/>
      <c r="J180" s="207">
        <f t="shared" si="14"/>
        <v>0</v>
      </c>
      <c r="K180" s="207">
        <f t="shared" si="15"/>
        <v>0</v>
      </c>
      <c r="L180" s="208">
        <f>K180*係数!$H$30</f>
        <v>0</v>
      </c>
      <c r="M180" s="35"/>
      <c r="N180" s="27"/>
      <c r="O180" s="27"/>
      <c r="P180" s="213"/>
      <c r="Q180" s="27"/>
      <c r="R180" s="462">
        <f t="shared" si="11"/>
        <v>0</v>
      </c>
      <c r="S180" s="12">
        <f t="shared" si="12"/>
        <v>0</v>
      </c>
      <c r="T180" s="208">
        <f>S180*係数!$H$30</f>
        <v>0</v>
      </c>
      <c r="U180" s="12">
        <f t="shared" si="13"/>
        <v>0</v>
      </c>
      <c r="V180" s="211">
        <f t="shared" si="13"/>
        <v>0</v>
      </c>
    </row>
    <row r="181" spans="2:22" x14ac:dyDescent="0.4">
      <c r="B181" s="194" t="s">
        <v>724</v>
      </c>
      <c r="C181" s="35"/>
      <c r="D181" s="291"/>
      <c r="E181" s="461"/>
      <c r="F181" s="212"/>
      <c r="G181" s="212"/>
      <c r="H181" s="213"/>
      <c r="I181" s="27"/>
      <c r="J181" s="207">
        <f t="shared" si="14"/>
        <v>0</v>
      </c>
      <c r="K181" s="207">
        <f t="shared" si="15"/>
        <v>0</v>
      </c>
      <c r="L181" s="208">
        <f>K181*係数!$H$30</f>
        <v>0</v>
      </c>
      <c r="M181" s="35"/>
      <c r="N181" s="27"/>
      <c r="O181" s="27"/>
      <c r="P181" s="213"/>
      <c r="Q181" s="27"/>
      <c r="R181" s="462">
        <f t="shared" si="11"/>
        <v>0</v>
      </c>
      <c r="S181" s="12">
        <f t="shared" si="12"/>
        <v>0</v>
      </c>
      <c r="T181" s="208">
        <f>S181*係数!$H$30</f>
        <v>0</v>
      </c>
      <c r="U181" s="12">
        <f t="shared" si="13"/>
        <v>0</v>
      </c>
      <c r="V181" s="211">
        <f t="shared" si="13"/>
        <v>0</v>
      </c>
    </row>
    <row r="182" spans="2:22" x14ac:dyDescent="0.4">
      <c r="B182" s="194" t="s">
        <v>725</v>
      </c>
      <c r="C182" s="35"/>
      <c r="D182" s="291"/>
      <c r="E182" s="461"/>
      <c r="F182" s="212"/>
      <c r="G182" s="212"/>
      <c r="H182" s="213"/>
      <c r="I182" s="27"/>
      <c r="J182" s="207">
        <f t="shared" si="14"/>
        <v>0</v>
      </c>
      <c r="K182" s="207">
        <f t="shared" si="15"/>
        <v>0</v>
      </c>
      <c r="L182" s="208">
        <f>K182*係数!$H$30</f>
        <v>0</v>
      </c>
      <c r="M182" s="35"/>
      <c r="N182" s="27"/>
      <c r="O182" s="27"/>
      <c r="P182" s="213"/>
      <c r="Q182" s="27"/>
      <c r="R182" s="462">
        <f t="shared" si="11"/>
        <v>0</v>
      </c>
      <c r="S182" s="12">
        <f t="shared" si="12"/>
        <v>0</v>
      </c>
      <c r="T182" s="208">
        <f>S182*係数!$H$30</f>
        <v>0</v>
      </c>
      <c r="U182" s="12">
        <f t="shared" si="13"/>
        <v>0</v>
      </c>
      <c r="V182" s="211">
        <f t="shared" si="13"/>
        <v>0</v>
      </c>
    </row>
    <row r="183" spans="2:22" x14ac:dyDescent="0.4">
      <c r="B183" s="194" t="s">
        <v>726</v>
      </c>
      <c r="C183" s="35"/>
      <c r="D183" s="291"/>
      <c r="E183" s="461"/>
      <c r="F183" s="212"/>
      <c r="G183" s="212"/>
      <c r="H183" s="213"/>
      <c r="I183" s="27"/>
      <c r="J183" s="207">
        <f t="shared" si="14"/>
        <v>0</v>
      </c>
      <c r="K183" s="207">
        <f t="shared" si="15"/>
        <v>0</v>
      </c>
      <c r="L183" s="208">
        <f>K183*係数!$H$30</f>
        <v>0</v>
      </c>
      <c r="M183" s="35"/>
      <c r="N183" s="27"/>
      <c r="O183" s="27"/>
      <c r="P183" s="213"/>
      <c r="Q183" s="27"/>
      <c r="R183" s="462">
        <f t="shared" si="11"/>
        <v>0</v>
      </c>
      <c r="S183" s="12">
        <f t="shared" si="12"/>
        <v>0</v>
      </c>
      <c r="T183" s="208">
        <f>S183*係数!$H$30</f>
        <v>0</v>
      </c>
      <c r="U183" s="12">
        <f t="shared" si="13"/>
        <v>0</v>
      </c>
      <c r="V183" s="211">
        <f t="shared" si="13"/>
        <v>0</v>
      </c>
    </row>
    <row r="184" spans="2:22" x14ac:dyDescent="0.4">
      <c r="B184" s="194" t="s">
        <v>727</v>
      </c>
      <c r="C184" s="35"/>
      <c r="D184" s="291"/>
      <c r="E184" s="461"/>
      <c r="F184" s="212"/>
      <c r="G184" s="212"/>
      <c r="H184" s="213"/>
      <c r="I184" s="27"/>
      <c r="J184" s="207">
        <f t="shared" si="14"/>
        <v>0</v>
      </c>
      <c r="K184" s="207">
        <f t="shared" si="15"/>
        <v>0</v>
      </c>
      <c r="L184" s="208">
        <f>K184*係数!$H$30</f>
        <v>0</v>
      </c>
      <c r="M184" s="35"/>
      <c r="N184" s="27"/>
      <c r="O184" s="27"/>
      <c r="P184" s="213"/>
      <c r="Q184" s="27"/>
      <c r="R184" s="462">
        <f t="shared" si="11"/>
        <v>0</v>
      </c>
      <c r="S184" s="12">
        <f t="shared" si="12"/>
        <v>0</v>
      </c>
      <c r="T184" s="208">
        <f>S184*係数!$H$30</f>
        <v>0</v>
      </c>
      <c r="U184" s="12">
        <f t="shared" si="13"/>
        <v>0</v>
      </c>
      <c r="V184" s="211">
        <f t="shared" si="13"/>
        <v>0</v>
      </c>
    </row>
    <row r="185" spans="2:22" x14ac:dyDescent="0.4">
      <c r="B185" s="194" t="s">
        <v>728</v>
      </c>
      <c r="C185" s="35"/>
      <c r="D185" s="291"/>
      <c r="E185" s="461"/>
      <c r="F185" s="212"/>
      <c r="G185" s="212"/>
      <c r="H185" s="213"/>
      <c r="I185" s="27"/>
      <c r="J185" s="207">
        <f t="shared" si="14"/>
        <v>0</v>
      </c>
      <c r="K185" s="207">
        <f t="shared" si="15"/>
        <v>0</v>
      </c>
      <c r="L185" s="208">
        <f>K185*係数!$H$30</f>
        <v>0</v>
      </c>
      <c r="M185" s="35"/>
      <c r="N185" s="27"/>
      <c r="O185" s="27"/>
      <c r="P185" s="213"/>
      <c r="Q185" s="27"/>
      <c r="R185" s="462">
        <f t="shared" si="11"/>
        <v>0</v>
      </c>
      <c r="S185" s="12">
        <f t="shared" si="12"/>
        <v>0</v>
      </c>
      <c r="T185" s="208">
        <f>S185*係数!$H$30</f>
        <v>0</v>
      </c>
      <c r="U185" s="12">
        <f t="shared" si="13"/>
        <v>0</v>
      </c>
      <c r="V185" s="211">
        <f t="shared" si="13"/>
        <v>0</v>
      </c>
    </row>
    <row r="186" spans="2:22" x14ac:dyDescent="0.4">
      <c r="B186" s="194" t="s">
        <v>729</v>
      </c>
      <c r="C186" s="35"/>
      <c r="D186" s="291"/>
      <c r="E186" s="461"/>
      <c r="F186" s="212"/>
      <c r="G186" s="212"/>
      <c r="H186" s="213"/>
      <c r="I186" s="27"/>
      <c r="J186" s="207">
        <f t="shared" si="14"/>
        <v>0</v>
      </c>
      <c r="K186" s="207">
        <f t="shared" si="15"/>
        <v>0</v>
      </c>
      <c r="L186" s="208">
        <f>K186*係数!$H$30</f>
        <v>0</v>
      </c>
      <c r="M186" s="35"/>
      <c r="N186" s="27"/>
      <c r="O186" s="27"/>
      <c r="P186" s="213"/>
      <c r="Q186" s="27"/>
      <c r="R186" s="462">
        <f t="shared" si="11"/>
        <v>0</v>
      </c>
      <c r="S186" s="12">
        <f t="shared" si="12"/>
        <v>0</v>
      </c>
      <c r="T186" s="208">
        <f>S186*係数!$H$30</f>
        <v>0</v>
      </c>
      <c r="U186" s="12">
        <f t="shared" si="13"/>
        <v>0</v>
      </c>
      <c r="V186" s="211">
        <f t="shared" si="13"/>
        <v>0</v>
      </c>
    </row>
    <row r="187" spans="2:22" x14ac:dyDescent="0.4">
      <c r="B187" s="194" t="s">
        <v>730</v>
      </c>
      <c r="C187" s="35"/>
      <c r="D187" s="291"/>
      <c r="E187" s="461"/>
      <c r="F187" s="212"/>
      <c r="G187" s="212"/>
      <c r="H187" s="213"/>
      <c r="I187" s="27"/>
      <c r="J187" s="207">
        <f t="shared" si="14"/>
        <v>0</v>
      </c>
      <c r="K187" s="207">
        <f t="shared" si="15"/>
        <v>0</v>
      </c>
      <c r="L187" s="208">
        <f>K187*係数!$H$30</f>
        <v>0</v>
      </c>
      <c r="M187" s="35"/>
      <c r="N187" s="27"/>
      <c r="O187" s="27"/>
      <c r="P187" s="213"/>
      <c r="Q187" s="27"/>
      <c r="R187" s="462">
        <f t="shared" si="11"/>
        <v>0</v>
      </c>
      <c r="S187" s="12">
        <f t="shared" si="12"/>
        <v>0</v>
      </c>
      <c r="T187" s="208">
        <f>S187*係数!$H$30</f>
        <v>0</v>
      </c>
      <c r="U187" s="12">
        <f t="shared" si="13"/>
        <v>0</v>
      </c>
      <c r="V187" s="211">
        <f t="shared" si="13"/>
        <v>0</v>
      </c>
    </row>
    <row r="188" spans="2:22" x14ac:dyDescent="0.4">
      <c r="B188" s="194" t="s">
        <v>731</v>
      </c>
      <c r="C188" s="35"/>
      <c r="D188" s="291"/>
      <c r="E188" s="461"/>
      <c r="F188" s="212"/>
      <c r="G188" s="212"/>
      <c r="H188" s="213"/>
      <c r="I188" s="27"/>
      <c r="J188" s="207">
        <f t="shared" si="14"/>
        <v>0</v>
      </c>
      <c r="K188" s="207">
        <f t="shared" si="15"/>
        <v>0</v>
      </c>
      <c r="L188" s="208">
        <f>K188*係数!$H$30</f>
        <v>0</v>
      </c>
      <c r="M188" s="35"/>
      <c r="N188" s="27"/>
      <c r="O188" s="27"/>
      <c r="P188" s="213"/>
      <c r="Q188" s="27"/>
      <c r="R188" s="462">
        <f t="shared" si="11"/>
        <v>0</v>
      </c>
      <c r="S188" s="12">
        <f t="shared" si="12"/>
        <v>0</v>
      </c>
      <c r="T188" s="208">
        <f>S188*係数!$H$30</f>
        <v>0</v>
      </c>
      <c r="U188" s="12">
        <f t="shared" si="13"/>
        <v>0</v>
      </c>
      <c r="V188" s="211">
        <f t="shared" si="13"/>
        <v>0</v>
      </c>
    </row>
    <row r="189" spans="2:22" x14ac:dyDescent="0.4">
      <c r="B189" s="194" t="s">
        <v>732</v>
      </c>
      <c r="C189" s="35"/>
      <c r="D189" s="291"/>
      <c r="E189" s="461"/>
      <c r="F189" s="212"/>
      <c r="G189" s="212"/>
      <c r="H189" s="213"/>
      <c r="I189" s="27"/>
      <c r="J189" s="207">
        <f t="shared" si="14"/>
        <v>0</v>
      </c>
      <c r="K189" s="207">
        <f t="shared" si="15"/>
        <v>0</v>
      </c>
      <c r="L189" s="208">
        <f>K189*係数!$H$30</f>
        <v>0</v>
      </c>
      <c r="M189" s="35"/>
      <c r="N189" s="27"/>
      <c r="O189" s="27"/>
      <c r="P189" s="213"/>
      <c r="Q189" s="27"/>
      <c r="R189" s="462">
        <f t="shared" si="11"/>
        <v>0</v>
      </c>
      <c r="S189" s="12">
        <f t="shared" si="12"/>
        <v>0</v>
      </c>
      <c r="T189" s="208">
        <f>S189*係数!$H$30</f>
        <v>0</v>
      </c>
      <c r="U189" s="12">
        <f t="shared" si="13"/>
        <v>0</v>
      </c>
      <c r="V189" s="211">
        <f t="shared" si="13"/>
        <v>0</v>
      </c>
    </row>
    <row r="190" spans="2:22" x14ac:dyDescent="0.4">
      <c r="B190" s="194" t="s">
        <v>733</v>
      </c>
      <c r="C190" s="35"/>
      <c r="D190" s="291"/>
      <c r="E190" s="461"/>
      <c r="F190" s="212"/>
      <c r="G190" s="212"/>
      <c r="H190" s="213"/>
      <c r="I190" s="27"/>
      <c r="J190" s="207">
        <f t="shared" si="14"/>
        <v>0</v>
      </c>
      <c r="K190" s="207">
        <f t="shared" si="15"/>
        <v>0</v>
      </c>
      <c r="L190" s="208">
        <f>K190*係数!$H$30</f>
        <v>0</v>
      </c>
      <c r="M190" s="35"/>
      <c r="N190" s="27"/>
      <c r="O190" s="27"/>
      <c r="P190" s="213"/>
      <c r="Q190" s="27"/>
      <c r="R190" s="462">
        <f t="shared" si="11"/>
        <v>0</v>
      </c>
      <c r="S190" s="12">
        <f t="shared" si="12"/>
        <v>0</v>
      </c>
      <c r="T190" s="208">
        <f>S190*係数!$H$30</f>
        <v>0</v>
      </c>
      <c r="U190" s="12">
        <f t="shared" si="13"/>
        <v>0</v>
      </c>
      <c r="V190" s="211">
        <f t="shared" si="13"/>
        <v>0</v>
      </c>
    </row>
    <row r="191" spans="2:22" x14ac:dyDescent="0.4">
      <c r="B191" s="194" t="s">
        <v>734</v>
      </c>
      <c r="C191" s="35"/>
      <c r="D191" s="291"/>
      <c r="E191" s="461"/>
      <c r="F191" s="212"/>
      <c r="G191" s="212"/>
      <c r="H191" s="213"/>
      <c r="I191" s="27"/>
      <c r="J191" s="207">
        <f t="shared" si="14"/>
        <v>0</v>
      </c>
      <c r="K191" s="207">
        <f t="shared" si="15"/>
        <v>0</v>
      </c>
      <c r="L191" s="208">
        <f>K191*係数!$H$30</f>
        <v>0</v>
      </c>
      <c r="M191" s="35"/>
      <c r="N191" s="27"/>
      <c r="O191" s="27"/>
      <c r="P191" s="213"/>
      <c r="Q191" s="27"/>
      <c r="R191" s="462">
        <f t="shared" si="11"/>
        <v>0</v>
      </c>
      <c r="S191" s="12">
        <f t="shared" si="12"/>
        <v>0</v>
      </c>
      <c r="T191" s="208">
        <f>S191*係数!$H$30</f>
        <v>0</v>
      </c>
      <c r="U191" s="12">
        <f t="shared" si="13"/>
        <v>0</v>
      </c>
      <c r="V191" s="211">
        <f t="shared" si="13"/>
        <v>0</v>
      </c>
    </row>
    <row r="192" spans="2:22" x14ac:dyDescent="0.4">
      <c r="B192" s="194" t="s">
        <v>735</v>
      </c>
      <c r="C192" s="35"/>
      <c r="D192" s="291"/>
      <c r="E192" s="461"/>
      <c r="F192" s="212"/>
      <c r="G192" s="212"/>
      <c r="H192" s="213"/>
      <c r="I192" s="27"/>
      <c r="J192" s="207">
        <f t="shared" si="14"/>
        <v>0</v>
      </c>
      <c r="K192" s="207">
        <f t="shared" si="15"/>
        <v>0</v>
      </c>
      <c r="L192" s="208">
        <f>K192*係数!$H$30</f>
        <v>0</v>
      </c>
      <c r="M192" s="35"/>
      <c r="N192" s="27"/>
      <c r="O192" s="27"/>
      <c r="P192" s="213"/>
      <c r="Q192" s="27"/>
      <c r="R192" s="462">
        <f t="shared" si="11"/>
        <v>0</v>
      </c>
      <c r="S192" s="12">
        <f t="shared" si="12"/>
        <v>0</v>
      </c>
      <c r="T192" s="208">
        <f>S192*係数!$H$30</f>
        <v>0</v>
      </c>
      <c r="U192" s="12">
        <f t="shared" si="13"/>
        <v>0</v>
      </c>
      <c r="V192" s="211">
        <f t="shared" si="13"/>
        <v>0</v>
      </c>
    </row>
    <row r="193" spans="2:22" x14ac:dyDescent="0.4">
      <c r="B193" s="194" t="s">
        <v>736</v>
      </c>
      <c r="C193" s="35"/>
      <c r="D193" s="291"/>
      <c r="E193" s="461"/>
      <c r="F193" s="212"/>
      <c r="G193" s="212"/>
      <c r="H193" s="213"/>
      <c r="I193" s="27"/>
      <c r="J193" s="207">
        <f t="shared" si="14"/>
        <v>0</v>
      </c>
      <c r="K193" s="207">
        <f t="shared" si="15"/>
        <v>0</v>
      </c>
      <c r="L193" s="208">
        <f>K193*係数!$H$30</f>
        <v>0</v>
      </c>
      <c r="M193" s="35"/>
      <c r="N193" s="27"/>
      <c r="O193" s="27"/>
      <c r="P193" s="213"/>
      <c r="Q193" s="27"/>
      <c r="R193" s="462">
        <f t="shared" si="11"/>
        <v>0</v>
      </c>
      <c r="S193" s="12">
        <f t="shared" si="12"/>
        <v>0</v>
      </c>
      <c r="T193" s="208">
        <f>S193*係数!$H$30</f>
        <v>0</v>
      </c>
      <c r="U193" s="12">
        <f t="shared" si="13"/>
        <v>0</v>
      </c>
      <c r="V193" s="211">
        <f t="shared" si="13"/>
        <v>0</v>
      </c>
    </row>
    <row r="194" spans="2:22" x14ac:dyDescent="0.4">
      <c r="B194" s="194" t="s">
        <v>737</v>
      </c>
      <c r="C194" s="35"/>
      <c r="D194" s="291"/>
      <c r="E194" s="461"/>
      <c r="F194" s="212"/>
      <c r="G194" s="212"/>
      <c r="H194" s="213"/>
      <c r="I194" s="27"/>
      <c r="J194" s="207">
        <f t="shared" si="14"/>
        <v>0</v>
      </c>
      <c r="K194" s="207">
        <f t="shared" si="15"/>
        <v>0</v>
      </c>
      <c r="L194" s="208">
        <f>K194*係数!$H$30</f>
        <v>0</v>
      </c>
      <c r="M194" s="35"/>
      <c r="N194" s="27"/>
      <c r="O194" s="27"/>
      <c r="P194" s="213"/>
      <c r="Q194" s="27"/>
      <c r="R194" s="462">
        <f t="shared" si="11"/>
        <v>0</v>
      </c>
      <c r="S194" s="12">
        <f t="shared" si="12"/>
        <v>0</v>
      </c>
      <c r="T194" s="208">
        <f>S194*係数!$H$30</f>
        <v>0</v>
      </c>
      <c r="U194" s="12">
        <f t="shared" si="13"/>
        <v>0</v>
      </c>
      <c r="V194" s="211">
        <f t="shared" si="13"/>
        <v>0</v>
      </c>
    </row>
    <row r="195" spans="2:22" x14ac:dyDescent="0.4">
      <c r="B195" s="194" t="s">
        <v>738</v>
      </c>
      <c r="C195" s="35"/>
      <c r="D195" s="291"/>
      <c r="E195" s="461"/>
      <c r="F195" s="212"/>
      <c r="G195" s="212"/>
      <c r="H195" s="213"/>
      <c r="I195" s="27"/>
      <c r="J195" s="207">
        <f t="shared" si="14"/>
        <v>0</v>
      </c>
      <c r="K195" s="207">
        <f t="shared" si="15"/>
        <v>0</v>
      </c>
      <c r="L195" s="208">
        <f>K195*係数!$H$30</f>
        <v>0</v>
      </c>
      <c r="M195" s="35"/>
      <c r="N195" s="27"/>
      <c r="O195" s="27"/>
      <c r="P195" s="213"/>
      <c r="Q195" s="27"/>
      <c r="R195" s="462">
        <f t="shared" si="11"/>
        <v>0</v>
      </c>
      <c r="S195" s="12">
        <f t="shared" si="12"/>
        <v>0</v>
      </c>
      <c r="T195" s="208">
        <f>S195*係数!$H$30</f>
        <v>0</v>
      </c>
      <c r="U195" s="12">
        <f t="shared" si="13"/>
        <v>0</v>
      </c>
      <c r="V195" s="211">
        <f t="shared" si="13"/>
        <v>0</v>
      </c>
    </row>
    <row r="196" spans="2:22" x14ac:dyDescent="0.4">
      <c r="B196" s="194" t="s">
        <v>739</v>
      </c>
      <c r="C196" s="35"/>
      <c r="D196" s="291"/>
      <c r="E196" s="461"/>
      <c r="F196" s="212"/>
      <c r="G196" s="212"/>
      <c r="H196" s="213"/>
      <c r="I196" s="27"/>
      <c r="J196" s="207">
        <f t="shared" si="14"/>
        <v>0</v>
      </c>
      <c r="K196" s="207">
        <f t="shared" si="15"/>
        <v>0</v>
      </c>
      <c r="L196" s="208">
        <f>K196*係数!$H$30</f>
        <v>0</v>
      </c>
      <c r="M196" s="35"/>
      <c r="N196" s="27"/>
      <c r="O196" s="27"/>
      <c r="P196" s="213"/>
      <c r="Q196" s="27"/>
      <c r="R196" s="462">
        <f t="shared" si="11"/>
        <v>0</v>
      </c>
      <c r="S196" s="12">
        <f t="shared" si="12"/>
        <v>0</v>
      </c>
      <c r="T196" s="208">
        <f>S196*係数!$H$30</f>
        <v>0</v>
      </c>
      <c r="U196" s="12">
        <f t="shared" si="13"/>
        <v>0</v>
      </c>
      <c r="V196" s="211">
        <f t="shared" si="13"/>
        <v>0</v>
      </c>
    </row>
    <row r="197" spans="2:22" x14ac:dyDescent="0.4">
      <c r="B197" s="194" t="s">
        <v>740</v>
      </c>
      <c r="C197" s="35"/>
      <c r="D197" s="291"/>
      <c r="E197" s="461"/>
      <c r="F197" s="212"/>
      <c r="G197" s="212"/>
      <c r="H197" s="213"/>
      <c r="I197" s="27"/>
      <c r="J197" s="207">
        <f t="shared" si="14"/>
        <v>0</v>
      </c>
      <c r="K197" s="207">
        <f t="shared" si="15"/>
        <v>0</v>
      </c>
      <c r="L197" s="208">
        <f>K197*係数!$H$30</f>
        <v>0</v>
      </c>
      <c r="M197" s="35"/>
      <c r="N197" s="27"/>
      <c r="O197" s="27"/>
      <c r="P197" s="213"/>
      <c r="Q197" s="27"/>
      <c r="R197" s="462">
        <f t="shared" si="11"/>
        <v>0</v>
      </c>
      <c r="S197" s="12">
        <f t="shared" si="12"/>
        <v>0</v>
      </c>
      <c r="T197" s="208">
        <f>S197*係数!$H$30</f>
        <v>0</v>
      </c>
      <c r="U197" s="12">
        <f t="shared" si="13"/>
        <v>0</v>
      </c>
      <c r="V197" s="211">
        <f t="shared" si="13"/>
        <v>0</v>
      </c>
    </row>
    <row r="198" spans="2:22" x14ac:dyDescent="0.4">
      <c r="B198" s="194" t="s">
        <v>741</v>
      </c>
      <c r="C198" s="35"/>
      <c r="D198" s="291"/>
      <c r="E198" s="461"/>
      <c r="F198" s="212"/>
      <c r="G198" s="212"/>
      <c r="H198" s="213"/>
      <c r="I198" s="27"/>
      <c r="J198" s="207">
        <f t="shared" si="14"/>
        <v>0</v>
      </c>
      <c r="K198" s="207">
        <f t="shared" si="15"/>
        <v>0</v>
      </c>
      <c r="L198" s="208">
        <f>K198*係数!$H$30</f>
        <v>0</v>
      </c>
      <c r="M198" s="35"/>
      <c r="N198" s="27"/>
      <c r="O198" s="27"/>
      <c r="P198" s="213"/>
      <c r="Q198" s="27"/>
      <c r="R198" s="462">
        <f t="shared" si="11"/>
        <v>0</v>
      </c>
      <c r="S198" s="12">
        <f t="shared" si="12"/>
        <v>0</v>
      </c>
      <c r="T198" s="208">
        <f>S198*係数!$H$30</f>
        <v>0</v>
      </c>
      <c r="U198" s="12">
        <f t="shared" si="13"/>
        <v>0</v>
      </c>
      <c r="V198" s="211">
        <f t="shared" si="13"/>
        <v>0</v>
      </c>
    </row>
    <row r="199" spans="2:22" x14ac:dyDescent="0.4">
      <c r="B199" s="194" t="s">
        <v>742</v>
      </c>
      <c r="C199" s="35"/>
      <c r="D199" s="291"/>
      <c r="E199" s="461"/>
      <c r="F199" s="212"/>
      <c r="G199" s="212"/>
      <c r="H199" s="213"/>
      <c r="I199" s="27"/>
      <c r="J199" s="207">
        <f t="shared" si="14"/>
        <v>0</v>
      </c>
      <c r="K199" s="207">
        <f t="shared" si="15"/>
        <v>0</v>
      </c>
      <c r="L199" s="208">
        <f>K199*係数!$H$30</f>
        <v>0</v>
      </c>
      <c r="M199" s="35"/>
      <c r="N199" s="27"/>
      <c r="O199" s="27"/>
      <c r="P199" s="213"/>
      <c r="Q199" s="27"/>
      <c r="R199" s="462">
        <f t="shared" si="11"/>
        <v>0</v>
      </c>
      <c r="S199" s="12">
        <f t="shared" si="12"/>
        <v>0</v>
      </c>
      <c r="T199" s="208">
        <f>S199*係数!$H$30</f>
        <v>0</v>
      </c>
      <c r="U199" s="12">
        <f t="shared" si="13"/>
        <v>0</v>
      </c>
      <c r="V199" s="211">
        <f t="shared" si="13"/>
        <v>0</v>
      </c>
    </row>
    <row r="200" spans="2:22" x14ac:dyDescent="0.4">
      <c r="B200" s="194" t="s">
        <v>743</v>
      </c>
      <c r="C200" s="35"/>
      <c r="D200" s="291"/>
      <c r="E200" s="461"/>
      <c r="F200" s="212"/>
      <c r="G200" s="212"/>
      <c r="H200" s="213"/>
      <c r="I200" s="27"/>
      <c r="J200" s="207">
        <f t="shared" si="14"/>
        <v>0</v>
      </c>
      <c r="K200" s="207">
        <f t="shared" si="15"/>
        <v>0</v>
      </c>
      <c r="L200" s="208">
        <f>K200*係数!$H$30</f>
        <v>0</v>
      </c>
      <c r="M200" s="35"/>
      <c r="N200" s="27"/>
      <c r="O200" s="27"/>
      <c r="P200" s="213"/>
      <c r="Q200" s="27"/>
      <c r="R200" s="462">
        <f t="shared" si="11"/>
        <v>0</v>
      </c>
      <c r="S200" s="12">
        <f t="shared" si="12"/>
        <v>0</v>
      </c>
      <c r="T200" s="208">
        <f>S200*係数!$H$30</f>
        <v>0</v>
      </c>
      <c r="U200" s="12">
        <f t="shared" si="13"/>
        <v>0</v>
      </c>
      <c r="V200" s="211">
        <f t="shared" si="13"/>
        <v>0</v>
      </c>
    </row>
    <row r="201" spans="2:22" x14ac:dyDescent="0.4">
      <c r="B201" s="194" t="s">
        <v>744</v>
      </c>
      <c r="C201" s="35"/>
      <c r="D201" s="291"/>
      <c r="E201" s="461"/>
      <c r="F201" s="212"/>
      <c r="G201" s="212"/>
      <c r="H201" s="213"/>
      <c r="I201" s="27"/>
      <c r="J201" s="207">
        <f t="shared" si="14"/>
        <v>0</v>
      </c>
      <c r="K201" s="207">
        <f t="shared" si="15"/>
        <v>0</v>
      </c>
      <c r="L201" s="208">
        <f>K201*係数!$H$30</f>
        <v>0</v>
      </c>
      <c r="M201" s="35"/>
      <c r="N201" s="27"/>
      <c r="O201" s="27"/>
      <c r="P201" s="213"/>
      <c r="Q201" s="27"/>
      <c r="R201" s="462">
        <f t="shared" si="11"/>
        <v>0</v>
      </c>
      <c r="S201" s="12">
        <f t="shared" si="12"/>
        <v>0</v>
      </c>
      <c r="T201" s="208">
        <f>S201*係数!$H$30</f>
        <v>0</v>
      </c>
      <c r="U201" s="12">
        <f t="shared" si="13"/>
        <v>0</v>
      </c>
      <c r="V201" s="211">
        <f t="shared" si="13"/>
        <v>0</v>
      </c>
    </row>
    <row r="202" spans="2:22" x14ac:dyDescent="0.4">
      <c r="B202" s="194" t="s">
        <v>745</v>
      </c>
      <c r="C202" s="35"/>
      <c r="D202" s="291"/>
      <c r="E202" s="461"/>
      <c r="F202" s="212"/>
      <c r="G202" s="212"/>
      <c r="H202" s="213"/>
      <c r="I202" s="27"/>
      <c r="J202" s="207">
        <f t="shared" si="14"/>
        <v>0</v>
      </c>
      <c r="K202" s="207">
        <f t="shared" si="15"/>
        <v>0</v>
      </c>
      <c r="L202" s="208">
        <f>K202*係数!$H$30</f>
        <v>0</v>
      </c>
      <c r="M202" s="35"/>
      <c r="N202" s="27"/>
      <c r="O202" s="27"/>
      <c r="P202" s="213"/>
      <c r="Q202" s="27"/>
      <c r="R202" s="462">
        <f t="shared" si="11"/>
        <v>0</v>
      </c>
      <c r="S202" s="12">
        <f t="shared" si="12"/>
        <v>0</v>
      </c>
      <c r="T202" s="208">
        <f>S202*係数!$H$30</f>
        <v>0</v>
      </c>
      <c r="U202" s="12">
        <f t="shared" si="13"/>
        <v>0</v>
      </c>
      <c r="V202" s="211">
        <f t="shared" si="13"/>
        <v>0</v>
      </c>
    </row>
    <row r="203" spans="2:22" x14ac:dyDescent="0.4">
      <c r="B203" s="194" t="s">
        <v>746</v>
      </c>
      <c r="C203" s="35"/>
      <c r="D203" s="291"/>
      <c r="E203" s="461"/>
      <c r="F203" s="212"/>
      <c r="G203" s="212"/>
      <c r="H203" s="213"/>
      <c r="I203" s="27"/>
      <c r="J203" s="207">
        <f t="shared" si="14"/>
        <v>0</v>
      </c>
      <c r="K203" s="207">
        <f t="shared" si="15"/>
        <v>0</v>
      </c>
      <c r="L203" s="208">
        <f>K203*係数!$H$30</f>
        <v>0</v>
      </c>
      <c r="M203" s="35"/>
      <c r="N203" s="27"/>
      <c r="O203" s="27"/>
      <c r="P203" s="213"/>
      <c r="Q203" s="27"/>
      <c r="R203" s="462">
        <f t="shared" si="11"/>
        <v>0</v>
      </c>
      <c r="S203" s="12">
        <f t="shared" si="12"/>
        <v>0</v>
      </c>
      <c r="T203" s="208">
        <f>S203*係数!$H$30</f>
        <v>0</v>
      </c>
      <c r="U203" s="12">
        <f t="shared" si="13"/>
        <v>0</v>
      </c>
      <c r="V203" s="211">
        <f t="shared" si="13"/>
        <v>0</v>
      </c>
    </row>
    <row r="204" spans="2:22" x14ac:dyDescent="0.4">
      <c r="B204" s="194" t="s">
        <v>747</v>
      </c>
      <c r="C204" s="35"/>
      <c r="D204" s="291"/>
      <c r="E204" s="461"/>
      <c r="F204" s="212"/>
      <c r="G204" s="212"/>
      <c r="H204" s="213"/>
      <c r="I204" s="27"/>
      <c r="J204" s="207">
        <f t="shared" si="14"/>
        <v>0</v>
      </c>
      <c r="K204" s="207">
        <f t="shared" si="15"/>
        <v>0</v>
      </c>
      <c r="L204" s="208">
        <f>K204*係数!$H$30</f>
        <v>0</v>
      </c>
      <c r="M204" s="35"/>
      <c r="N204" s="27"/>
      <c r="O204" s="27"/>
      <c r="P204" s="213"/>
      <c r="Q204" s="27"/>
      <c r="R204" s="462">
        <f t="shared" si="11"/>
        <v>0</v>
      </c>
      <c r="S204" s="12">
        <f t="shared" si="12"/>
        <v>0</v>
      </c>
      <c r="T204" s="208">
        <f>S204*係数!$H$30</f>
        <v>0</v>
      </c>
      <c r="U204" s="12">
        <f t="shared" si="13"/>
        <v>0</v>
      </c>
      <c r="V204" s="211">
        <f t="shared" si="13"/>
        <v>0</v>
      </c>
    </row>
    <row r="205" spans="2:22" x14ac:dyDescent="0.4">
      <c r="B205" s="194" t="s">
        <v>748</v>
      </c>
      <c r="C205" s="35"/>
      <c r="D205" s="291"/>
      <c r="E205" s="461"/>
      <c r="F205" s="212"/>
      <c r="G205" s="212"/>
      <c r="H205" s="213"/>
      <c r="I205" s="27"/>
      <c r="J205" s="207">
        <f t="shared" si="14"/>
        <v>0</v>
      </c>
      <c r="K205" s="207">
        <f t="shared" si="15"/>
        <v>0</v>
      </c>
      <c r="L205" s="208">
        <f>K205*係数!$H$30</f>
        <v>0</v>
      </c>
      <c r="M205" s="35"/>
      <c r="N205" s="27"/>
      <c r="O205" s="27"/>
      <c r="P205" s="213"/>
      <c r="Q205" s="27"/>
      <c r="R205" s="462">
        <f t="shared" si="11"/>
        <v>0</v>
      </c>
      <c r="S205" s="12">
        <f t="shared" si="12"/>
        <v>0</v>
      </c>
      <c r="T205" s="208">
        <f>S205*係数!$H$30</f>
        <v>0</v>
      </c>
      <c r="U205" s="12">
        <f t="shared" si="13"/>
        <v>0</v>
      </c>
      <c r="V205" s="211">
        <f t="shared" si="13"/>
        <v>0</v>
      </c>
    </row>
    <row r="206" spans="2:22" x14ac:dyDescent="0.4">
      <c r="B206" s="194" t="s">
        <v>749</v>
      </c>
      <c r="C206" s="35"/>
      <c r="D206" s="291"/>
      <c r="E206" s="461"/>
      <c r="F206" s="212"/>
      <c r="G206" s="212"/>
      <c r="H206" s="213"/>
      <c r="I206" s="27"/>
      <c r="J206" s="207">
        <f t="shared" si="14"/>
        <v>0</v>
      </c>
      <c r="K206" s="207">
        <f t="shared" si="15"/>
        <v>0</v>
      </c>
      <c r="L206" s="208">
        <f>K206*係数!$H$30</f>
        <v>0</v>
      </c>
      <c r="M206" s="35"/>
      <c r="N206" s="27"/>
      <c r="O206" s="27"/>
      <c r="P206" s="213"/>
      <c r="Q206" s="27"/>
      <c r="R206" s="462">
        <f t="shared" si="11"/>
        <v>0</v>
      </c>
      <c r="S206" s="12">
        <f t="shared" si="12"/>
        <v>0</v>
      </c>
      <c r="T206" s="208">
        <f>S206*係数!$H$30</f>
        <v>0</v>
      </c>
      <c r="U206" s="12">
        <f t="shared" si="13"/>
        <v>0</v>
      </c>
      <c r="V206" s="211">
        <f t="shared" si="13"/>
        <v>0</v>
      </c>
    </row>
    <row r="207" spans="2:22" x14ac:dyDescent="0.4">
      <c r="B207" s="194" t="s">
        <v>750</v>
      </c>
      <c r="C207" s="35"/>
      <c r="D207" s="291"/>
      <c r="E207" s="461"/>
      <c r="F207" s="212"/>
      <c r="G207" s="212"/>
      <c r="H207" s="213"/>
      <c r="I207" s="27"/>
      <c r="J207" s="207">
        <f t="shared" si="14"/>
        <v>0</v>
      </c>
      <c r="K207" s="207">
        <f t="shared" si="15"/>
        <v>0</v>
      </c>
      <c r="L207" s="208">
        <f>K207*係数!$H$30</f>
        <v>0</v>
      </c>
      <c r="M207" s="35"/>
      <c r="N207" s="27"/>
      <c r="O207" s="27"/>
      <c r="P207" s="213"/>
      <c r="Q207" s="27"/>
      <c r="R207" s="462">
        <f t="shared" si="11"/>
        <v>0</v>
      </c>
      <c r="S207" s="12">
        <f t="shared" si="12"/>
        <v>0</v>
      </c>
      <c r="T207" s="208">
        <f>S207*係数!$H$30</f>
        <v>0</v>
      </c>
      <c r="U207" s="12">
        <f t="shared" si="13"/>
        <v>0</v>
      </c>
      <c r="V207" s="211">
        <f t="shared" si="13"/>
        <v>0</v>
      </c>
    </row>
    <row r="208" spans="2:22" x14ac:dyDescent="0.4">
      <c r="B208" s="194" t="s">
        <v>751</v>
      </c>
      <c r="C208" s="35"/>
      <c r="D208" s="291"/>
      <c r="E208" s="461"/>
      <c r="F208" s="212"/>
      <c r="G208" s="212"/>
      <c r="H208" s="213"/>
      <c r="I208" s="27"/>
      <c r="J208" s="207">
        <f t="shared" si="14"/>
        <v>0</v>
      </c>
      <c r="K208" s="207">
        <f t="shared" si="15"/>
        <v>0</v>
      </c>
      <c r="L208" s="208">
        <f>K208*係数!$H$30</f>
        <v>0</v>
      </c>
      <c r="M208" s="35"/>
      <c r="N208" s="27"/>
      <c r="O208" s="27"/>
      <c r="P208" s="213"/>
      <c r="Q208" s="27"/>
      <c r="R208" s="462">
        <f t="shared" si="11"/>
        <v>0</v>
      </c>
      <c r="S208" s="12">
        <f t="shared" si="12"/>
        <v>0</v>
      </c>
      <c r="T208" s="208">
        <f>S208*係数!$H$30</f>
        <v>0</v>
      </c>
      <c r="U208" s="12">
        <f t="shared" si="13"/>
        <v>0</v>
      </c>
      <c r="V208" s="211">
        <f t="shared" si="13"/>
        <v>0</v>
      </c>
    </row>
    <row r="209" spans="2:22" x14ac:dyDescent="0.4">
      <c r="B209" s="194" t="s">
        <v>752</v>
      </c>
      <c r="C209" s="35"/>
      <c r="D209" s="291"/>
      <c r="E209" s="461"/>
      <c r="F209" s="212"/>
      <c r="G209" s="212"/>
      <c r="H209" s="213"/>
      <c r="I209" s="27"/>
      <c r="J209" s="207">
        <f t="shared" si="14"/>
        <v>0</v>
      </c>
      <c r="K209" s="207">
        <f t="shared" si="15"/>
        <v>0</v>
      </c>
      <c r="L209" s="208">
        <f>K209*係数!$H$30</f>
        <v>0</v>
      </c>
      <c r="M209" s="35"/>
      <c r="N209" s="27"/>
      <c r="O209" s="27"/>
      <c r="P209" s="213"/>
      <c r="Q209" s="27"/>
      <c r="R209" s="462">
        <f t="shared" si="11"/>
        <v>0</v>
      </c>
      <c r="S209" s="12">
        <f t="shared" si="12"/>
        <v>0</v>
      </c>
      <c r="T209" s="208">
        <f>S209*係数!$H$30</f>
        <v>0</v>
      </c>
      <c r="U209" s="12">
        <f t="shared" si="13"/>
        <v>0</v>
      </c>
      <c r="V209" s="211">
        <f t="shared" si="13"/>
        <v>0</v>
      </c>
    </row>
    <row r="210" spans="2:22" x14ac:dyDescent="0.4">
      <c r="B210" s="194" t="s">
        <v>753</v>
      </c>
      <c r="C210" s="35"/>
      <c r="D210" s="291"/>
      <c r="E210" s="461"/>
      <c r="F210" s="212"/>
      <c r="G210" s="212"/>
      <c r="H210" s="213"/>
      <c r="I210" s="27"/>
      <c r="J210" s="207">
        <f t="shared" si="14"/>
        <v>0</v>
      </c>
      <c r="K210" s="207">
        <f t="shared" si="15"/>
        <v>0</v>
      </c>
      <c r="L210" s="208">
        <f>K210*係数!$H$30</f>
        <v>0</v>
      </c>
      <c r="M210" s="35"/>
      <c r="N210" s="27"/>
      <c r="O210" s="27"/>
      <c r="P210" s="213"/>
      <c r="Q210" s="27"/>
      <c r="R210" s="462">
        <f t="shared" ref="R210:R273" si="16">IF(P210="",J210,J210*Q210/100)</f>
        <v>0</v>
      </c>
      <c r="S210" s="12">
        <f t="shared" ref="S210:S273" si="17">N210*O210*R210/1000</f>
        <v>0</v>
      </c>
      <c r="T210" s="208">
        <f>S210*係数!$H$30</f>
        <v>0</v>
      </c>
      <c r="U210" s="12">
        <f t="shared" ref="U210:V273" si="18">K210-S210</f>
        <v>0</v>
      </c>
      <c r="V210" s="211">
        <f t="shared" si="18"/>
        <v>0</v>
      </c>
    </row>
    <row r="211" spans="2:22" x14ac:dyDescent="0.4">
      <c r="B211" s="194" t="s">
        <v>754</v>
      </c>
      <c r="C211" s="35"/>
      <c r="D211" s="291"/>
      <c r="E211" s="461"/>
      <c r="F211" s="212"/>
      <c r="G211" s="212"/>
      <c r="H211" s="213"/>
      <c r="I211" s="27"/>
      <c r="J211" s="207">
        <f t="shared" ref="J211:J274" si="19">IF(H211="",F211*G211,F211*G211*I211/100)</f>
        <v>0</v>
      </c>
      <c r="K211" s="207">
        <f t="shared" si="15"/>
        <v>0</v>
      </c>
      <c r="L211" s="208">
        <f>K211*係数!$H$30</f>
        <v>0</v>
      </c>
      <c r="M211" s="35"/>
      <c r="N211" s="27"/>
      <c r="O211" s="27"/>
      <c r="P211" s="213"/>
      <c r="Q211" s="27"/>
      <c r="R211" s="462">
        <f t="shared" si="16"/>
        <v>0</v>
      </c>
      <c r="S211" s="12">
        <f t="shared" si="17"/>
        <v>0</v>
      </c>
      <c r="T211" s="208">
        <f>S211*係数!$H$30</f>
        <v>0</v>
      </c>
      <c r="U211" s="12">
        <f t="shared" si="18"/>
        <v>0</v>
      </c>
      <c r="V211" s="211">
        <f t="shared" si="18"/>
        <v>0</v>
      </c>
    </row>
    <row r="212" spans="2:22" x14ac:dyDescent="0.4">
      <c r="B212" s="194" t="s">
        <v>755</v>
      </c>
      <c r="C212" s="35"/>
      <c r="D212" s="291"/>
      <c r="E212" s="461"/>
      <c r="F212" s="212"/>
      <c r="G212" s="212"/>
      <c r="H212" s="213"/>
      <c r="I212" s="27"/>
      <c r="J212" s="207">
        <f t="shared" si="19"/>
        <v>0</v>
      </c>
      <c r="K212" s="207">
        <f t="shared" ref="K212:K275" si="20">D212*E212*J212/1000</f>
        <v>0</v>
      </c>
      <c r="L212" s="208">
        <f>K212*係数!$H$30</f>
        <v>0</v>
      </c>
      <c r="M212" s="35"/>
      <c r="N212" s="27"/>
      <c r="O212" s="27"/>
      <c r="P212" s="213"/>
      <c r="Q212" s="27"/>
      <c r="R212" s="462">
        <f t="shared" si="16"/>
        <v>0</v>
      </c>
      <c r="S212" s="12">
        <f t="shared" si="17"/>
        <v>0</v>
      </c>
      <c r="T212" s="208">
        <f>S212*係数!$H$30</f>
        <v>0</v>
      </c>
      <c r="U212" s="12">
        <f t="shared" si="18"/>
        <v>0</v>
      </c>
      <c r="V212" s="211">
        <f t="shared" si="18"/>
        <v>0</v>
      </c>
    </row>
    <row r="213" spans="2:22" x14ac:dyDescent="0.4">
      <c r="B213" s="194" t="s">
        <v>756</v>
      </c>
      <c r="C213" s="35"/>
      <c r="D213" s="291"/>
      <c r="E213" s="461"/>
      <c r="F213" s="212"/>
      <c r="G213" s="212"/>
      <c r="H213" s="213"/>
      <c r="I213" s="27"/>
      <c r="J213" s="207">
        <f t="shared" si="19"/>
        <v>0</v>
      </c>
      <c r="K213" s="207">
        <f t="shared" si="20"/>
        <v>0</v>
      </c>
      <c r="L213" s="208">
        <f>K213*係数!$H$30</f>
        <v>0</v>
      </c>
      <c r="M213" s="35"/>
      <c r="N213" s="27"/>
      <c r="O213" s="27"/>
      <c r="P213" s="213"/>
      <c r="Q213" s="27"/>
      <c r="R213" s="462">
        <f t="shared" si="16"/>
        <v>0</v>
      </c>
      <c r="S213" s="12">
        <f t="shared" si="17"/>
        <v>0</v>
      </c>
      <c r="T213" s="208">
        <f>S213*係数!$H$30</f>
        <v>0</v>
      </c>
      <c r="U213" s="12">
        <f t="shared" si="18"/>
        <v>0</v>
      </c>
      <c r="V213" s="211">
        <f t="shared" si="18"/>
        <v>0</v>
      </c>
    </row>
    <row r="214" spans="2:22" x14ac:dyDescent="0.4">
      <c r="B214" s="194" t="s">
        <v>757</v>
      </c>
      <c r="C214" s="35"/>
      <c r="D214" s="291"/>
      <c r="E214" s="461"/>
      <c r="F214" s="212"/>
      <c r="G214" s="212"/>
      <c r="H214" s="213"/>
      <c r="I214" s="27"/>
      <c r="J214" s="207">
        <f t="shared" si="19"/>
        <v>0</v>
      </c>
      <c r="K214" s="207">
        <f t="shared" si="20"/>
        <v>0</v>
      </c>
      <c r="L214" s="208">
        <f>K214*係数!$H$30</f>
        <v>0</v>
      </c>
      <c r="M214" s="35"/>
      <c r="N214" s="27"/>
      <c r="O214" s="27"/>
      <c r="P214" s="213"/>
      <c r="Q214" s="27"/>
      <c r="R214" s="462">
        <f t="shared" si="16"/>
        <v>0</v>
      </c>
      <c r="S214" s="12">
        <f t="shared" si="17"/>
        <v>0</v>
      </c>
      <c r="T214" s="208">
        <f>S214*係数!$H$30</f>
        <v>0</v>
      </c>
      <c r="U214" s="12">
        <f t="shared" si="18"/>
        <v>0</v>
      </c>
      <c r="V214" s="211">
        <f t="shared" si="18"/>
        <v>0</v>
      </c>
    </row>
    <row r="215" spans="2:22" x14ac:dyDescent="0.4">
      <c r="B215" s="194" t="s">
        <v>758</v>
      </c>
      <c r="C215" s="35"/>
      <c r="D215" s="291"/>
      <c r="E215" s="461"/>
      <c r="F215" s="212"/>
      <c r="G215" s="212"/>
      <c r="H215" s="213"/>
      <c r="I215" s="27"/>
      <c r="J215" s="207">
        <f t="shared" si="19"/>
        <v>0</v>
      </c>
      <c r="K215" s="207">
        <f t="shared" si="20"/>
        <v>0</v>
      </c>
      <c r="L215" s="208">
        <f>K215*係数!$H$30</f>
        <v>0</v>
      </c>
      <c r="M215" s="35"/>
      <c r="N215" s="27"/>
      <c r="O215" s="27"/>
      <c r="P215" s="213"/>
      <c r="Q215" s="27"/>
      <c r="R215" s="462">
        <f t="shared" si="16"/>
        <v>0</v>
      </c>
      <c r="S215" s="12">
        <f t="shared" si="17"/>
        <v>0</v>
      </c>
      <c r="T215" s="208">
        <f>S215*係数!$H$30</f>
        <v>0</v>
      </c>
      <c r="U215" s="12">
        <f t="shared" si="18"/>
        <v>0</v>
      </c>
      <c r="V215" s="211">
        <f t="shared" si="18"/>
        <v>0</v>
      </c>
    </row>
    <row r="216" spans="2:22" x14ac:dyDescent="0.4">
      <c r="B216" s="194" t="s">
        <v>759</v>
      </c>
      <c r="C216" s="35"/>
      <c r="D216" s="291"/>
      <c r="E216" s="461"/>
      <c r="F216" s="212"/>
      <c r="G216" s="212"/>
      <c r="H216" s="213"/>
      <c r="I216" s="27"/>
      <c r="J216" s="207">
        <f t="shared" si="19"/>
        <v>0</v>
      </c>
      <c r="K216" s="207">
        <f t="shared" si="20"/>
        <v>0</v>
      </c>
      <c r="L216" s="208">
        <f>K216*係数!$H$30</f>
        <v>0</v>
      </c>
      <c r="M216" s="35"/>
      <c r="N216" s="27"/>
      <c r="O216" s="27"/>
      <c r="P216" s="213"/>
      <c r="Q216" s="27"/>
      <c r="R216" s="462">
        <f t="shared" si="16"/>
        <v>0</v>
      </c>
      <c r="S216" s="12">
        <f t="shared" si="17"/>
        <v>0</v>
      </c>
      <c r="T216" s="208">
        <f>S216*係数!$H$30</f>
        <v>0</v>
      </c>
      <c r="U216" s="12">
        <f t="shared" si="18"/>
        <v>0</v>
      </c>
      <c r="V216" s="211">
        <f t="shared" si="18"/>
        <v>0</v>
      </c>
    </row>
    <row r="217" spans="2:22" x14ac:dyDescent="0.4">
      <c r="B217" s="194" t="s">
        <v>760</v>
      </c>
      <c r="C217" s="35"/>
      <c r="D217" s="291"/>
      <c r="E217" s="461"/>
      <c r="F217" s="212"/>
      <c r="G217" s="212"/>
      <c r="H217" s="213"/>
      <c r="I217" s="27"/>
      <c r="J217" s="207">
        <f t="shared" si="19"/>
        <v>0</v>
      </c>
      <c r="K217" s="207">
        <f t="shared" si="20"/>
        <v>0</v>
      </c>
      <c r="L217" s="208">
        <f>K217*係数!$H$30</f>
        <v>0</v>
      </c>
      <c r="M217" s="35"/>
      <c r="N217" s="27"/>
      <c r="O217" s="27"/>
      <c r="P217" s="213"/>
      <c r="Q217" s="27"/>
      <c r="R217" s="462">
        <f t="shared" si="16"/>
        <v>0</v>
      </c>
      <c r="S217" s="12">
        <f t="shared" si="17"/>
        <v>0</v>
      </c>
      <c r="T217" s="208">
        <f>S217*係数!$H$30</f>
        <v>0</v>
      </c>
      <c r="U217" s="12">
        <f t="shared" si="18"/>
        <v>0</v>
      </c>
      <c r="V217" s="211">
        <f t="shared" si="18"/>
        <v>0</v>
      </c>
    </row>
    <row r="218" spans="2:22" x14ac:dyDescent="0.4">
      <c r="B218" s="194" t="s">
        <v>761</v>
      </c>
      <c r="C218" s="35"/>
      <c r="D218" s="291"/>
      <c r="E218" s="461"/>
      <c r="F218" s="212"/>
      <c r="G218" s="212"/>
      <c r="H218" s="213"/>
      <c r="I218" s="27"/>
      <c r="J218" s="207">
        <f t="shared" si="19"/>
        <v>0</v>
      </c>
      <c r="K218" s="207">
        <f t="shared" si="20"/>
        <v>0</v>
      </c>
      <c r="L218" s="208">
        <f>K218*係数!$H$30</f>
        <v>0</v>
      </c>
      <c r="M218" s="35"/>
      <c r="N218" s="27"/>
      <c r="O218" s="27"/>
      <c r="P218" s="213"/>
      <c r="Q218" s="27"/>
      <c r="R218" s="462">
        <f t="shared" si="16"/>
        <v>0</v>
      </c>
      <c r="S218" s="12">
        <f t="shared" si="17"/>
        <v>0</v>
      </c>
      <c r="T218" s="208">
        <f>S218*係数!$H$30</f>
        <v>0</v>
      </c>
      <c r="U218" s="12">
        <f t="shared" si="18"/>
        <v>0</v>
      </c>
      <c r="V218" s="211">
        <f t="shared" si="18"/>
        <v>0</v>
      </c>
    </row>
    <row r="219" spans="2:22" x14ac:dyDescent="0.4">
      <c r="B219" s="194" t="s">
        <v>762</v>
      </c>
      <c r="C219" s="35"/>
      <c r="D219" s="291"/>
      <c r="E219" s="461"/>
      <c r="F219" s="212"/>
      <c r="G219" s="212"/>
      <c r="H219" s="213"/>
      <c r="I219" s="27"/>
      <c r="J219" s="207">
        <f t="shared" si="19"/>
        <v>0</v>
      </c>
      <c r="K219" s="207">
        <f t="shared" si="20"/>
        <v>0</v>
      </c>
      <c r="L219" s="208">
        <f>K219*係数!$H$30</f>
        <v>0</v>
      </c>
      <c r="M219" s="35"/>
      <c r="N219" s="27"/>
      <c r="O219" s="27"/>
      <c r="P219" s="213"/>
      <c r="Q219" s="27"/>
      <c r="R219" s="462">
        <f t="shared" si="16"/>
        <v>0</v>
      </c>
      <c r="S219" s="12">
        <f t="shared" si="17"/>
        <v>0</v>
      </c>
      <c r="T219" s="208">
        <f>S219*係数!$H$30</f>
        <v>0</v>
      </c>
      <c r="U219" s="12">
        <f t="shared" si="18"/>
        <v>0</v>
      </c>
      <c r="V219" s="211">
        <f t="shared" si="18"/>
        <v>0</v>
      </c>
    </row>
    <row r="220" spans="2:22" x14ac:dyDescent="0.4">
      <c r="B220" s="194" t="s">
        <v>763</v>
      </c>
      <c r="C220" s="35"/>
      <c r="D220" s="291"/>
      <c r="E220" s="461"/>
      <c r="F220" s="212"/>
      <c r="G220" s="212"/>
      <c r="H220" s="213"/>
      <c r="I220" s="27"/>
      <c r="J220" s="207">
        <f t="shared" si="19"/>
        <v>0</v>
      </c>
      <c r="K220" s="207">
        <f t="shared" si="20"/>
        <v>0</v>
      </c>
      <c r="L220" s="208">
        <f>K220*係数!$H$30</f>
        <v>0</v>
      </c>
      <c r="M220" s="35"/>
      <c r="N220" s="27"/>
      <c r="O220" s="27"/>
      <c r="P220" s="213"/>
      <c r="Q220" s="27"/>
      <c r="R220" s="462">
        <f t="shared" si="16"/>
        <v>0</v>
      </c>
      <c r="S220" s="12">
        <f t="shared" si="17"/>
        <v>0</v>
      </c>
      <c r="T220" s="208">
        <f>S220*係数!$H$30</f>
        <v>0</v>
      </c>
      <c r="U220" s="12">
        <f t="shared" si="18"/>
        <v>0</v>
      </c>
      <c r="V220" s="211">
        <f t="shared" si="18"/>
        <v>0</v>
      </c>
    </row>
    <row r="221" spans="2:22" x14ac:dyDescent="0.4">
      <c r="B221" s="194" t="s">
        <v>764</v>
      </c>
      <c r="C221" s="35"/>
      <c r="D221" s="291"/>
      <c r="E221" s="461"/>
      <c r="F221" s="212"/>
      <c r="G221" s="212"/>
      <c r="H221" s="213"/>
      <c r="I221" s="27"/>
      <c r="J221" s="207">
        <f t="shared" si="19"/>
        <v>0</v>
      </c>
      <c r="K221" s="207">
        <f t="shared" si="20"/>
        <v>0</v>
      </c>
      <c r="L221" s="208">
        <f>K221*係数!$H$30</f>
        <v>0</v>
      </c>
      <c r="M221" s="35"/>
      <c r="N221" s="27"/>
      <c r="O221" s="27"/>
      <c r="P221" s="213"/>
      <c r="Q221" s="27"/>
      <c r="R221" s="462">
        <f t="shared" si="16"/>
        <v>0</v>
      </c>
      <c r="S221" s="12">
        <f t="shared" si="17"/>
        <v>0</v>
      </c>
      <c r="T221" s="208">
        <f>S221*係数!$H$30</f>
        <v>0</v>
      </c>
      <c r="U221" s="12">
        <f t="shared" si="18"/>
        <v>0</v>
      </c>
      <c r="V221" s="211">
        <f t="shared" si="18"/>
        <v>0</v>
      </c>
    </row>
    <row r="222" spans="2:22" x14ac:dyDescent="0.4">
      <c r="B222" s="194" t="s">
        <v>765</v>
      </c>
      <c r="C222" s="35"/>
      <c r="D222" s="291"/>
      <c r="E222" s="461"/>
      <c r="F222" s="212"/>
      <c r="G222" s="212"/>
      <c r="H222" s="213"/>
      <c r="I222" s="27"/>
      <c r="J222" s="207">
        <f t="shared" si="19"/>
        <v>0</v>
      </c>
      <c r="K222" s="207">
        <f t="shared" si="20"/>
        <v>0</v>
      </c>
      <c r="L222" s="208">
        <f>K222*係数!$H$30</f>
        <v>0</v>
      </c>
      <c r="M222" s="35"/>
      <c r="N222" s="27"/>
      <c r="O222" s="27"/>
      <c r="P222" s="213"/>
      <c r="Q222" s="27"/>
      <c r="R222" s="462">
        <f t="shared" si="16"/>
        <v>0</v>
      </c>
      <c r="S222" s="12">
        <f t="shared" si="17"/>
        <v>0</v>
      </c>
      <c r="T222" s="208">
        <f>S222*係数!$H$30</f>
        <v>0</v>
      </c>
      <c r="U222" s="12">
        <f t="shared" si="18"/>
        <v>0</v>
      </c>
      <c r="V222" s="211">
        <f t="shared" si="18"/>
        <v>0</v>
      </c>
    </row>
    <row r="223" spans="2:22" x14ac:dyDescent="0.4">
      <c r="B223" s="194" t="s">
        <v>766</v>
      </c>
      <c r="C223" s="35"/>
      <c r="D223" s="291"/>
      <c r="E223" s="461"/>
      <c r="F223" s="212"/>
      <c r="G223" s="212"/>
      <c r="H223" s="213"/>
      <c r="I223" s="27"/>
      <c r="J223" s="207">
        <f t="shared" si="19"/>
        <v>0</v>
      </c>
      <c r="K223" s="207">
        <f t="shared" si="20"/>
        <v>0</v>
      </c>
      <c r="L223" s="208">
        <f>K223*係数!$H$30</f>
        <v>0</v>
      </c>
      <c r="M223" s="35"/>
      <c r="N223" s="27"/>
      <c r="O223" s="27"/>
      <c r="P223" s="213"/>
      <c r="Q223" s="27"/>
      <c r="R223" s="462">
        <f t="shared" si="16"/>
        <v>0</v>
      </c>
      <c r="S223" s="12">
        <f t="shared" si="17"/>
        <v>0</v>
      </c>
      <c r="T223" s="208">
        <f>S223*係数!$H$30</f>
        <v>0</v>
      </c>
      <c r="U223" s="12">
        <f t="shared" si="18"/>
        <v>0</v>
      </c>
      <c r="V223" s="211">
        <f t="shared" si="18"/>
        <v>0</v>
      </c>
    </row>
    <row r="224" spans="2:22" x14ac:dyDescent="0.4">
      <c r="B224" s="194" t="s">
        <v>767</v>
      </c>
      <c r="C224" s="35"/>
      <c r="D224" s="291"/>
      <c r="E224" s="461"/>
      <c r="F224" s="212"/>
      <c r="G224" s="212"/>
      <c r="H224" s="213"/>
      <c r="I224" s="27"/>
      <c r="J224" s="207">
        <f t="shared" si="19"/>
        <v>0</v>
      </c>
      <c r="K224" s="207">
        <f t="shared" si="20"/>
        <v>0</v>
      </c>
      <c r="L224" s="208">
        <f>K224*係数!$H$30</f>
        <v>0</v>
      </c>
      <c r="M224" s="35"/>
      <c r="N224" s="27"/>
      <c r="O224" s="27"/>
      <c r="P224" s="213"/>
      <c r="Q224" s="27"/>
      <c r="R224" s="462">
        <f t="shared" si="16"/>
        <v>0</v>
      </c>
      <c r="S224" s="12">
        <f t="shared" si="17"/>
        <v>0</v>
      </c>
      <c r="T224" s="208">
        <f>S224*係数!$H$30</f>
        <v>0</v>
      </c>
      <c r="U224" s="12">
        <f t="shared" si="18"/>
        <v>0</v>
      </c>
      <c r="V224" s="211">
        <f t="shared" si="18"/>
        <v>0</v>
      </c>
    </row>
    <row r="225" spans="2:22" x14ac:dyDescent="0.4">
      <c r="B225" s="194" t="s">
        <v>768</v>
      </c>
      <c r="C225" s="35"/>
      <c r="D225" s="291"/>
      <c r="E225" s="461"/>
      <c r="F225" s="212"/>
      <c r="G225" s="212"/>
      <c r="H225" s="213"/>
      <c r="I225" s="27"/>
      <c r="J225" s="207">
        <f t="shared" si="19"/>
        <v>0</v>
      </c>
      <c r="K225" s="207">
        <f t="shared" si="20"/>
        <v>0</v>
      </c>
      <c r="L225" s="208">
        <f>K225*係数!$H$30</f>
        <v>0</v>
      </c>
      <c r="M225" s="35"/>
      <c r="N225" s="27"/>
      <c r="O225" s="27"/>
      <c r="P225" s="213"/>
      <c r="Q225" s="27"/>
      <c r="R225" s="462">
        <f t="shared" si="16"/>
        <v>0</v>
      </c>
      <c r="S225" s="12">
        <f t="shared" si="17"/>
        <v>0</v>
      </c>
      <c r="T225" s="208">
        <f>S225*係数!$H$30</f>
        <v>0</v>
      </c>
      <c r="U225" s="12">
        <f t="shared" si="18"/>
        <v>0</v>
      </c>
      <c r="V225" s="211">
        <f t="shared" si="18"/>
        <v>0</v>
      </c>
    </row>
    <row r="226" spans="2:22" x14ac:dyDescent="0.4">
      <c r="B226" s="194" t="s">
        <v>769</v>
      </c>
      <c r="C226" s="35"/>
      <c r="D226" s="291"/>
      <c r="E226" s="461"/>
      <c r="F226" s="212"/>
      <c r="G226" s="212"/>
      <c r="H226" s="213"/>
      <c r="I226" s="27"/>
      <c r="J226" s="207">
        <f t="shared" si="19"/>
        <v>0</v>
      </c>
      <c r="K226" s="207">
        <f t="shared" si="20"/>
        <v>0</v>
      </c>
      <c r="L226" s="208">
        <f>K226*係数!$H$30</f>
        <v>0</v>
      </c>
      <c r="M226" s="35"/>
      <c r="N226" s="27"/>
      <c r="O226" s="27"/>
      <c r="P226" s="213"/>
      <c r="Q226" s="27"/>
      <c r="R226" s="462">
        <f t="shared" si="16"/>
        <v>0</v>
      </c>
      <c r="S226" s="12">
        <f t="shared" si="17"/>
        <v>0</v>
      </c>
      <c r="T226" s="208">
        <f>S226*係数!$H$30</f>
        <v>0</v>
      </c>
      <c r="U226" s="12">
        <f t="shared" si="18"/>
        <v>0</v>
      </c>
      <c r="V226" s="211">
        <f t="shared" si="18"/>
        <v>0</v>
      </c>
    </row>
    <row r="227" spans="2:22" x14ac:dyDescent="0.4">
      <c r="B227" s="194" t="s">
        <v>770</v>
      </c>
      <c r="C227" s="35"/>
      <c r="D227" s="291"/>
      <c r="E227" s="461"/>
      <c r="F227" s="212"/>
      <c r="G227" s="212"/>
      <c r="H227" s="213"/>
      <c r="I227" s="27"/>
      <c r="J227" s="207">
        <f t="shared" si="19"/>
        <v>0</v>
      </c>
      <c r="K227" s="207">
        <f t="shared" si="20"/>
        <v>0</v>
      </c>
      <c r="L227" s="208">
        <f>K227*係数!$H$30</f>
        <v>0</v>
      </c>
      <c r="M227" s="35"/>
      <c r="N227" s="27"/>
      <c r="O227" s="27"/>
      <c r="P227" s="213"/>
      <c r="Q227" s="27"/>
      <c r="R227" s="462">
        <f t="shared" si="16"/>
        <v>0</v>
      </c>
      <c r="S227" s="12">
        <f t="shared" si="17"/>
        <v>0</v>
      </c>
      <c r="T227" s="208">
        <f>S227*係数!$H$30</f>
        <v>0</v>
      </c>
      <c r="U227" s="12">
        <f t="shared" si="18"/>
        <v>0</v>
      </c>
      <c r="V227" s="211">
        <f t="shared" si="18"/>
        <v>0</v>
      </c>
    </row>
    <row r="228" spans="2:22" x14ac:dyDescent="0.4">
      <c r="B228" s="194" t="s">
        <v>771</v>
      </c>
      <c r="C228" s="35"/>
      <c r="D228" s="291"/>
      <c r="E228" s="461"/>
      <c r="F228" s="212"/>
      <c r="G228" s="212"/>
      <c r="H228" s="213"/>
      <c r="I228" s="27"/>
      <c r="J228" s="207">
        <f t="shared" si="19"/>
        <v>0</v>
      </c>
      <c r="K228" s="207">
        <f t="shared" si="20"/>
        <v>0</v>
      </c>
      <c r="L228" s="208">
        <f>K228*係数!$H$30</f>
        <v>0</v>
      </c>
      <c r="M228" s="35"/>
      <c r="N228" s="27"/>
      <c r="O228" s="27"/>
      <c r="P228" s="213"/>
      <c r="Q228" s="27"/>
      <c r="R228" s="462">
        <f t="shared" si="16"/>
        <v>0</v>
      </c>
      <c r="S228" s="12">
        <f t="shared" si="17"/>
        <v>0</v>
      </c>
      <c r="T228" s="208">
        <f>S228*係数!$H$30</f>
        <v>0</v>
      </c>
      <c r="U228" s="12">
        <f t="shared" si="18"/>
        <v>0</v>
      </c>
      <c r="V228" s="211">
        <f t="shared" si="18"/>
        <v>0</v>
      </c>
    </row>
    <row r="229" spans="2:22" x14ac:dyDescent="0.4">
      <c r="B229" s="194" t="s">
        <v>772</v>
      </c>
      <c r="C229" s="35"/>
      <c r="D229" s="291"/>
      <c r="E229" s="461"/>
      <c r="F229" s="212"/>
      <c r="G229" s="212"/>
      <c r="H229" s="213"/>
      <c r="I229" s="27"/>
      <c r="J229" s="207">
        <f t="shared" si="19"/>
        <v>0</v>
      </c>
      <c r="K229" s="207">
        <f t="shared" si="20"/>
        <v>0</v>
      </c>
      <c r="L229" s="208">
        <f>K229*係数!$H$30</f>
        <v>0</v>
      </c>
      <c r="M229" s="35"/>
      <c r="N229" s="27"/>
      <c r="O229" s="27"/>
      <c r="P229" s="213"/>
      <c r="Q229" s="27"/>
      <c r="R229" s="462">
        <f t="shared" si="16"/>
        <v>0</v>
      </c>
      <c r="S229" s="12">
        <f t="shared" si="17"/>
        <v>0</v>
      </c>
      <c r="T229" s="208">
        <f>S229*係数!$H$30</f>
        <v>0</v>
      </c>
      <c r="U229" s="12">
        <f t="shared" si="18"/>
        <v>0</v>
      </c>
      <c r="V229" s="211">
        <f t="shared" si="18"/>
        <v>0</v>
      </c>
    </row>
    <row r="230" spans="2:22" x14ac:dyDescent="0.4">
      <c r="B230" s="194" t="s">
        <v>773</v>
      </c>
      <c r="C230" s="35"/>
      <c r="D230" s="291"/>
      <c r="E230" s="461"/>
      <c r="F230" s="212"/>
      <c r="G230" s="212"/>
      <c r="H230" s="213"/>
      <c r="I230" s="27"/>
      <c r="J230" s="207">
        <f t="shared" si="19"/>
        <v>0</v>
      </c>
      <c r="K230" s="207">
        <f t="shared" si="20"/>
        <v>0</v>
      </c>
      <c r="L230" s="208">
        <f>K230*係数!$H$30</f>
        <v>0</v>
      </c>
      <c r="M230" s="35"/>
      <c r="N230" s="27"/>
      <c r="O230" s="27"/>
      <c r="P230" s="213"/>
      <c r="Q230" s="27"/>
      <c r="R230" s="462">
        <f t="shared" si="16"/>
        <v>0</v>
      </c>
      <c r="S230" s="12">
        <f t="shared" si="17"/>
        <v>0</v>
      </c>
      <c r="T230" s="208">
        <f>S230*係数!$H$30</f>
        <v>0</v>
      </c>
      <c r="U230" s="12">
        <f t="shared" si="18"/>
        <v>0</v>
      </c>
      <c r="V230" s="211">
        <f t="shared" si="18"/>
        <v>0</v>
      </c>
    </row>
    <row r="231" spans="2:22" x14ac:dyDescent="0.4">
      <c r="B231" s="194" t="s">
        <v>774</v>
      </c>
      <c r="C231" s="35"/>
      <c r="D231" s="291"/>
      <c r="E231" s="461"/>
      <c r="F231" s="212"/>
      <c r="G231" s="212"/>
      <c r="H231" s="213"/>
      <c r="I231" s="27"/>
      <c r="J231" s="207">
        <f t="shared" si="19"/>
        <v>0</v>
      </c>
      <c r="K231" s="207">
        <f t="shared" si="20"/>
        <v>0</v>
      </c>
      <c r="L231" s="208">
        <f>K231*係数!$H$30</f>
        <v>0</v>
      </c>
      <c r="M231" s="35"/>
      <c r="N231" s="27"/>
      <c r="O231" s="27"/>
      <c r="P231" s="213"/>
      <c r="Q231" s="27"/>
      <c r="R231" s="462">
        <f t="shared" si="16"/>
        <v>0</v>
      </c>
      <c r="S231" s="12">
        <f t="shared" si="17"/>
        <v>0</v>
      </c>
      <c r="T231" s="208">
        <f>S231*係数!$H$30</f>
        <v>0</v>
      </c>
      <c r="U231" s="12">
        <f t="shared" si="18"/>
        <v>0</v>
      </c>
      <c r="V231" s="211">
        <f t="shared" si="18"/>
        <v>0</v>
      </c>
    </row>
    <row r="232" spans="2:22" x14ac:dyDescent="0.4">
      <c r="B232" s="194" t="s">
        <v>775</v>
      </c>
      <c r="C232" s="35"/>
      <c r="D232" s="291"/>
      <c r="E232" s="461"/>
      <c r="F232" s="212"/>
      <c r="G232" s="212"/>
      <c r="H232" s="213"/>
      <c r="I232" s="27"/>
      <c r="J232" s="207">
        <f t="shared" si="19"/>
        <v>0</v>
      </c>
      <c r="K232" s="207">
        <f t="shared" si="20"/>
        <v>0</v>
      </c>
      <c r="L232" s="208">
        <f>K232*係数!$H$30</f>
        <v>0</v>
      </c>
      <c r="M232" s="35"/>
      <c r="N232" s="27"/>
      <c r="O232" s="27"/>
      <c r="P232" s="213"/>
      <c r="Q232" s="27"/>
      <c r="R232" s="462">
        <f t="shared" si="16"/>
        <v>0</v>
      </c>
      <c r="S232" s="12">
        <f t="shared" si="17"/>
        <v>0</v>
      </c>
      <c r="T232" s="208">
        <f>S232*係数!$H$30</f>
        <v>0</v>
      </c>
      <c r="U232" s="12">
        <f t="shared" si="18"/>
        <v>0</v>
      </c>
      <c r="V232" s="211">
        <f t="shared" si="18"/>
        <v>0</v>
      </c>
    </row>
    <row r="233" spans="2:22" x14ac:dyDescent="0.4">
      <c r="B233" s="194" t="s">
        <v>776</v>
      </c>
      <c r="C233" s="35"/>
      <c r="D233" s="291"/>
      <c r="E233" s="461"/>
      <c r="F233" s="212"/>
      <c r="G233" s="212"/>
      <c r="H233" s="213"/>
      <c r="I233" s="27"/>
      <c r="J233" s="207">
        <f t="shared" si="19"/>
        <v>0</v>
      </c>
      <c r="K233" s="207">
        <f t="shared" si="20"/>
        <v>0</v>
      </c>
      <c r="L233" s="208">
        <f>K233*係数!$H$30</f>
        <v>0</v>
      </c>
      <c r="M233" s="35"/>
      <c r="N233" s="27"/>
      <c r="O233" s="27"/>
      <c r="P233" s="213"/>
      <c r="Q233" s="27"/>
      <c r="R233" s="462">
        <f t="shared" si="16"/>
        <v>0</v>
      </c>
      <c r="S233" s="12">
        <f t="shared" si="17"/>
        <v>0</v>
      </c>
      <c r="T233" s="208">
        <f>S233*係数!$H$30</f>
        <v>0</v>
      </c>
      <c r="U233" s="12">
        <f t="shared" si="18"/>
        <v>0</v>
      </c>
      <c r="V233" s="211">
        <f t="shared" si="18"/>
        <v>0</v>
      </c>
    </row>
    <row r="234" spans="2:22" x14ac:dyDescent="0.4">
      <c r="B234" s="194" t="s">
        <v>777</v>
      </c>
      <c r="C234" s="35"/>
      <c r="D234" s="291"/>
      <c r="E234" s="461"/>
      <c r="F234" s="212"/>
      <c r="G234" s="212"/>
      <c r="H234" s="213"/>
      <c r="I234" s="27"/>
      <c r="J234" s="207">
        <f t="shared" si="19"/>
        <v>0</v>
      </c>
      <c r="K234" s="207">
        <f t="shared" si="20"/>
        <v>0</v>
      </c>
      <c r="L234" s="208">
        <f>K234*係数!$H$30</f>
        <v>0</v>
      </c>
      <c r="M234" s="35"/>
      <c r="N234" s="27"/>
      <c r="O234" s="27"/>
      <c r="P234" s="213"/>
      <c r="Q234" s="27"/>
      <c r="R234" s="462">
        <f t="shared" si="16"/>
        <v>0</v>
      </c>
      <c r="S234" s="12">
        <f t="shared" si="17"/>
        <v>0</v>
      </c>
      <c r="T234" s="208">
        <f>S234*係数!$H$30</f>
        <v>0</v>
      </c>
      <c r="U234" s="12">
        <f t="shared" si="18"/>
        <v>0</v>
      </c>
      <c r="V234" s="211">
        <f t="shared" si="18"/>
        <v>0</v>
      </c>
    </row>
    <row r="235" spans="2:22" x14ac:dyDescent="0.4">
      <c r="B235" s="194" t="s">
        <v>778</v>
      </c>
      <c r="C235" s="35"/>
      <c r="D235" s="291"/>
      <c r="E235" s="461"/>
      <c r="F235" s="212"/>
      <c r="G235" s="212"/>
      <c r="H235" s="213"/>
      <c r="I235" s="27"/>
      <c r="J235" s="207">
        <f t="shared" si="19"/>
        <v>0</v>
      </c>
      <c r="K235" s="207">
        <f t="shared" si="20"/>
        <v>0</v>
      </c>
      <c r="L235" s="208">
        <f>K235*係数!$H$30</f>
        <v>0</v>
      </c>
      <c r="M235" s="35"/>
      <c r="N235" s="27"/>
      <c r="O235" s="27"/>
      <c r="P235" s="213"/>
      <c r="Q235" s="27"/>
      <c r="R235" s="462">
        <f t="shared" si="16"/>
        <v>0</v>
      </c>
      <c r="S235" s="12">
        <f t="shared" si="17"/>
        <v>0</v>
      </c>
      <c r="T235" s="208">
        <f>S235*係数!$H$30</f>
        <v>0</v>
      </c>
      <c r="U235" s="12">
        <f t="shared" si="18"/>
        <v>0</v>
      </c>
      <c r="V235" s="211">
        <f t="shared" si="18"/>
        <v>0</v>
      </c>
    </row>
    <row r="236" spans="2:22" x14ac:dyDescent="0.4">
      <c r="B236" s="194" t="s">
        <v>779</v>
      </c>
      <c r="C236" s="35"/>
      <c r="D236" s="291"/>
      <c r="E236" s="461"/>
      <c r="F236" s="212"/>
      <c r="G236" s="212"/>
      <c r="H236" s="213"/>
      <c r="I236" s="27"/>
      <c r="J236" s="207">
        <f t="shared" si="19"/>
        <v>0</v>
      </c>
      <c r="K236" s="207">
        <f t="shared" si="20"/>
        <v>0</v>
      </c>
      <c r="L236" s="208">
        <f>K236*係数!$H$30</f>
        <v>0</v>
      </c>
      <c r="M236" s="35"/>
      <c r="N236" s="27"/>
      <c r="O236" s="27"/>
      <c r="P236" s="213"/>
      <c r="Q236" s="27"/>
      <c r="R236" s="462">
        <f t="shared" si="16"/>
        <v>0</v>
      </c>
      <c r="S236" s="12">
        <f t="shared" si="17"/>
        <v>0</v>
      </c>
      <c r="T236" s="208">
        <f>S236*係数!$H$30</f>
        <v>0</v>
      </c>
      <c r="U236" s="12">
        <f t="shared" si="18"/>
        <v>0</v>
      </c>
      <c r="V236" s="211">
        <f t="shared" si="18"/>
        <v>0</v>
      </c>
    </row>
    <row r="237" spans="2:22" x14ac:dyDescent="0.4">
      <c r="B237" s="194" t="s">
        <v>780</v>
      </c>
      <c r="C237" s="35"/>
      <c r="D237" s="291"/>
      <c r="E237" s="461"/>
      <c r="F237" s="212"/>
      <c r="G237" s="212"/>
      <c r="H237" s="213"/>
      <c r="I237" s="27"/>
      <c r="J237" s="207">
        <f t="shared" si="19"/>
        <v>0</v>
      </c>
      <c r="K237" s="207">
        <f t="shared" si="20"/>
        <v>0</v>
      </c>
      <c r="L237" s="208">
        <f>K237*係数!$H$30</f>
        <v>0</v>
      </c>
      <c r="M237" s="35"/>
      <c r="N237" s="27"/>
      <c r="O237" s="27"/>
      <c r="P237" s="213"/>
      <c r="Q237" s="27"/>
      <c r="R237" s="462">
        <f t="shared" si="16"/>
        <v>0</v>
      </c>
      <c r="S237" s="12">
        <f t="shared" si="17"/>
        <v>0</v>
      </c>
      <c r="T237" s="208">
        <f>S237*係数!$H$30</f>
        <v>0</v>
      </c>
      <c r="U237" s="12">
        <f t="shared" si="18"/>
        <v>0</v>
      </c>
      <c r="V237" s="211">
        <f t="shared" si="18"/>
        <v>0</v>
      </c>
    </row>
    <row r="238" spans="2:22" x14ac:dyDescent="0.4">
      <c r="B238" s="194" t="s">
        <v>781</v>
      </c>
      <c r="C238" s="35"/>
      <c r="D238" s="291"/>
      <c r="E238" s="461"/>
      <c r="F238" s="212"/>
      <c r="G238" s="212"/>
      <c r="H238" s="213"/>
      <c r="I238" s="27"/>
      <c r="J238" s="207">
        <f t="shared" si="19"/>
        <v>0</v>
      </c>
      <c r="K238" s="207">
        <f t="shared" si="20"/>
        <v>0</v>
      </c>
      <c r="L238" s="208">
        <f>K238*係数!$H$30</f>
        <v>0</v>
      </c>
      <c r="M238" s="35"/>
      <c r="N238" s="27"/>
      <c r="O238" s="27"/>
      <c r="P238" s="213"/>
      <c r="Q238" s="27"/>
      <c r="R238" s="462">
        <f t="shared" si="16"/>
        <v>0</v>
      </c>
      <c r="S238" s="12">
        <f t="shared" si="17"/>
        <v>0</v>
      </c>
      <c r="T238" s="208">
        <f>S238*係数!$H$30</f>
        <v>0</v>
      </c>
      <c r="U238" s="12">
        <f t="shared" si="18"/>
        <v>0</v>
      </c>
      <c r="V238" s="211">
        <f t="shared" si="18"/>
        <v>0</v>
      </c>
    </row>
    <row r="239" spans="2:22" x14ac:dyDescent="0.4">
      <c r="B239" s="194" t="s">
        <v>782</v>
      </c>
      <c r="C239" s="35"/>
      <c r="D239" s="291"/>
      <c r="E239" s="461"/>
      <c r="F239" s="212"/>
      <c r="G239" s="212"/>
      <c r="H239" s="213"/>
      <c r="I239" s="27"/>
      <c r="J239" s="207">
        <f t="shared" si="19"/>
        <v>0</v>
      </c>
      <c r="K239" s="207">
        <f t="shared" si="20"/>
        <v>0</v>
      </c>
      <c r="L239" s="208">
        <f>K239*係数!$H$30</f>
        <v>0</v>
      </c>
      <c r="M239" s="35"/>
      <c r="N239" s="27"/>
      <c r="O239" s="27"/>
      <c r="P239" s="213"/>
      <c r="Q239" s="27"/>
      <c r="R239" s="462">
        <f t="shared" si="16"/>
        <v>0</v>
      </c>
      <c r="S239" s="12">
        <f t="shared" si="17"/>
        <v>0</v>
      </c>
      <c r="T239" s="208">
        <f>S239*係数!$H$30</f>
        <v>0</v>
      </c>
      <c r="U239" s="12">
        <f t="shared" si="18"/>
        <v>0</v>
      </c>
      <c r="V239" s="211">
        <f t="shared" si="18"/>
        <v>0</v>
      </c>
    </row>
    <row r="240" spans="2:22" x14ac:dyDescent="0.4">
      <c r="B240" s="194" t="s">
        <v>783</v>
      </c>
      <c r="C240" s="35"/>
      <c r="D240" s="291"/>
      <c r="E240" s="461"/>
      <c r="F240" s="212"/>
      <c r="G240" s="212"/>
      <c r="H240" s="213"/>
      <c r="I240" s="27"/>
      <c r="J240" s="207">
        <f t="shared" si="19"/>
        <v>0</v>
      </c>
      <c r="K240" s="207">
        <f t="shared" si="20"/>
        <v>0</v>
      </c>
      <c r="L240" s="208">
        <f>K240*係数!$H$30</f>
        <v>0</v>
      </c>
      <c r="M240" s="35"/>
      <c r="N240" s="27"/>
      <c r="O240" s="27"/>
      <c r="P240" s="213"/>
      <c r="Q240" s="27"/>
      <c r="R240" s="462">
        <f t="shared" si="16"/>
        <v>0</v>
      </c>
      <c r="S240" s="12">
        <f t="shared" si="17"/>
        <v>0</v>
      </c>
      <c r="T240" s="208">
        <f>S240*係数!$H$30</f>
        <v>0</v>
      </c>
      <c r="U240" s="12">
        <f t="shared" si="18"/>
        <v>0</v>
      </c>
      <c r="V240" s="211">
        <f t="shared" si="18"/>
        <v>0</v>
      </c>
    </row>
    <row r="241" spans="2:22" x14ac:dyDescent="0.4">
      <c r="B241" s="194" t="s">
        <v>784</v>
      </c>
      <c r="C241" s="35"/>
      <c r="D241" s="291"/>
      <c r="E241" s="461"/>
      <c r="F241" s="212"/>
      <c r="G241" s="212"/>
      <c r="H241" s="213"/>
      <c r="I241" s="27"/>
      <c r="J241" s="207">
        <f t="shared" si="19"/>
        <v>0</v>
      </c>
      <c r="K241" s="207">
        <f t="shared" si="20"/>
        <v>0</v>
      </c>
      <c r="L241" s="208">
        <f>K241*係数!$H$30</f>
        <v>0</v>
      </c>
      <c r="M241" s="35"/>
      <c r="N241" s="27"/>
      <c r="O241" s="27"/>
      <c r="P241" s="213"/>
      <c r="Q241" s="27"/>
      <c r="R241" s="462">
        <f t="shared" si="16"/>
        <v>0</v>
      </c>
      <c r="S241" s="12">
        <f t="shared" si="17"/>
        <v>0</v>
      </c>
      <c r="T241" s="208">
        <f>S241*係数!$H$30</f>
        <v>0</v>
      </c>
      <c r="U241" s="12">
        <f t="shared" si="18"/>
        <v>0</v>
      </c>
      <c r="V241" s="211">
        <f t="shared" si="18"/>
        <v>0</v>
      </c>
    </row>
    <row r="242" spans="2:22" x14ac:dyDescent="0.4">
      <c r="B242" s="194" t="s">
        <v>785</v>
      </c>
      <c r="C242" s="35"/>
      <c r="D242" s="291"/>
      <c r="E242" s="461"/>
      <c r="F242" s="212"/>
      <c r="G242" s="212"/>
      <c r="H242" s="213"/>
      <c r="I242" s="27"/>
      <c r="J242" s="207">
        <f t="shared" si="19"/>
        <v>0</v>
      </c>
      <c r="K242" s="207">
        <f t="shared" si="20"/>
        <v>0</v>
      </c>
      <c r="L242" s="208">
        <f>K242*係数!$H$30</f>
        <v>0</v>
      </c>
      <c r="M242" s="35"/>
      <c r="N242" s="27"/>
      <c r="O242" s="27"/>
      <c r="P242" s="213"/>
      <c r="Q242" s="27"/>
      <c r="R242" s="462">
        <f t="shared" si="16"/>
        <v>0</v>
      </c>
      <c r="S242" s="12">
        <f t="shared" si="17"/>
        <v>0</v>
      </c>
      <c r="T242" s="208">
        <f>S242*係数!$H$30</f>
        <v>0</v>
      </c>
      <c r="U242" s="12">
        <f t="shared" si="18"/>
        <v>0</v>
      </c>
      <c r="V242" s="211">
        <f t="shared" si="18"/>
        <v>0</v>
      </c>
    </row>
    <row r="243" spans="2:22" x14ac:dyDescent="0.4">
      <c r="B243" s="194" t="s">
        <v>786</v>
      </c>
      <c r="C243" s="35"/>
      <c r="D243" s="291"/>
      <c r="E243" s="461"/>
      <c r="F243" s="212"/>
      <c r="G243" s="212"/>
      <c r="H243" s="213"/>
      <c r="I243" s="27"/>
      <c r="J243" s="207">
        <f t="shared" si="19"/>
        <v>0</v>
      </c>
      <c r="K243" s="207">
        <f t="shared" si="20"/>
        <v>0</v>
      </c>
      <c r="L243" s="208">
        <f>K243*係数!$H$30</f>
        <v>0</v>
      </c>
      <c r="M243" s="35"/>
      <c r="N243" s="27"/>
      <c r="O243" s="27"/>
      <c r="P243" s="213"/>
      <c r="Q243" s="27"/>
      <c r="R243" s="462">
        <f t="shared" si="16"/>
        <v>0</v>
      </c>
      <c r="S243" s="12">
        <f t="shared" si="17"/>
        <v>0</v>
      </c>
      <c r="T243" s="208">
        <f>S243*係数!$H$30</f>
        <v>0</v>
      </c>
      <c r="U243" s="12">
        <f t="shared" si="18"/>
        <v>0</v>
      </c>
      <c r="V243" s="211">
        <f t="shared" si="18"/>
        <v>0</v>
      </c>
    </row>
    <row r="244" spans="2:22" x14ac:dyDescent="0.4">
      <c r="B244" s="194" t="s">
        <v>787</v>
      </c>
      <c r="C244" s="35"/>
      <c r="D244" s="291"/>
      <c r="E244" s="461"/>
      <c r="F244" s="212"/>
      <c r="G244" s="212"/>
      <c r="H244" s="213"/>
      <c r="I244" s="27"/>
      <c r="J244" s="207">
        <f t="shared" si="19"/>
        <v>0</v>
      </c>
      <c r="K244" s="207">
        <f t="shared" si="20"/>
        <v>0</v>
      </c>
      <c r="L244" s="208">
        <f>K244*係数!$H$30</f>
        <v>0</v>
      </c>
      <c r="M244" s="35"/>
      <c r="N244" s="27"/>
      <c r="O244" s="27"/>
      <c r="P244" s="213"/>
      <c r="Q244" s="27"/>
      <c r="R244" s="462">
        <f t="shared" si="16"/>
        <v>0</v>
      </c>
      <c r="S244" s="12">
        <f t="shared" si="17"/>
        <v>0</v>
      </c>
      <c r="T244" s="208">
        <f>S244*係数!$H$30</f>
        <v>0</v>
      </c>
      <c r="U244" s="12">
        <f t="shared" si="18"/>
        <v>0</v>
      </c>
      <c r="V244" s="211">
        <f t="shared" si="18"/>
        <v>0</v>
      </c>
    </row>
    <row r="245" spans="2:22" x14ac:dyDescent="0.4">
      <c r="B245" s="194" t="s">
        <v>788</v>
      </c>
      <c r="C245" s="35"/>
      <c r="D245" s="291"/>
      <c r="E245" s="461"/>
      <c r="F245" s="212"/>
      <c r="G245" s="212"/>
      <c r="H245" s="213"/>
      <c r="I245" s="27"/>
      <c r="J245" s="207">
        <f t="shared" si="19"/>
        <v>0</v>
      </c>
      <c r="K245" s="207">
        <f t="shared" si="20"/>
        <v>0</v>
      </c>
      <c r="L245" s="208">
        <f>K245*係数!$H$30</f>
        <v>0</v>
      </c>
      <c r="M245" s="35"/>
      <c r="N245" s="27"/>
      <c r="O245" s="27"/>
      <c r="P245" s="213"/>
      <c r="Q245" s="27"/>
      <c r="R245" s="462">
        <f t="shared" si="16"/>
        <v>0</v>
      </c>
      <c r="S245" s="12">
        <f t="shared" si="17"/>
        <v>0</v>
      </c>
      <c r="T245" s="208">
        <f>S245*係数!$H$30</f>
        <v>0</v>
      </c>
      <c r="U245" s="12">
        <f t="shared" si="18"/>
        <v>0</v>
      </c>
      <c r="V245" s="211">
        <f t="shared" si="18"/>
        <v>0</v>
      </c>
    </row>
    <row r="246" spans="2:22" x14ac:dyDescent="0.4">
      <c r="B246" s="194" t="s">
        <v>789</v>
      </c>
      <c r="C246" s="35"/>
      <c r="D246" s="291"/>
      <c r="E246" s="461"/>
      <c r="F246" s="212"/>
      <c r="G246" s="212"/>
      <c r="H246" s="213"/>
      <c r="I246" s="27"/>
      <c r="J246" s="207">
        <f t="shared" si="19"/>
        <v>0</v>
      </c>
      <c r="K246" s="207">
        <f t="shared" si="20"/>
        <v>0</v>
      </c>
      <c r="L246" s="208">
        <f>K246*係数!$H$30</f>
        <v>0</v>
      </c>
      <c r="M246" s="35"/>
      <c r="N246" s="27"/>
      <c r="O246" s="27"/>
      <c r="P246" s="213"/>
      <c r="Q246" s="27"/>
      <c r="R246" s="462">
        <f t="shared" si="16"/>
        <v>0</v>
      </c>
      <c r="S246" s="12">
        <f t="shared" si="17"/>
        <v>0</v>
      </c>
      <c r="T246" s="208">
        <f>S246*係数!$H$30</f>
        <v>0</v>
      </c>
      <c r="U246" s="12">
        <f t="shared" si="18"/>
        <v>0</v>
      </c>
      <c r="V246" s="211">
        <f t="shared" si="18"/>
        <v>0</v>
      </c>
    </row>
    <row r="247" spans="2:22" x14ac:dyDescent="0.4">
      <c r="B247" s="194" t="s">
        <v>790</v>
      </c>
      <c r="C247" s="35"/>
      <c r="D247" s="291"/>
      <c r="E247" s="461"/>
      <c r="F247" s="212"/>
      <c r="G247" s="212"/>
      <c r="H247" s="213"/>
      <c r="I247" s="27"/>
      <c r="J247" s="207">
        <f t="shared" si="19"/>
        <v>0</v>
      </c>
      <c r="K247" s="207">
        <f t="shared" si="20"/>
        <v>0</v>
      </c>
      <c r="L247" s="208">
        <f>K247*係数!$H$30</f>
        <v>0</v>
      </c>
      <c r="M247" s="35"/>
      <c r="N247" s="27"/>
      <c r="O247" s="27"/>
      <c r="P247" s="213"/>
      <c r="Q247" s="27"/>
      <c r="R247" s="462">
        <f t="shared" si="16"/>
        <v>0</v>
      </c>
      <c r="S247" s="12">
        <f t="shared" si="17"/>
        <v>0</v>
      </c>
      <c r="T247" s="208">
        <f>S247*係数!$H$30</f>
        <v>0</v>
      </c>
      <c r="U247" s="12">
        <f t="shared" si="18"/>
        <v>0</v>
      </c>
      <c r="V247" s="211">
        <f t="shared" si="18"/>
        <v>0</v>
      </c>
    </row>
    <row r="248" spans="2:22" x14ac:dyDescent="0.4">
      <c r="B248" s="194" t="s">
        <v>791</v>
      </c>
      <c r="C248" s="35"/>
      <c r="D248" s="291"/>
      <c r="E248" s="461"/>
      <c r="F248" s="212"/>
      <c r="G248" s="212"/>
      <c r="H248" s="213"/>
      <c r="I248" s="27"/>
      <c r="J248" s="207">
        <f t="shared" si="19"/>
        <v>0</v>
      </c>
      <c r="K248" s="207">
        <f t="shared" si="20"/>
        <v>0</v>
      </c>
      <c r="L248" s="208">
        <f>K248*係数!$H$30</f>
        <v>0</v>
      </c>
      <c r="M248" s="35"/>
      <c r="N248" s="27"/>
      <c r="O248" s="27"/>
      <c r="P248" s="213"/>
      <c r="Q248" s="27"/>
      <c r="R248" s="462">
        <f t="shared" si="16"/>
        <v>0</v>
      </c>
      <c r="S248" s="12">
        <f t="shared" si="17"/>
        <v>0</v>
      </c>
      <c r="T248" s="208">
        <f>S248*係数!$H$30</f>
        <v>0</v>
      </c>
      <c r="U248" s="12">
        <f t="shared" si="18"/>
        <v>0</v>
      </c>
      <c r="V248" s="211">
        <f t="shared" si="18"/>
        <v>0</v>
      </c>
    </row>
    <row r="249" spans="2:22" x14ac:dyDescent="0.4">
      <c r="B249" s="194" t="s">
        <v>792</v>
      </c>
      <c r="C249" s="35"/>
      <c r="D249" s="291"/>
      <c r="E249" s="461"/>
      <c r="F249" s="212"/>
      <c r="G249" s="212"/>
      <c r="H249" s="213"/>
      <c r="I249" s="27"/>
      <c r="J249" s="207">
        <f t="shared" si="19"/>
        <v>0</v>
      </c>
      <c r="K249" s="207">
        <f t="shared" si="20"/>
        <v>0</v>
      </c>
      <c r="L249" s="208">
        <f>K249*係数!$H$30</f>
        <v>0</v>
      </c>
      <c r="M249" s="35"/>
      <c r="N249" s="27"/>
      <c r="O249" s="27"/>
      <c r="P249" s="213"/>
      <c r="Q249" s="27"/>
      <c r="R249" s="462">
        <f t="shared" si="16"/>
        <v>0</v>
      </c>
      <c r="S249" s="12">
        <f t="shared" si="17"/>
        <v>0</v>
      </c>
      <c r="T249" s="208">
        <f>S249*係数!$H$30</f>
        <v>0</v>
      </c>
      <c r="U249" s="12">
        <f t="shared" si="18"/>
        <v>0</v>
      </c>
      <c r="V249" s="211">
        <f t="shared" si="18"/>
        <v>0</v>
      </c>
    </row>
    <row r="250" spans="2:22" x14ac:dyDescent="0.4">
      <c r="B250" s="194" t="s">
        <v>793</v>
      </c>
      <c r="C250" s="35"/>
      <c r="D250" s="291"/>
      <c r="E250" s="461"/>
      <c r="F250" s="212"/>
      <c r="G250" s="212"/>
      <c r="H250" s="213"/>
      <c r="I250" s="27"/>
      <c r="J250" s="207">
        <f t="shared" si="19"/>
        <v>0</v>
      </c>
      <c r="K250" s="207">
        <f t="shared" si="20"/>
        <v>0</v>
      </c>
      <c r="L250" s="208">
        <f>K250*係数!$H$30</f>
        <v>0</v>
      </c>
      <c r="M250" s="35"/>
      <c r="N250" s="27"/>
      <c r="O250" s="27"/>
      <c r="P250" s="213"/>
      <c r="Q250" s="27"/>
      <c r="R250" s="462">
        <f t="shared" si="16"/>
        <v>0</v>
      </c>
      <c r="S250" s="12">
        <f t="shared" si="17"/>
        <v>0</v>
      </c>
      <c r="T250" s="208">
        <f>S250*係数!$H$30</f>
        <v>0</v>
      </c>
      <c r="U250" s="12">
        <f t="shared" si="18"/>
        <v>0</v>
      </c>
      <c r="V250" s="211">
        <f t="shared" si="18"/>
        <v>0</v>
      </c>
    </row>
    <row r="251" spans="2:22" x14ac:dyDescent="0.4">
      <c r="B251" s="194" t="s">
        <v>794</v>
      </c>
      <c r="C251" s="35"/>
      <c r="D251" s="291"/>
      <c r="E251" s="461"/>
      <c r="F251" s="212"/>
      <c r="G251" s="212"/>
      <c r="H251" s="213"/>
      <c r="I251" s="27"/>
      <c r="J251" s="207">
        <f t="shared" si="19"/>
        <v>0</v>
      </c>
      <c r="K251" s="207">
        <f t="shared" si="20"/>
        <v>0</v>
      </c>
      <c r="L251" s="208">
        <f>K251*係数!$H$30</f>
        <v>0</v>
      </c>
      <c r="M251" s="35"/>
      <c r="N251" s="27"/>
      <c r="O251" s="27"/>
      <c r="P251" s="213"/>
      <c r="Q251" s="27"/>
      <c r="R251" s="462">
        <f t="shared" si="16"/>
        <v>0</v>
      </c>
      <c r="S251" s="12">
        <f t="shared" si="17"/>
        <v>0</v>
      </c>
      <c r="T251" s="208">
        <f>S251*係数!$H$30</f>
        <v>0</v>
      </c>
      <c r="U251" s="12">
        <f t="shared" si="18"/>
        <v>0</v>
      </c>
      <c r="V251" s="211">
        <f t="shared" si="18"/>
        <v>0</v>
      </c>
    </row>
    <row r="252" spans="2:22" x14ac:dyDescent="0.4">
      <c r="B252" s="194" t="s">
        <v>795</v>
      </c>
      <c r="C252" s="35"/>
      <c r="D252" s="291"/>
      <c r="E252" s="461"/>
      <c r="F252" s="212"/>
      <c r="G252" s="212"/>
      <c r="H252" s="213"/>
      <c r="I252" s="27"/>
      <c r="J252" s="207">
        <f t="shared" si="19"/>
        <v>0</v>
      </c>
      <c r="K252" s="207">
        <f t="shared" si="20"/>
        <v>0</v>
      </c>
      <c r="L252" s="208">
        <f>K252*係数!$H$30</f>
        <v>0</v>
      </c>
      <c r="M252" s="35"/>
      <c r="N252" s="27"/>
      <c r="O252" s="27"/>
      <c r="P252" s="213"/>
      <c r="Q252" s="27"/>
      <c r="R252" s="462">
        <f t="shared" si="16"/>
        <v>0</v>
      </c>
      <c r="S252" s="12">
        <f t="shared" si="17"/>
        <v>0</v>
      </c>
      <c r="T252" s="208">
        <f>S252*係数!$H$30</f>
        <v>0</v>
      </c>
      <c r="U252" s="12">
        <f t="shared" si="18"/>
        <v>0</v>
      </c>
      <c r="V252" s="211">
        <f t="shared" si="18"/>
        <v>0</v>
      </c>
    </row>
    <row r="253" spans="2:22" x14ac:dyDescent="0.4">
      <c r="B253" s="194" t="s">
        <v>796</v>
      </c>
      <c r="C253" s="35"/>
      <c r="D253" s="291"/>
      <c r="E253" s="461"/>
      <c r="F253" s="212"/>
      <c r="G253" s="212"/>
      <c r="H253" s="213"/>
      <c r="I253" s="27"/>
      <c r="J253" s="207">
        <f t="shared" si="19"/>
        <v>0</v>
      </c>
      <c r="K253" s="207">
        <f t="shared" si="20"/>
        <v>0</v>
      </c>
      <c r="L253" s="208">
        <f>K253*係数!$H$30</f>
        <v>0</v>
      </c>
      <c r="M253" s="35"/>
      <c r="N253" s="27"/>
      <c r="O253" s="27"/>
      <c r="P253" s="213"/>
      <c r="Q253" s="27"/>
      <c r="R253" s="462">
        <f t="shared" si="16"/>
        <v>0</v>
      </c>
      <c r="S253" s="12">
        <f t="shared" si="17"/>
        <v>0</v>
      </c>
      <c r="T253" s="208">
        <f>S253*係数!$H$30</f>
        <v>0</v>
      </c>
      <c r="U253" s="12">
        <f t="shared" si="18"/>
        <v>0</v>
      </c>
      <c r="V253" s="211">
        <f t="shared" si="18"/>
        <v>0</v>
      </c>
    </row>
    <row r="254" spans="2:22" x14ac:dyDescent="0.4">
      <c r="B254" s="194" t="s">
        <v>797</v>
      </c>
      <c r="C254" s="35"/>
      <c r="D254" s="291"/>
      <c r="E254" s="461"/>
      <c r="F254" s="212"/>
      <c r="G254" s="212"/>
      <c r="H254" s="213"/>
      <c r="I254" s="27"/>
      <c r="J254" s="207">
        <f t="shared" si="19"/>
        <v>0</v>
      </c>
      <c r="K254" s="207">
        <f t="shared" si="20"/>
        <v>0</v>
      </c>
      <c r="L254" s="208">
        <f>K254*係数!$H$30</f>
        <v>0</v>
      </c>
      <c r="M254" s="35"/>
      <c r="N254" s="27"/>
      <c r="O254" s="27"/>
      <c r="P254" s="213"/>
      <c r="Q254" s="27"/>
      <c r="R254" s="462">
        <f t="shared" si="16"/>
        <v>0</v>
      </c>
      <c r="S254" s="12">
        <f t="shared" si="17"/>
        <v>0</v>
      </c>
      <c r="T254" s="208">
        <f>S254*係数!$H$30</f>
        <v>0</v>
      </c>
      <c r="U254" s="12">
        <f t="shared" si="18"/>
        <v>0</v>
      </c>
      <c r="V254" s="211">
        <f t="shared" si="18"/>
        <v>0</v>
      </c>
    </row>
    <row r="255" spans="2:22" x14ac:dyDescent="0.4">
      <c r="B255" s="194" t="s">
        <v>798</v>
      </c>
      <c r="C255" s="35"/>
      <c r="D255" s="291"/>
      <c r="E255" s="461"/>
      <c r="F255" s="212"/>
      <c r="G255" s="212"/>
      <c r="H255" s="213"/>
      <c r="I255" s="27"/>
      <c r="J255" s="207">
        <f t="shared" si="19"/>
        <v>0</v>
      </c>
      <c r="K255" s="207">
        <f t="shared" si="20"/>
        <v>0</v>
      </c>
      <c r="L255" s="208">
        <f>K255*係数!$H$30</f>
        <v>0</v>
      </c>
      <c r="M255" s="35"/>
      <c r="N255" s="27"/>
      <c r="O255" s="27"/>
      <c r="P255" s="213"/>
      <c r="Q255" s="27"/>
      <c r="R255" s="462">
        <f t="shared" si="16"/>
        <v>0</v>
      </c>
      <c r="S255" s="12">
        <f t="shared" si="17"/>
        <v>0</v>
      </c>
      <c r="T255" s="208">
        <f>S255*係数!$H$30</f>
        <v>0</v>
      </c>
      <c r="U255" s="12">
        <f t="shared" si="18"/>
        <v>0</v>
      </c>
      <c r="V255" s="211">
        <f t="shared" si="18"/>
        <v>0</v>
      </c>
    </row>
    <row r="256" spans="2:22" x14ac:dyDescent="0.4">
      <c r="B256" s="194" t="s">
        <v>799</v>
      </c>
      <c r="C256" s="35"/>
      <c r="D256" s="291"/>
      <c r="E256" s="461"/>
      <c r="F256" s="212"/>
      <c r="G256" s="212"/>
      <c r="H256" s="213"/>
      <c r="I256" s="27"/>
      <c r="J256" s="207">
        <f t="shared" si="19"/>
        <v>0</v>
      </c>
      <c r="K256" s="207">
        <f t="shared" si="20"/>
        <v>0</v>
      </c>
      <c r="L256" s="208">
        <f>K256*係数!$H$30</f>
        <v>0</v>
      </c>
      <c r="M256" s="35"/>
      <c r="N256" s="27"/>
      <c r="O256" s="27"/>
      <c r="P256" s="213"/>
      <c r="Q256" s="27"/>
      <c r="R256" s="462">
        <f t="shared" si="16"/>
        <v>0</v>
      </c>
      <c r="S256" s="12">
        <f t="shared" si="17"/>
        <v>0</v>
      </c>
      <c r="T256" s="208">
        <f>S256*係数!$H$30</f>
        <v>0</v>
      </c>
      <c r="U256" s="12">
        <f t="shared" si="18"/>
        <v>0</v>
      </c>
      <c r="V256" s="211">
        <f t="shared" si="18"/>
        <v>0</v>
      </c>
    </row>
    <row r="257" spans="2:22" x14ac:dyDescent="0.4">
      <c r="B257" s="194" t="s">
        <v>800</v>
      </c>
      <c r="C257" s="35"/>
      <c r="D257" s="291"/>
      <c r="E257" s="461"/>
      <c r="F257" s="212"/>
      <c r="G257" s="212"/>
      <c r="H257" s="213"/>
      <c r="I257" s="27"/>
      <c r="J257" s="207">
        <f t="shared" si="19"/>
        <v>0</v>
      </c>
      <c r="K257" s="207">
        <f t="shared" si="20"/>
        <v>0</v>
      </c>
      <c r="L257" s="208">
        <f>K257*係数!$H$30</f>
        <v>0</v>
      </c>
      <c r="M257" s="35"/>
      <c r="N257" s="27"/>
      <c r="O257" s="27"/>
      <c r="P257" s="213"/>
      <c r="Q257" s="27"/>
      <c r="R257" s="462">
        <f t="shared" si="16"/>
        <v>0</v>
      </c>
      <c r="S257" s="12">
        <f t="shared" si="17"/>
        <v>0</v>
      </c>
      <c r="T257" s="208">
        <f>S257*係数!$H$30</f>
        <v>0</v>
      </c>
      <c r="U257" s="12">
        <f t="shared" si="18"/>
        <v>0</v>
      </c>
      <c r="V257" s="211">
        <f t="shared" si="18"/>
        <v>0</v>
      </c>
    </row>
    <row r="258" spans="2:22" x14ac:dyDescent="0.4">
      <c r="B258" s="194" t="s">
        <v>801</v>
      </c>
      <c r="C258" s="35"/>
      <c r="D258" s="291"/>
      <c r="E258" s="461"/>
      <c r="F258" s="212"/>
      <c r="G258" s="212"/>
      <c r="H258" s="213"/>
      <c r="I258" s="27"/>
      <c r="J258" s="207">
        <f t="shared" si="19"/>
        <v>0</v>
      </c>
      <c r="K258" s="207">
        <f t="shared" si="20"/>
        <v>0</v>
      </c>
      <c r="L258" s="208">
        <f>K258*係数!$H$30</f>
        <v>0</v>
      </c>
      <c r="M258" s="35"/>
      <c r="N258" s="27"/>
      <c r="O258" s="27"/>
      <c r="P258" s="213"/>
      <c r="Q258" s="27"/>
      <c r="R258" s="462">
        <f t="shared" si="16"/>
        <v>0</v>
      </c>
      <c r="S258" s="12">
        <f t="shared" si="17"/>
        <v>0</v>
      </c>
      <c r="T258" s="208">
        <f>S258*係数!$H$30</f>
        <v>0</v>
      </c>
      <c r="U258" s="12">
        <f t="shared" si="18"/>
        <v>0</v>
      </c>
      <c r="V258" s="211">
        <f t="shared" si="18"/>
        <v>0</v>
      </c>
    </row>
    <row r="259" spans="2:22" x14ac:dyDescent="0.4">
      <c r="B259" s="194" t="s">
        <v>802</v>
      </c>
      <c r="C259" s="35"/>
      <c r="D259" s="291"/>
      <c r="E259" s="461"/>
      <c r="F259" s="212"/>
      <c r="G259" s="212"/>
      <c r="H259" s="213"/>
      <c r="I259" s="27"/>
      <c r="J259" s="207">
        <f t="shared" si="19"/>
        <v>0</v>
      </c>
      <c r="K259" s="207">
        <f t="shared" si="20"/>
        <v>0</v>
      </c>
      <c r="L259" s="208">
        <f>K259*係数!$H$30</f>
        <v>0</v>
      </c>
      <c r="M259" s="35"/>
      <c r="N259" s="27"/>
      <c r="O259" s="27"/>
      <c r="P259" s="213"/>
      <c r="Q259" s="27"/>
      <c r="R259" s="462">
        <f t="shared" si="16"/>
        <v>0</v>
      </c>
      <c r="S259" s="12">
        <f t="shared" si="17"/>
        <v>0</v>
      </c>
      <c r="T259" s="208">
        <f>S259*係数!$H$30</f>
        <v>0</v>
      </c>
      <c r="U259" s="12">
        <f t="shared" si="18"/>
        <v>0</v>
      </c>
      <c r="V259" s="211">
        <f t="shared" si="18"/>
        <v>0</v>
      </c>
    </row>
    <row r="260" spans="2:22" x14ac:dyDescent="0.4">
      <c r="B260" s="194" t="s">
        <v>803</v>
      </c>
      <c r="C260" s="35"/>
      <c r="D260" s="291"/>
      <c r="E260" s="461"/>
      <c r="F260" s="212"/>
      <c r="G260" s="212"/>
      <c r="H260" s="213"/>
      <c r="I260" s="27"/>
      <c r="J260" s="207">
        <f t="shared" si="19"/>
        <v>0</v>
      </c>
      <c r="K260" s="207">
        <f t="shared" si="20"/>
        <v>0</v>
      </c>
      <c r="L260" s="208">
        <f>K260*係数!$H$30</f>
        <v>0</v>
      </c>
      <c r="M260" s="35"/>
      <c r="N260" s="27"/>
      <c r="O260" s="27"/>
      <c r="P260" s="213"/>
      <c r="Q260" s="27"/>
      <c r="R260" s="462">
        <f t="shared" si="16"/>
        <v>0</v>
      </c>
      <c r="S260" s="12">
        <f t="shared" si="17"/>
        <v>0</v>
      </c>
      <c r="T260" s="208">
        <f>S260*係数!$H$30</f>
        <v>0</v>
      </c>
      <c r="U260" s="12">
        <f t="shared" si="18"/>
        <v>0</v>
      </c>
      <c r="V260" s="211">
        <f t="shared" si="18"/>
        <v>0</v>
      </c>
    </row>
    <row r="261" spans="2:22" x14ac:dyDescent="0.4">
      <c r="B261" s="194" t="s">
        <v>804</v>
      </c>
      <c r="C261" s="35"/>
      <c r="D261" s="291"/>
      <c r="E261" s="461"/>
      <c r="F261" s="212"/>
      <c r="G261" s="212"/>
      <c r="H261" s="213"/>
      <c r="I261" s="27"/>
      <c r="J261" s="207">
        <f t="shared" si="19"/>
        <v>0</v>
      </c>
      <c r="K261" s="207">
        <f t="shared" si="20"/>
        <v>0</v>
      </c>
      <c r="L261" s="208">
        <f>K261*係数!$H$30</f>
        <v>0</v>
      </c>
      <c r="M261" s="35"/>
      <c r="N261" s="27"/>
      <c r="O261" s="27"/>
      <c r="P261" s="213"/>
      <c r="Q261" s="27"/>
      <c r="R261" s="462">
        <f t="shared" si="16"/>
        <v>0</v>
      </c>
      <c r="S261" s="12">
        <f t="shared" si="17"/>
        <v>0</v>
      </c>
      <c r="T261" s="208">
        <f>S261*係数!$H$30</f>
        <v>0</v>
      </c>
      <c r="U261" s="12">
        <f t="shared" si="18"/>
        <v>0</v>
      </c>
      <c r="V261" s="211">
        <f t="shared" si="18"/>
        <v>0</v>
      </c>
    </row>
    <row r="262" spans="2:22" x14ac:dyDescent="0.4">
      <c r="B262" s="194" t="s">
        <v>805</v>
      </c>
      <c r="C262" s="35"/>
      <c r="D262" s="291"/>
      <c r="E262" s="461"/>
      <c r="F262" s="212"/>
      <c r="G262" s="212"/>
      <c r="H262" s="213"/>
      <c r="I262" s="27"/>
      <c r="J262" s="207">
        <f t="shared" si="19"/>
        <v>0</v>
      </c>
      <c r="K262" s="207">
        <f t="shared" si="20"/>
        <v>0</v>
      </c>
      <c r="L262" s="208">
        <f>K262*係数!$H$30</f>
        <v>0</v>
      </c>
      <c r="M262" s="35"/>
      <c r="N262" s="27"/>
      <c r="O262" s="27"/>
      <c r="P262" s="213"/>
      <c r="Q262" s="27"/>
      <c r="R262" s="462">
        <f t="shared" si="16"/>
        <v>0</v>
      </c>
      <c r="S262" s="12">
        <f t="shared" si="17"/>
        <v>0</v>
      </c>
      <c r="T262" s="208">
        <f>S262*係数!$H$30</f>
        <v>0</v>
      </c>
      <c r="U262" s="12">
        <f t="shared" si="18"/>
        <v>0</v>
      </c>
      <c r="V262" s="211">
        <f t="shared" si="18"/>
        <v>0</v>
      </c>
    </row>
    <row r="263" spans="2:22" x14ac:dyDescent="0.4">
      <c r="B263" s="194" t="s">
        <v>806</v>
      </c>
      <c r="C263" s="35"/>
      <c r="D263" s="291"/>
      <c r="E263" s="461"/>
      <c r="F263" s="212"/>
      <c r="G263" s="212"/>
      <c r="H263" s="213"/>
      <c r="I263" s="27"/>
      <c r="J263" s="207">
        <f t="shared" si="19"/>
        <v>0</v>
      </c>
      <c r="K263" s="207">
        <f t="shared" si="20"/>
        <v>0</v>
      </c>
      <c r="L263" s="208">
        <f>K263*係数!$H$30</f>
        <v>0</v>
      </c>
      <c r="M263" s="35"/>
      <c r="N263" s="27"/>
      <c r="O263" s="27"/>
      <c r="P263" s="213"/>
      <c r="Q263" s="27"/>
      <c r="R263" s="462">
        <f t="shared" si="16"/>
        <v>0</v>
      </c>
      <c r="S263" s="12">
        <f t="shared" si="17"/>
        <v>0</v>
      </c>
      <c r="T263" s="208">
        <f>S263*係数!$H$30</f>
        <v>0</v>
      </c>
      <c r="U263" s="12">
        <f t="shared" si="18"/>
        <v>0</v>
      </c>
      <c r="V263" s="211">
        <f t="shared" si="18"/>
        <v>0</v>
      </c>
    </row>
    <row r="264" spans="2:22" x14ac:dyDescent="0.4">
      <c r="B264" s="194" t="s">
        <v>807</v>
      </c>
      <c r="C264" s="35"/>
      <c r="D264" s="291"/>
      <c r="E264" s="461"/>
      <c r="F264" s="212"/>
      <c r="G264" s="212"/>
      <c r="H264" s="213"/>
      <c r="I264" s="27"/>
      <c r="J264" s="207">
        <f t="shared" si="19"/>
        <v>0</v>
      </c>
      <c r="K264" s="207">
        <f t="shared" si="20"/>
        <v>0</v>
      </c>
      <c r="L264" s="208">
        <f>K264*係数!$H$30</f>
        <v>0</v>
      </c>
      <c r="M264" s="35"/>
      <c r="N264" s="27"/>
      <c r="O264" s="27"/>
      <c r="P264" s="213"/>
      <c r="Q264" s="27"/>
      <c r="R264" s="462">
        <f t="shared" si="16"/>
        <v>0</v>
      </c>
      <c r="S264" s="12">
        <f t="shared" si="17"/>
        <v>0</v>
      </c>
      <c r="T264" s="208">
        <f>S264*係数!$H$30</f>
        <v>0</v>
      </c>
      <c r="U264" s="12">
        <f t="shared" si="18"/>
        <v>0</v>
      </c>
      <c r="V264" s="211">
        <f t="shared" si="18"/>
        <v>0</v>
      </c>
    </row>
    <row r="265" spans="2:22" x14ac:dyDescent="0.4">
      <c r="B265" s="194" t="s">
        <v>808</v>
      </c>
      <c r="C265" s="35"/>
      <c r="D265" s="291"/>
      <c r="E265" s="461"/>
      <c r="F265" s="212"/>
      <c r="G265" s="212"/>
      <c r="H265" s="213"/>
      <c r="I265" s="27"/>
      <c r="J265" s="207">
        <f t="shared" si="19"/>
        <v>0</v>
      </c>
      <c r="K265" s="207">
        <f t="shared" si="20"/>
        <v>0</v>
      </c>
      <c r="L265" s="208">
        <f>K265*係数!$H$30</f>
        <v>0</v>
      </c>
      <c r="M265" s="35"/>
      <c r="N265" s="27"/>
      <c r="O265" s="27"/>
      <c r="P265" s="213"/>
      <c r="Q265" s="27"/>
      <c r="R265" s="462">
        <f t="shared" si="16"/>
        <v>0</v>
      </c>
      <c r="S265" s="12">
        <f t="shared" si="17"/>
        <v>0</v>
      </c>
      <c r="T265" s="208">
        <f>S265*係数!$H$30</f>
        <v>0</v>
      </c>
      <c r="U265" s="12">
        <f t="shared" si="18"/>
        <v>0</v>
      </c>
      <c r="V265" s="211">
        <f t="shared" si="18"/>
        <v>0</v>
      </c>
    </row>
    <row r="266" spans="2:22" x14ac:dyDescent="0.4">
      <c r="B266" s="194" t="s">
        <v>809</v>
      </c>
      <c r="C266" s="35"/>
      <c r="D266" s="291"/>
      <c r="E266" s="461"/>
      <c r="F266" s="212"/>
      <c r="G266" s="212"/>
      <c r="H266" s="213"/>
      <c r="I266" s="27"/>
      <c r="J266" s="207">
        <f t="shared" si="19"/>
        <v>0</v>
      </c>
      <c r="K266" s="207">
        <f t="shared" si="20"/>
        <v>0</v>
      </c>
      <c r="L266" s="208">
        <f>K266*係数!$H$30</f>
        <v>0</v>
      </c>
      <c r="M266" s="35"/>
      <c r="N266" s="27"/>
      <c r="O266" s="27"/>
      <c r="P266" s="213"/>
      <c r="Q266" s="27"/>
      <c r="R266" s="462">
        <f t="shared" si="16"/>
        <v>0</v>
      </c>
      <c r="S266" s="12">
        <f t="shared" si="17"/>
        <v>0</v>
      </c>
      <c r="T266" s="208">
        <f>S266*係数!$H$30</f>
        <v>0</v>
      </c>
      <c r="U266" s="12">
        <f t="shared" si="18"/>
        <v>0</v>
      </c>
      <c r="V266" s="211">
        <f t="shared" si="18"/>
        <v>0</v>
      </c>
    </row>
    <row r="267" spans="2:22" x14ac:dyDescent="0.4">
      <c r="B267" s="194" t="s">
        <v>810</v>
      </c>
      <c r="C267" s="35"/>
      <c r="D267" s="291"/>
      <c r="E267" s="461"/>
      <c r="F267" s="212"/>
      <c r="G267" s="212"/>
      <c r="H267" s="213"/>
      <c r="I267" s="27"/>
      <c r="J267" s="207">
        <f t="shared" si="19"/>
        <v>0</v>
      </c>
      <c r="K267" s="207">
        <f t="shared" si="20"/>
        <v>0</v>
      </c>
      <c r="L267" s="208">
        <f>K267*係数!$H$30</f>
        <v>0</v>
      </c>
      <c r="M267" s="35"/>
      <c r="N267" s="27"/>
      <c r="O267" s="27"/>
      <c r="P267" s="213"/>
      <c r="Q267" s="27"/>
      <c r="R267" s="462">
        <f t="shared" si="16"/>
        <v>0</v>
      </c>
      <c r="S267" s="12">
        <f t="shared" si="17"/>
        <v>0</v>
      </c>
      <c r="T267" s="208">
        <f>S267*係数!$H$30</f>
        <v>0</v>
      </c>
      <c r="U267" s="12">
        <f t="shared" si="18"/>
        <v>0</v>
      </c>
      <c r="V267" s="211">
        <f t="shared" si="18"/>
        <v>0</v>
      </c>
    </row>
    <row r="268" spans="2:22" x14ac:dyDescent="0.4">
      <c r="B268" s="194" t="s">
        <v>811</v>
      </c>
      <c r="C268" s="35"/>
      <c r="D268" s="291"/>
      <c r="E268" s="461"/>
      <c r="F268" s="212"/>
      <c r="G268" s="212"/>
      <c r="H268" s="213"/>
      <c r="I268" s="27"/>
      <c r="J268" s="207">
        <f t="shared" si="19"/>
        <v>0</v>
      </c>
      <c r="K268" s="207">
        <f t="shared" si="20"/>
        <v>0</v>
      </c>
      <c r="L268" s="208">
        <f>K268*係数!$H$30</f>
        <v>0</v>
      </c>
      <c r="M268" s="35"/>
      <c r="N268" s="27"/>
      <c r="O268" s="27"/>
      <c r="P268" s="213"/>
      <c r="Q268" s="27"/>
      <c r="R268" s="462">
        <f t="shared" si="16"/>
        <v>0</v>
      </c>
      <c r="S268" s="12">
        <f t="shared" si="17"/>
        <v>0</v>
      </c>
      <c r="T268" s="208">
        <f>S268*係数!$H$30</f>
        <v>0</v>
      </c>
      <c r="U268" s="12">
        <f t="shared" si="18"/>
        <v>0</v>
      </c>
      <c r="V268" s="211">
        <f t="shared" si="18"/>
        <v>0</v>
      </c>
    </row>
    <row r="269" spans="2:22" x14ac:dyDescent="0.4">
      <c r="B269" s="194" t="s">
        <v>812</v>
      </c>
      <c r="C269" s="35"/>
      <c r="D269" s="291"/>
      <c r="E269" s="461"/>
      <c r="F269" s="212"/>
      <c r="G269" s="212"/>
      <c r="H269" s="213"/>
      <c r="I269" s="27"/>
      <c r="J269" s="207">
        <f t="shared" si="19"/>
        <v>0</v>
      </c>
      <c r="K269" s="207">
        <f t="shared" si="20"/>
        <v>0</v>
      </c>
      <c r="L269" s="208">
        <f>K269*係数!$H$30</f>
        <v>0</v>
      </c>
      <c r="M269" s="35"/>
      <c r="N269" s="27"/>
      <c r="O269" s="27"/>
      <c r="P269" s="213"/>
      <c r="Q269" s="27"/>
      <c r="R269" s="462">
        <f t="shared" si="16"/>
        <v>0</v>
      </c>
      <c r="S269" s="12">
        <f t="shared" si="17"/>
        <v>0</v>
      </c>
      <c r="T269" s="208">
        <f>S269*係数!$H$30</f>
        <v>0</v>
      </c>
      <c r="U269" s="12">
        <f t="shared" si="18"/>
        <v>0</v>
      </c>
      <c r="V269" s="211">
        <f t="shared" si="18"/>
        <v>0</v>
      </c>
    </row>
    <row r="270" spans="2:22" x14ac:dyDescent="0.4">
      <c r="B270" s="194" t="s">
        <v>813</v>
      </c>
      <c r="C270" s="35"/>
      <c r="D270" s="291"/>
      <c r="E270" s="461"/>
      <c r="F270" s="212"/>
      <c r="G270" s="212"/>
      <c r="H270" s="213"/>
      <c r="I270" s="27"/>
      <c r="J270" s="207">
        <f t="shared" si="19"/>
        <v>0</v>
      </c>
      <c r="K270" s="207">
        <f t="shared" si="20"/>
        <v>0</v>
      </c>
      <c r="L270" s="208">
        <f>K270*係数!$H$30</f>
        <v>0</v>
      </c>
      <c r="M270" s="35"/>
      <c r="N270" s="27"/>
      <c r="O270" s="27"/>
      <c r="P270" s="213"/>
      <c r="Q270" s="27"/>
      <c r="R270" s="462">
        <f t="shared" si="16"/>
        <v>0</v>
      </c>
      <c r="S270" s="12">
        <f t="shared" si="17"/>
        <v>0</v>
      </c>
      <c r="T270" s="208">
        <f>S270*係数!$H$30</f>
        <v>0</v>
      </c>
      <c r="U270" s="12">
        <f t="shared" si="18"/>
        <v>0</v>
      </c>
      <c r="V270" s="211">
        <f t="shared" si="18"/>
        <v>0</v>
      </c>
    </row>
    <row r="271" spans="2:22" x14ac:dyDescent="0.4">
      <c r="B271" s="194" t="s">
        <v>814</v>
      </c>
      <c r="C271" s="35"/>
      <c r="D271" s="291"/>
      <c r="E271" s="461"/>
      <c r="F271" s="212"/>
      <c r="G271" s="212"/>
      <c r="H271" s="213"/>
      <c r="I271" s="27"/>
      <c r="J271" s="207">
        <f t="shared" si="19"/>
        <v>0</v>
      </c>
      <c r="K271" s="207">
        <f t="shared" si="20"/>
        <v>0</v>
      </c>
      <c r="L271" s="208">
        <f>K271*係数!$H$30</f>
        <v>0</v>
      </c>
      <c r="M271" s="35"/>
      <c r="N271" s="27"/>
      <c r="O271" s="27"/>
      <c r="P271" s="213"/>
      <c r="Q271" s="27"/>
      <c r="R271" s="462">
        <f t="shared" si="16"/>
        <v>0</v>
      </c>
      <c r="S271" s="12">
        <f t="shared" si="17"/>
        <v>0</v>
      </c>
      <c r="T271" s="208">
        <f>S271*係数!$H$30</f>
        <v>0</v>
      </c>
      <c r="U271" s="12">
        <f t="shared" si="18"/>
        <v>0</v>
      </c>
      <c r="V271" s="211">
        <f t="shared" si="18"/>
        <v>0</v>
      </c>
    </row>
    <row r="272" spans="2:22" x14ac:dyDescent="0.4">
      <c r="B272" s="194" t="s">
        <v>815</v>
      </c>
      <c r="C272" s="35"/>
      <c r="D272" s="291"/>
      <c r="E272" s="461"/>
      <c r="F272" s="212"/>
      <c r="G272" s="212"/>
      <c r="H272" s="213"/>
      <c r="I272" s="27"/>
      <c r="J272" s="207">
        <f t="shared" si="19"/>
        <v>0</v>
      </c>
      <c r="K272" s="207">
        <f t="shared" si="20"/>
        <v>0</v>
      </c>
      <c r="L272" s="208">
        <f>K272*係数!$H$30</f>
        <v>0</v>
      </c>
      <c r="M272" s="35"/>
      <c r="N272" s="27"/>
      <c r="O272" s="27"/>
      <c r="P272" s="213"/>
      <c r="Q272" s="27"/>
      <c r="R272" s="462">
        <f t="shared" si="16"/>
        <v>0</v>
      </c>
      <c r="S272" s="12">
        <f t="shared" si="17"/>
        <v>0</v>
      </c>
      <c r="T272" s="208">
        <f>S272*係数!$H$30</f>
        <v>0</v>
      </c>
      <c r="U272" s="12">
        <f t="shared" si="18"/>
        <v>0</v>
      </c>
      <c r="V272" s="211">
        <f t="shared" si="18"/>
        <v>0</v>
      </c>
    </row>
    <row r="273" spans="2:22" x14ac:dyDescent="0.4">
      <c r="B273" s="194" t="s">
        <v>816</v>
      </c>
      <c r="C273" s="35"/>
      <c r="D273" s="291"/>
      <c r="E273" s="461"/>
      <c r="F273" s="212"/>
      <c r="G273" s="212"/>
      <c r="H273" s="213"/>
      <c r="I273" s="27"/>
      <c r="J273" s="207">
        <f t="shared" si="19"/>
        <v>0</v>
      </c>
      <c r="K273" s="207">
        <f t="shared" si="20"/>
        <v>0</v>
      </c>
      <c r="L273" s="208">
        <f>K273*係数!$H$30</f>
        <v>0</v>
      </c>
      <c r="M273" s="35"/>
      <c r="N273" s="27"/>
      <c r="O273" s="27"/>
      <c r="P273" s="213"/>
      <c r="Q273" s="27"/>
      <c r="R273" s="462">
        <f t="shared" si="16"/>
        <v>0</v>
      </c>
      <c r="S273" s="12">
        <f t="shared" si="17"/>
        <v>0</v>
      </c>
      <c r="T273" s="208">
        <f>S273*係数!$H$30</f>
        <v>0</v>
      </c>
      <c r="U273" s="12">
        <f t="shared" si="18"/>
        <v>0</v>
      </c>
      <c r="V273" s="211">
        <f t="shared" si="18"/>
        <v>0</v>
      </c>
    </row>
    <row r="274" spans="2:22" x14ac:dyDescent="0.4">
      <c r="B274" s="194" t="s">
        <v>817</v>
      </c>
      <c r="C274" s="35"/>
      <c r="D274" s="291"/>
      <c r="E274" s="461"/>
      <c r="F274" s="212"/>
      <c r="G274" s="212"/>
      <c r="H274" s="213"/>
      <c r="I274" s="27"/>
      <c r="J274" s="207">
        <f t="shared" si="19"/>
        <v>0</v>
      </c>
      <c r="K274" s="207">
        <f t="shared" si="20"/>
        <v>0</v>
      </c>
      <c r="L274" s="208">
        <f>K274*係数!$H$30</f>
        <v>0</v>
      </c>
      <c r="M274" s="35"/>
      <c r="N274" s="27"/>
      <c r="O274" s="27"/>
      <c r="P274" s="213"/>
      <c r="Q274" s="27"/>
      <c r="R274" s="462">
        <f t="shared" ref="R274:R337" si="21">IF(P274="",J274,J274*Q274/100)</f>
        <v>0</v>
      </c>
      <c r="S274" s="12">
        <f t="shared" ref="S274:S337" si="22">N274*O274*R274/1000</f>
        <v>0</v>
      </c>
      <c r="T274" s="208">
        <f>S274*係数!$H$30</f>
        <v>0</v>
      </c>
      <c r="U274" s="12">
        <f t="shared" ref="U274:V337" si="23">K274-S274</f>
        <v>0</v>
      </c>
      <c r="V274" s="211">
        <f t="shared" si="23"/>
        <v>0</v>
      </c>
    </row>
    <row r="275" spans="2:22" x14ac:dyDescent="0.4">
      <c r="B275" s="194" t="s">
        <v>818</v>
      </c>
      <c r="C275" s="35"/>
      <c r="D275" s="291"/>
      <c r="E275" s="461"/>
      <c r="F275" s="212"/>
      <c r="G275" s="212"/>
      <c r="H275" s="213"/>
      <c r="I275" s="27"/>
      <c r="J275" s="207">
        <f t="shared" ref="J275:J338" si="24">IF(H275="",F275*G275,F275*G275*I275/100)</f>
        <v>0</v>
      </c>
      <c r="K275" s="207">
        <f t="shared" si="20"/>
        <v>0</v>
      </c>
      <c r="L275" s="208">
        <f>K275*係数!$H$30</f>
        <v>0</v>
      </c>
      <c r="M275" s="35"/>
      <c r="N275" s="27"/>
      <c r="O275" s="27"/>
      <c r="P275" s="213"/>
      <c r="Q275" s="27"/>
      <c r="R275" s="462">
        <f t="shared" si="21"/>
        <v>0</v>
      </c>
      <c r="S275" s="12">
        <f t="shared" si="22"/>
        <v>0</v>
      </c>
      <c r="T275" s="208">
        <f>S275*係数!$H$30</f>
        <v>0</v>
      </c>
      <c r="U275" s="12">
        <f t="shared" si="23"/>
        <v>0</v>
      </c>
      <c r="V275" s="211">
        <f t="shared" si="23"/>
        <v>0</v>
      </c>
    </row>
    <row r="276" spans="2:22" x14ac:dyDescent="0.4">
      <c r="B276" s="194" t="s">
        <v>819</v>
      </c>
      <c r="C276" s="35"/>
      <c r="D276" s="291"/>
      <c r="E276" s="461"/>
      <c r="F276" s="212"/>
      <c r="G276" s="212"/>
      <c r="H276" s="213"/>
      <c r="I276" s="27"/>
      <c r="J276" s="207">
        <f t="shared" si="24"/>
        <v>0</v>
      </c>
      <c r="K276" s="207">
        <f t="shared" ref="K276:K339" si="25">D276*E276*J276/1000</f>
        <v>0</v>
      </c>
      <c r="L276" s="208">
        <f>K276*係数!$H$30</f>
        <v>0</v>
      </c>
      <c r="M276" s="35"/>
      <c r="N276" s="27"/>
      <c r="O276" s="27"/>
      <c r="P276" s="213"/>
      <c r="Q276" s="27"/>
      <c r="R276" s="462">
        <f t="shared" si="21"/>
        <v>0</v>
      </c>
      <c r="S276" s="12">
        <f t="shared" si="22"/>
        <v>0</v>
      </c>
      <c r="T276" s="208">
        <f>S276*係数!$H$30</f>
        <v>0</v>
      </c>
      <c r="U276" s="12">
        <f t="shared" si="23"/>
        <v>0</v>
      </c>
      <c r="V276" s="211">
        <f t="shared" si="23"/>
        <v>0</v>
      </c>
    </row>
    <row r="277" spans="2:22" x14ac:dyDescent="0.4">
      <c r="B277" s="194" t="s">
        <v>820</v>
      </c>
      <c r="C277" s="35"/>
      <c r="D277" s="291"/>
      <c r="E277" s="461"/>
      <c r="F277" s="212"/>
      <c r="G277" s="212"/>
      <c r="H277" s="213"/>
      <c r="I277" s="27"/>
      <c r="J277" s="207">
        <f t="shared" si="24"/>
        <v>0</v>
      </c>
      <c r="K277" s="207">
        <f t="shared" si="25"/>
        <v>0</v>
      </c>
      <c r="L277" s="208">
        <f>K277*係数!$H$30</f>
        <v>0</v>
      </c>
      <c r="M277" s="35"/>
      <c r="N277" s="27"/>
      <c r="O277" s="27"/>
      <c r="P277" s="213"/>
      <c r="Q277" s="27"/>
      <c r="R277" s="462">
        <f t="shared" si="21"/>
        <v>0</v>
      </c>
      <c r="S277" s="12">
        <f t="shared" si="22"/>
        <v>0</v>
      </c>
      <c r="T277" s="208">
        <f>S277*係数!$H$30</f>
        <v>0</v>
      </c>
      <c r="U277" s="12">
        <f t="shared" si="23"/>
        <v>0</v>
      </c>
      <c r="V277" s="211">
        <f t="shared" si="23"/>
        <v>0</v>
      </c>
    </row>
    <row r="278" spans="2:22" x14ac:dyDescent="0.4">
      <c r="B278" s="194" t="s">
        <v>821</v>
      </c>
      <c r="C278" s="35"/>
      <c r="D278" s="291"/>
      <c r="E278" s="461"/>
      <c r="F278" s="212"/>
      <c r="G278" s="212"/>
      <c r="H278" s="213"/>
      <c r="I278" s="27"/>
      <c r="J278" s="207">
        <f t="shared" si="24"/>
        <v>0</v>
      </c>
      <c r="K278" s="207">
        <f t="shared" si="25"/>
        <v>0</v>
      </c>
      <c r="L278" s="208">
        <f>K278*係数!$H$30</f>
        <v>0</v>
      </c>
      <c r="M278" s="35"/>
      <c r="N278" s="27"/>
      <c r="O278" s="27"/>
      <c r="P278" s="213"/>
      <c r="Q278" s="27"/>
      <c r="R278" s="462">
        <f t="shared" si="21"/>
        <v>0</v>
      </c>
      <c r="S278" s="12">
        <f t="shared" si="22"/>
        <v>0</v>
      </c>
      <c r="T278" s="208">
        <f>S278*係数!$H$30</f>
        <v>0</v>
      </c>
      <c r="U278" s="12">
        <f t="shared" si="23"/>
        <v>0</v>
      </c>
      <c r="V278" s="211">
        <f t="shared" si="23"/>
        <v>0</v>
      </c>
    </row>
    <row r="279" spans="2:22" x14ac:dyDescent="0.4">
      <c r="B279" s="194" t="s">
        <v>822</v>
      </c>
      <c r="C279" s="35"/>
      <c r="D279" s="291"/>
      <c r="E279" s="461"/>
      <c r="F279" s="212"/>
      <c r="G279" s="212"/>
      <c r="H279" s="213"/>
      <c r="I279" s="27"/>
      <c r="J279" s="207">
        <f t="shared" si="24"/>
        <v>0</v>
      </c>
      <c r="K279" s="207">
        <f t="shared" si="25"/>
        <v>0</v>
      </c>
      <c r="L279" s="208">
        <f>K279*係数!$H$30</f>
        <v>0</v>
      </c>
      <c r="M279" s="35"/>
      <c r="N279" s="27"/>
      <c r="O279" s="27"/>
      <c r="P279" s="213"/>
      <c r="Q279" s="27"/>
      <c r="R279" s="462">
        <f t="shared" si="21"/>
        <v>0</v>
      </c>
      <c r="S279" s="12">
        <f t="shared" si="22"/>
        <v>0</v>
      </c>
      <c r="T279" s="208">
        <f>S279*係数!$H$30</f>
        <v>0</v>
      </c>
      <c r="U279" s="12">
        <f t="shared" si="23"/>
        <v>0</v>
      </c>
      <c r="V279" s="211">
        <f t="shared" si="23"/>
        <v>0</v>
      </c>
    </row>
    <row r="280" spans="2:22" x14ac:dyDescent="0.4">
      <c r="B280" s="194" t="s">
        <v>823</v>
      </c>
      <c r="C280" s="35"/>
      <c r="D280" s="291"/>
      <c r="E280" s="461"/>
      <c r="F280" s="212"/>
      <c r="G280" s="212"/>
      <c r="H280" s="213"/>
      <c r="I280" s="27"/>
      <c r="J280" s="207">
        <f t="shared" si="24"/>
        <v>0</v>
      </c>
      <c r="K280" s="207">
        <f t="shared" si="25"/>
        <v>0</v>
      </c>
      <c r="L280" s="208">
        <f>K280*係数!$H$30</f>
        <v>0</v>
      </c>
      <c r="M280" s="35"/>
      <c r="N280" s="27"/>
      <c r="O280" s="27"/>
      <c r="P280" s="213"/>
      <c r="Q280" s="27"/>
      <c r="R280" s="462">
        <f t="shared" si="21"/>
        <v>0</v>
      </c>
      <c r="S280" s="12">
        <f t="shared" si="22"/>
        <v>0</v>
      </c>
      <c r="T280" s="208">
        <f>S280*係数!$H$30</f>
        <v>0</v>
      </c>
      <c r="U280" s="12">
        <f t="shared" si="23"/>
        <v>0</v>
      </c>
      <c r="V280" s="211">
        <f t="shared" si="23"/>
        <v>0</v>
      </c>
    </row>
    <row r="281" spans="2:22" x14ac:dyDescent="0.4">
      <c r="B281" s="194" t="s">
        <v>824</v>
      </c>
      <c r="C281" s="35"/>
      <c r="D281" s="291"/>
      <c r="E281" s="461"/>
      <c r="F281" s="212"/>
      <c r="G281" s="212"/>
      <c r="H281" s="213"/>
      <c r="I281" s="27"/>
      <c r="J281" s="207">
        <f t="shared" si="24"/>
        <v>0</v>
      </c>
      <c r="K281" s="207">
        <f t="shared" si="25"/>
        <v>0</v>
      </c>
      <c r="L281" s="208">
        <f>K281*係数!$H$30</f>
        <v>0</v>
      </c>
      <c r="M281" s="35"/>
      <c r="N281" s="27"/>
      <c r="O281" s="27"/>
      <c r="P281" s="213"/>
      <c r="Q281" s="27"/>
      <c r="R281" s="462">
        <f t="shared" si="21"/>
        <v>0</v>
      </c>
      <c r="S281" s="12">
        <f t="shared" si="22"/>
        <v>0</v>
      </c>
      <c r="T281" s="208">
        <f>S281*係数!$H$30</f>
        <v>0</v>
      </c>
      <c r="U281" s="12">
        <f t="shared" si="23"/>
        <v>0</v>
      </c>
      <c r="V281" s="211">
        <f t="shared" si="23"/>
        <v>0</v>
      </c>
    </row>
    <row r="282" spans="2:22" x14ac:dyDescent="0.4">
      <c r="B282" s="194" t="s">
        <v>825</v>
      </c>
      <c r="C282" s="35"/>
      <c r="D282" s="291"/>
      <c r="E282" s="461"/>
      <c r="F282" s="212"/>
      <c r="G282" s="212"/>
      <c r="H282" s="213"/>
      <c r="I282" s="27"/>
      <c r="J282" s="207">
        <f t="shared" si="24"/>
        <v>0</v>
      </c>
      <c r="K282" s="207">
        <f t="shared" si="25"/>
        <v>0</v>
      </c>
      <c r="L282" s="208">
        <f>K282*係数!$H$30</f>
        <v>0</v>
      </c>
      <c r="M282" s="35"/>
      <c r="N282" s="27"/>
      <c r="O282" s="27"/>
      <c r="P282" s="213"/>
      <c r="Q282" s="27"/>
      <c r="R282" s="462">
        <f t="shared" si="21"/>
        <v>0</v>
      </c>
      <c r="S282" s="12">
        <f t="shared" si="22"/>
        <v>0</v>
      </c>
      <c r="T282" s="208">
        <f>S282*係数!$H$30</f>
        <v>0</v>
      </c>
      <c r="U282" s="12">
        <f t="shared" si="23"/>
        <v>0</v>
      </c>
      <c r="V282" s="211">
        <f t="shared" si="23"/>
        <v>0</v>
      </c>
    </row>
    <row r="283" spans="2:22" x14ac:dyDescent="0.4">
      <c r="B283" s="194" t="s">
        <v>826</v>
      </c>
      <c r="C283" s="35"/>
      <c r="D283" s="291"/>
      <c r="E283" s="461"/>
      <c r="F283" s="212"/>
      <c r="G283" s="212"/>
      <c r="H283" s="213"/>
      <c r="I283" s="27"/>
      <c r="J283" s="207">
        <f t="shared" si="24"/>
        <v>0</v>
      </c>
      <c r="K283" s="207">
        <f t="shared" si="25"/>
        <v>0</v>
      </c>
      <c r="L283" s="208">
        <f>K283*係数!$H$30</f>
        <v>0</v>
      </c>
      <c r="M283" s="35"/>
      <c r="N283" s="27"/>
      <c r="O283" s="27"/>
      <c r="P283" s="213"/>
      <c r="Q283" s="27"/>
      <c r="R283" s="462">
        <f t="shared" si="21"/>
        <v>0</v>
      </c>
      <c r="S283" s="12">
        <f t="shared" si="22"/>
        <v>0</v>
      </c>
      <c r="T283" s="208">
        <f>S283*係数!$H$30</f>
        <v>0</v>
      </c>
      <c r="U283" s="12">
        <f t="shared" si="23"/>
        <v>0</v>
      </c>
      <c r="V283" s="211">
        <f t="shared" si="23"/>
        <v>0</v>
      </c>
    </row>
    <row r="284" spans="2:22" x14ac:dyDescent="0.4">
      <c r="B284" s="194" t="s">
        <v>827</v>
      </c>
      <c r="C284" s="35"/>
      <c r="D284" s="291"/>
      <c r="E284" s="461"/>
      <c r="F284" s="212"/>
      <c r="G284" s="212"/>
      <c r="H284" s="213"/>
      <c r="I284" s="27"/>
      <c r="J284" s="207">
        <f t="shared" si="24"/>
        <v>0</v>
      </c>
      <c r="K284" s="207">
        <f t="shared" si="25"/>
        <v>0</v>
      </c>
      <c r="L284" s="208">
        <f>K284*係数!$H$30</f>
        <v>0</v>
      </c>
      <c r="M284" s="35"/>
      <c r="N284" s="27"/>
      <c r="O284" s="27"/>
      <c r="P284" s="213"/>
      <c r="Q284" s="27"/>
      <c r="R284" s="462">
        <f t="shared" si="21"/>
        <v>0</v>
      </c>
      <c r="S284" s="12">
        <f t="shared" si="22"/>
        <v>0</v>
      </c>
      <c r="T284" s="208">
        <f>S284*係数!$H$30</f>
        <v>0</v>
      </c>
      <c r="U284" s="12">
        <f t="shared" si="23"/>
        <v>0</v>
      </c>
      <c r="V284" s="211">
        <f t="shared" si="23"/>
        <v>0</v>
      </c>
    </row>
    <row r="285" spans="2:22" x14ac:dyDescent="0.4">
      <c r="B285" s="194" t="s">
        <v>828</v>
      </c>
      <c r="C285" s="35"/>
      <c r="D285" s="291"/>
      <c r="E285" s="461"/>
      <c r="F285" s="212"/>
      <c r="G285" s="212"/>
      <c r="H285" s="213"/>
      <c r="I285" s="27"/>
      <c r="J285" s="207">
        <f t="shared" si="24"/>
        <v>0</v>
      </c>
      <c r="K285" s="207">
        <f t="shared" si="25"/>
        <v>0</v>
      </c>
      <c r="L285" s="208">
        <f>K285*係数!$H$30</f>
        <v>0</v>
      </c>
      <c r="M285" s="35"/>
      <c r="N285" s="27"/>
      <c r="O285" s="27"/>
      <c r="P285" s="213"/>
      <c r="Q285" s="27"/>
      <c r="R285" s="462">
        <f t="shared" si="21"/>
        <v>0</v>
      </c>
      <c r="S285" s="12">
        <f t="shared" si="22"/>
        <v>0</v>
      </c>
      <c r="T285" s="208">
        <f>S285*係数!$H$30</f>
        <v>0</v>
      </c>
      <c r="U285" s="12">
        <f t="shared" si="23"/>
        <v>0</v>
      </c>
      <c r="V285" s="211">
        <f t="shared" si="23"/>
        <v>0</v>
      </c>
    </row>
    <row r="286" spans="2:22" x14ac:dyDescent="0.4">
      <c r="B286" s="194" t="s">
        <v>829</v>
      </c>
      <c r="C286" s="35"/>
      <c r="D286" s="291"/>
      <c r="E286" s="461"/>
      <c r="F286" s="212"/>
      <c r="G286" s="212"/>
      <c r="H286" s="213"/>
      <c r="I286" s="27"/>
      <c r="J286" s="207">
        <f t="shared" si="24"/>
        <v>0</v>
      </c>
      <c r="K286" s="207">
        <f t="shared" si="25"/>
        <v>0</v>
      </c>
      <c r="L286" s="208">
        <f>K286*係数!$H$30</f>
        <v>0</v>
      </c>
      <c r="M286" s="35"/>
      <c r="N286" s="27"/>
      <c r="O286" s="27"/>
      <c r="P286" s="213"/>
      <c r="Q286" s="27"/>
      <c r="R286" s="462">
        <f t="shared" si="21"/>
        <v>0</v>
      </c>
      <c r="S286" s="12">
        <f t="shared" si="22"/>
        <v>0</v>
      </c>
      <c r="T286" s="208">
        <f>S286*係数!$H$30</f>
        <v>0</v>
      </c>
      <c r="U286" s="12">
        <f t="shared" si="23"/>
        <v>0</v>
      </c>
      <c r="V286" s="211">
        <f t="shared" si="23"/>
        <v>0</v>
      </c>
    </row>
    <row r="287" spans="2:22" x14ac:dyDescent="0.4">
      <c r="B287" s="194" t="s">
        <v>830</v>
      </c>
      <c r="C287" s="35"/>
      <c r="D287" s="291"/>
      <c r="E287" s="461"/>
      <c r="F287" s="212"/>
      <c r="G287" s="212"/>
      <c r="H287" s="213"/>
      <c r="I287" s="27"/>
      <c r="J287" s="207">
        <f t="shared" si="24"/>
        <v>0</v>
      </c>
      <c r="K287" s="207">
        <f t="shared" si="25"/>
        <v>0</v>
      </c>
      <c r="L287" s="208">
        <f>K287*係数!$H$30</f>
        <v>0</v>
      </c>
      <c r="M287" s="35"/>
      <c r="N287" s="27"/>
      <c r="O287" s="27"/>
      <c r="P287" s="213"/>
      <c r="Q287" s="27"/>
      <c r="R287" s="462">
        <f t="shared" si="21"/>
        <v>0</v>
      </c>
      <c r="S287" s="12">
        <f t="shared" si="22"/>
        <v>0</v>
      </c>
      <c r="T287" s="208">
        <f>S287*係数!$H$30</f>
        <v>0</v>
      </c>
      <c r="U287" s="12">
        <f t="shared" si="23"/>
        <v>0</v>
      </c>
      <c r="V287" s="211">
        <f t="shared" si="23"/>
        <v>0</v>
      </c>
    </row>
    <row r="288" spans="2:22" x14ac:dyDescent="0.4">
      <c r="B288" s="194" t="s">
        <v>831</v>
      </c>
      <c r="C288" s="35"/>
      <c r="D288" s="291"/>
      <c r="E288" s="461"/>
      <c r="F288" s="212"/>
      <c r="G288" s="212"/>
      <c r="H288" s="213"/>
      <c r="I288" s="27"/>
      <c r="J288" s="207">
        <f t="shared" si="24"/>
        <v>0</v>
      </c>
      <c r="K288" s="207">
        <f t="shared" si="25"/>
        <v>0</v>
      </c>
      <c r="L288" s="208">
        <f>K288*係数!$H$30</f>
        <v>0</v>
      </c>
      <c r="M288" s="35"/>
      <c r="N288" s="27"/>
      <c r="O288" s="27"/>
      <c r="P288" s="213"/>
      <c r="Q288" s="27"/>
      <c r="R288" s="462">
        <f t="shared" si="21"/>
        <v>0</v>
      </c>
      <c r="S288" s="12">
        <f t="shared" si="22"/>
        <v>0</v>
      </c>
      <c r="T288" s="208">
        <f>S288*係数!$H$30</f>
        <v>0</v>
      </c>
      <c r="U288" s="12">
        <f t="shared" si="23"/>
        <v>0</v>
      </c>
      <c r="V288" s="211">
        <f t="shared" si="23"/>
        <v>0</v>
      </c>
    </row>
    <row r="289" spans="2:22" x14ac:dyDescent="0.4">
      <c r="B289" s="194" t="s">
        <v>832</v>
      </c>
      <c r="C289" s="35"/>
      <c r="D289" s="291"/>
      <c r="E289" s="461"/>
      <c r="F289" s="212"/>
      <c r="G289" s="212"/>
      <c r="H289" s="213"/>
      <c r="I289" s="27"/>
      <c r="J289" s="207">
        <f t="shared" si="24"/>
        <v>0</v>
      </c>
      <c r="K289" s="207">
        <f t="shared" si="25"/>
        <v>0</v>
      </c>
      <c r="L289" s="208">
        <f>K289*係数!$H$30</f>
        <v>0</v>
      </c>
      <c r="M289" s="35"/>
      <c r="N289" s="27"/>
      <c r="O289" s="27"/>
      <c r="P289" s="213"/>
      <c r="Q289" s="27"/>
      <c r="R289" s="462">
        <f t="shared" si="21"/>
        <v>0</v>
      </c>
      <c r="S289" s="12">
        <f t="shared" si="22"/>
        <v>0</v>
      </c>
      <c r="T289" s="208">
        <f>S289*係数!$H$30</f>
        <v>0</v>
      </c>
      <c r="U289" s="12">
        <f t="shared" si="23"/>
        <v>0</v>
      </c>
      <c r="V289" s="211">
        <f t="shared" si="23"/>
        <v>0</v>
      </c>
    </row>
    <row r="290" spans="2:22" x14ac:dyDescent="0.4">
      <c r="B290" s="194" t="s">
        <v>833</v>
      </c>
      <c r="C290" s="35"/>
      <c r="D290" s="291"/>
      <c r="E290" s="461"/>
      <c r="F290" s="212"/>
      <c r="G290" s="212"/>
      <c r="H290" s="213"/>
      <c r="I290" s="27"/>
      <c r="J290" s="207">
        <f t="shared" si="24"/>
        <v>0</v>
      </c>
      <c r="K290" s="207">
        <f t="shared" si="25"/>
        <v>0</v>
      </c>
      <c r="L290" s="208">
        <f>K290*係数!$H$30</f>
        <v>0</v>
      </c>
      <c r="M290" s="35"/>
      <c r="N290" s="27"/>
      <c r="O290" s="27"/>
      <c r="P290" s="213"/>
      <c r="Q290" s="27"/>
      <c r="R290" s="462">
        <f t="shared" si="21"/>
        <v>0</v>
      </c>
      <c r="S290" s="12">
        <f t="shared" si="22"/>
        <v>0</v>
      </c>
      <c r="T290" s="208">
        <f>S290*係数!$H$30</f>
        <v>0</v>
      </c>
      <c r="U290" s="12">
        <f t="shared" si="23"/>
        <v>0</v>
      </c>
      <c r="V290" s="211">
        <f t="shared" si="23"/>
        <v>0</v>
      </c>
    </row>
    <row r="291" spans="2:22" x14ac:dyDescent="0.4">
      <c r="B291" s="194" t="s">
        <v>834</v>
      </c>
      <c r="C291" s="35"/>
      <c r="D291" s="291"/>
      <c r="E291" s="461"/>
      <c r="F291" s="212"/>
      <c r="G291" s="212"/>
      <c r="H291" s="213"/>
      <c r="I291" s="27"/>
      <c r="J291" s="207">
        <f t="shared" si="24"/>
        <v>0</v>
      </c>
      <c r="K291" s="207">
        <f t="shared" si="25"/>
        <v>0</v>
      </c>
      <c r="L291" s="208">
        <f>K291*係数!$H$30</f>
        <v>0</v>
      </c>
      <c r="M291" s="35"/>
      <c r="N291" s="27"/>
      <c r="O291" s="27"/>
      <c r="P291" s="213"/>
      <c r="Q291" s="27"/>
      <c r="R291" s="462">
        <f t="shared" si="21"/>
        <v>0</v>
      </c>
      <c r="S291" s="12">
        <f t="shared" si="22"/>
        <v>0</v>
      </c>
      <c r="T291" s="208">
        <f>S291*係数!$H$30</f>
        <v>0</v>
      </c>
      <c r="U291" s="12">
        <f t="shared" si="23"/>
        <v>0</v>
      </c>
      <c r="V291" s="211">
        <f t="shared" si="23"/>
        <v>0</v>
      </c>
    </row>
    <row r="292" spans="2:22" x14ac:dyDescent="0.4">
      <c r="B292" s="194" t="s">
        <v>835</v>
      </c>
      <c r="C292" s="35"/>
      <c r="D292" s="291"/>
      <c r="E292" s="461"/>
      <c r="F292" s="212"/>
      <c r="G292" s="212"/>
      <c r="H292" s="213"/>
      <c r="I292" s="27"/>
      <c r="J292" s="207">
        <f t="shared" si="24"/>
        <v>0</v>
      </c>
      <c r="K292" s="207">
        <f t="shared" si="25"/>
        <v>0</v>
      </c>
      <c r="L292" s="208">
        <f>K292*係数!$H$30</f>
        <v>0</v>
      </c>
      <c r="M292" s="35"/>
      <c r="N292" s="27"/>
      <c r="O292" s="27"/>
      <c r="P292" s="213"/>
      <c r="Q292" s="27"/>
      <c r="R292" s="462">
        <f t="shared" si="21"/>
        <v>0</v>
      </c>
      <c r="S292" s="12">
        <f t="shared" si="22"/>
        <v>0</v>
      </c>
      <c r="T292" s="208">
        <f>S292*係数!$H$30</f>
        <v>0</v>
      </c>
      <c r="U292" s="12">
        <f t="shared" si="23"/>
        <v>0</v>
      </c>
      <c r="V292" s="211">
        <f t="shared" si="23"/>
        <v>0</v>
      </c>
    </row>
    <row r="293" spans="2:22" x14ac:dyDescent="0.4">
      <c r="B293" s="194" t="s">
        <v>836</v>
      </c>
      <c r="C293" s="35"/>
      <c r="D293" s="291"/>
      <c r="E293" s="461"/>
      <c r="F293" s="212"/>
      <c r="G293" s="212"/>
      <c r="H293" s="213"/>
      <c r="I293" s="27"/>
      <c r="J293" s="207">
        <f t="shared" si="24"/>
        <v>0</v>
      </c>
      <c r="K293" s="207">
        <f t="shared" si="25"/>
        <v>0</v>
      </c>
      <c r="L293" s="208">
        <f>K293*係数!$H$30</f>
        <v>0</v>
      </c>
      <c r="M293" s="35"/>
      <c r="N293" s="27"/>
      <c r="O293" s="27"/>
      <c r="P293" s="213"/>
      <c r="Q293" s="27"/>
      <c r="R293" s="462">
        <f t="shared" si="21"/>
        <v>0</v>
      </c>
      <c r="S293" s="12">
        <f t="shared" si="22"/>
        <v>0</v>
      </c>
      <c r="T293" s="208">
        <f>S293*係数!$H$30</f>
        <v>0</v>
      </c>
      <c r="U293" s="12">
        <f t="shared" si="23"/>
        <v>0</v>
      </c>
      <c r="V293" s="211">
        <f t="shared" si="23"/>
        <v>0</v>
      </c>
    </row>
    <row r="294" spans="2:22" x14ac:dyDescent="0.4">
      <c r="B294" s="194" t="s">
        <v>837</v>
      </c>
      <c r="C294" s="35"/>
      <c r="D294" s="291"/>
      <c r="E294" s="461"/>
      <c r="F294" s="212"/>
      <c r="G294" s="212"/>
      <c r="H294" s="213"/>
      <c r="I294" s="27"/>
      <c r="J294" s="207">
        <f t="shared" si="24"/>
        <v>0</v>
      </c>
      <c r="K294" s="207">
        <f t="shared" si="25"/>
        <v>0</v>
      </c>
      <c r="L294" s="208">
        <f>K294*係数!$H$30</f>
        <v>0</v>
      </c>
      <c r="M294" s="35"/>
      <c r="N294" s="27"/>
      <c r="O294" s="27"/>
      <c r="P294" s="213"/>
      <c r="Q294" s="27"/>
      <c r="R294" s="462">
        <f t="shared" si="21"/>
        <v>0</v>
      </c>
      <c r="S294" s="12">
        <f t="shared" si="22"/>
        <v>0</v>
      </c>
      <c r="T294" s="208">
        <f>S294*係数!$H$30</f>
        <v>0</v>
      </c>
      <c r="U294" s="12">
        <f t="shared" si="23"/>
        <v>0</v>
      </c>
      <c r="V294" s="211">
        <f t="shared" si="23"/>
        <v>0</v>
      </c>
    </row>
    <row r="295" spans="2:22" x14ac:dyDescent="0.4">
      <c r="B295" s="194" t="s">
        <v>838</v>
      </c>
      <c r="C295" s="35"/>
      <c r="D295" s="291"/>
      <c r="E295" s="461"/>
      <c r="F295" s="212"/>
      <c r="G295" s="212"/>
      <c r="H295" s="213"/>
      <c r="I295" s="27"/>
      <c r="J295" s="207">
        <f t="shared" si="24"/>
        <v>0</v>
      </c>
      <c r="K295" s="207">
        <f t="shared" si="25"/>
        <v>0</v>
      </c>
      <c r="L295" s="208">
        <f>K295*係数!$H$30</f>
        <v>0</v>
      </c>
      <c r="M295" s="35"/>
      <c r="N295" s="27"/>
      <c r="O295" s="27"/>
      <c r="P295" s="213"/>
      <c r="Q295" s="27"/>
      <c r="R295" s="462">
        <f t="shared" si="21"/>
        <v>0</v>
      </c>
      <c r="S295" s="12">
        <f t="shared" si="22"/>
        <v>0</v>
      </c>
      <c r="T295" s="208">
        <f>S295*係数!$H$30</f>
        <v>0</v>
      </c>
      <c r="U295" s="12">
        <f t="shared" si="23"/>
        <v>0</v>
      </c>
      <c r="V295" s="211">
        <f t="shared" si="23"/>
        <v>0</v>
      </c>
    </row>
    <row r="296" spans="2:22" x14ac:dyDescent="0.4">
      <c r="B296" s="194" t="s">
        <v>839</v>
      </c>
      <c r="C296" s="35"/>
      <c r="D296" s="291"/>
      <c r="E296" s="461"/>
      <c r="F296" s="212"/>
      <c r="G296" s="212"/>
      <c r="H296" s="213"/>
      <c r="I296" s="27"/>
      <c r="J296" s="207">
        <f t="shared" si="24"/>
        <v>0</v>
      </c>
      <c r="K296" s="207">
        <f t="shared" si="25"/>
        <v>0</v>
      </c>
      <c r="L296" s="208">
        <f>K296*係数!$H$30</f>
        <v>0</v>
      </c>
      <c r="M296" s="35"/>
      <c r="N296" s="27"/>
      <c r="O296" s="27"/>
      <c r="P296" s="213"/>
      <c r="Q296" s="27"/>
      <c r="R296" s="462">
        <f t="shared" si="21"/>
        <v>0</v>
      </c>
      <c r="S296" s="12">
        <f t="shared" si="22"/>
        <v>0</v>
      </c>
      <c r="T296" s="208">
        <f>S296*係数!$H$30</f>
        <v>0</v>
      </c>
      <c r="U296" s="12">
        <f t="shared" si="23"/>
        <v>0</v>
      </c>
      <c r="V296" s="211">
        <f t="shared" si="23"/>
        <v>0</v>
      </c>
    </row>
    <row r="297" spans="2:22" x14ac:dyDescent="0.4">
      <c r="B297" s="194" t="s">
        <v>840</v>
      </c>
      <c r="C297" s="35"/>
      <c r="D297" s="291"/>
      <c r="E297" s="461"/>
      <c r="F297" s="212"/>
      <c r="G297" s="212"/>
      <c r="H297" s="213"/>
      <c r="I297" s="27"/>
      <c r="J297" s="207">
        <f t="shared" si="24"/>
        <v>0</v>
      </c>
      <c r="K297" s="207">
        <f t="shared" si="25"/>
        <v>0</v>
      </c>
      <c r="L297" s="208">
        <f>K297*係数!$H$30</f>
        <v>0</v>
      </c>
      <c r="M297" s="35"/>
      <c r="N297" s="27"/>
      <c r="O297" s="27"/>
      <c r="P297" s="213"/>
      <c r="Q297" s="27"/>
      <c r="R297" s="462">
        <f t="shared" si="21"/>
        <v>0</v>
      </c>
      <c r="S297" s="12">
        <f t="shared" si="22"/>
        <v>0</v>
      </c>
      <c r="T297" s="208">
        <f>S297*係数!$H$30</f>
        <v>0</v>
      </c>
      <c r="U297" s="12">
        <f t="shared" si="23"/>
        <v>0</v>
      </c>
      <c r="V297" s="211">
        <f t="shared" si="23"/>
        <v>0</v>
      </c>
    </row>
    <row r="298" spans="2:22" x14ac:dyDescent="0.4">
      <c r="B298" s="194" t="s">
        <v>841</v>
      </c>
      <c r="C298" s="35"/>
      <c r="D298" s="291"/>
      <c r="E298" s="461"/>
      <c r="F298" s="212"/>
      <c r="G298" s="212"/>
      <c r="H298" s="213"/>
      <c r="I298" s="27"/>
      <c r="J298" s="207">
        <f t="shared" si="24"/>
        <v>0</v>
      </c>
      <c r="K298" s="207">
        <f t="shared" si="25"/>
        <v>0</v>
      </c>
      <c r="L298" s="208">
        <f>K298*係数!$H$30</f>
        <v>0</v>
      </c>
      <c r="M298" s="35"/>
      <c r="N298" s="27"/>
      <c r="O298" s="27"/>
      <c r="P298" s="213"/>
      <c r="Q298" s="27"/>
      <c r="R298" s="462">
        <f t="shared" si="21"/>
        <v>0</v>
      </c>
      <c r="S298" s="12">
        <f t="shared" si="22"/>
        <v>0</v>
      </c>
      <c r="T298" s="208">
        <f>S298*係数!$H$30</f>
        <v>0</v>
      </c>
      <c r="U298" s="12">
        <f t="shared" si="23"/>
        <v>0</v>
      </c>
      <c r="V298" s="211">
        <f t="shared" si="23"/>
        <v>0</v>
      </c>
    </row>
    <row r="299" spans="2:22" x14ac:dyDescent="0.4">
      <c r="B299" s="194" t="s">
        <v>842</v>
      </c>
      <c r="C299" s="35"/>
      <c r="D299" s="291"/>
      <c r="E299" s="461"/>
      <c r="F299" s="212"/>
      <c r="G299" s="212"/>
      <c r="H299" s="213"/>
      <c r="I299" s="27"/>
      <c r="J299" s="207">
        <f t="shared" si="24"/>
        <v>0</v>
      </c>
      <c r="K299" s="207">
        <f t="shared" si="25"/>
        <v>0</v>
      </c>
      <c r="L299" s="208">
        <f>K299*係数!$H$30</f>
        <v>0</v>
      </c>
      <c r="M299" s="35"/>
      <c r="N299" s="27"/>
      <c r="O299" s="27"/>
      <c r="P299" s="213"/>
      <c r="Q299" s="27"/>
      <c r="R299" s="462">
        <f t="shared" si="21"/>
        <v>0</v>
      </c>
      <c r="S299" s="12">
        <f t="shared" si="22"/>
        <v>0</v>
      </c>
      <c r="T299" s="208">
        <f>S299*係数!$H$30</f>
        <v>0</v>
      </c>
      <c r="U299" s="12">
        <f t="shared" si="23"/>
        <v>0</v>
      </c>
      <c r="V299" s="211">
        <f t="shared" si="23"/>
        <v>0</v>
      </c>
    </row>
    <row r="300" spans="2:22" x14ac:dyDescent="0.4">
      <c r="B300" s="194" t="s">
        <v>843</v>
      </c>
      <c r="C300" s="35"/>
      <c r="D300" s="291"/>
      <c r="E300" s="461"/>
      <c r="F300" s="212"/>
      <c r="G300" s="212"/>
      <c r="H300" s="213"/>
      <c r="I300" s="27"/>
      <c r="J300" s="207">
        <f t="shared" si="24"/>
        <v>0</v>
      </c>
      <c r="K300" s="207">
        <f t="shared" si="25"/>
        <v>0</v>
      </c>
      <c r="L300" s="208">
        <f>K300*係数!$H$30</f>
        <v>0</v>
      </c>
      <c r="M300" s="35"/>
      <c r="N300" s="27"/>
      <c r="O300" s="27"/>
      <c r="P300" s="213"/>
      <c r="Q300" s="27"/>
      <c r="R300" s="462">
        <f t="shared" si="21"/>
        <v>0</v>
      </c>
      <c r="S300" s="12">
        <f t="shared" si="22"/>
        <v>0</v>
      </c>
      <c r="T300" s="208">
        <f>S300*係数!$H$30</f>
        <v>0</v>
      </c>
      <c r="U300" s="12">
        <f t="shared" si="23"/>
        <v>0</v>
      </c>
      <c r="V300" s="211">
        <f t="shared" si="23"/>
        <v>0</v>
      </c>
    </row>
    <row r="301" spans="2:22" x14ac:dyDescent="0.4">
      <c r="B301" s="194" t="s">
        <v>844</v>
      </c>
      <c r="C301" s="35"/>
      <c r="D301" s="291"/>
      <c r="E301" s="461"/>
      <c r="F301" s="212"/>
      <c r="G301" s="212"/>
      <c r="H301" s="213"/>
      <c r="I301" s="27"/>
      <c r="J301" s="207">
        <f t="shared" si="24"/>
        <v>0</v>
      </c>
      <c r="K301" s="207">
        <f t="shared" si="25"/>
        <v>0</v>
      </c>
      <c r="L301" s="208">
        <f>K301*係数!$H$30</f>
        <v>0</v>
      </c>
      <c r="M301" s="35"/>
      <c r="N301" s="27"/>
      <c r="O301" s="27"/>
      <c r="P301" s="213"/>
      <c r="Q301" s="27"/>
      <c r="R301" s="462">
        <f t="shared" si="21"/>
        <v>0</v>
      </c>
      <c r="S301" s="12">
        <f t="shared" si="22"/>
        <v>0</v>
      </c>
      <c r="T301" s="208">
        <f>S301*係数!$H$30</f>
        <v>0</v>
      </c>
      <c r="U301" s="12">
        <f t="shared" si="23"/>
        <v>0</v>
      </c>
      <c r="V301" s="211">
        <f t="shared" si="23"/>
        <v>0</v>
      </c>
    </row>
    <row r="302" spans="2:22" x14ac:dyDescent="0.4">
      <c r="B302" s="194" t="s">
        <v>845</v>
      </c>
      <c r="C302" s="35"/>
      <c r="D302" s="291"/>
      <c r="E302" s="461"/>
      <c r="F302" s="212"/>
      <c r="G302" s="212"/>
      <c r="H302" s="213"/>
      <c r="I302" s="27"/>
      <c r="J302" s="207">
        <f t="shared" si="24"/>
        <v>0</v>
      </c>
      <c r="K302" s="207">
        <f t="shared" si="25"/>
        <v>0</v>
      </c>
      <c r="L302" s="208">
        <f>K302*係数!$H$30</f>
        <v>0</v>
      </c>
      <c r="M302" s="35"/>
      <c r="N302" s="27"/>
      <c r="O302" s="27"/>
      <c r="P302" s="213"/>
      <c r="Q302" s="27"/>
      <c r="R302" s="462">
        <f t="shared" si="21"/>
        <v>0</v>
      </c>
      <c r="S302" s="12">
        <f t="shared" si="22"/>
        <v>0</v>
      </c>
      <c r="T302" s="208">
        <f>S302*係数!$H$30</f>
        <v>0</v>
      </c>
      <c r="U302" s="12">
        <f t="shared" si="23"/>
        <v>0</v>
      </c>
      <c r="V302" s="211">
        <f t="shared" si="23"/>
        <v>0</v>
      </c>
    </row>
    <row r="303" spans="2:22" x14ac:dyDescent="0.4">
      <c r="B303" s="194" t="s">
        <v>846</v>
      </c>
      <c r="C303" s="35"/>
      <c r="D303" s="291"/>
      <c r="E303" s="461"/>
      <c r="F303" s="212"/>
      <c r="G303" s="212"/>
      <c r="H303" s="213"/>
      <c r="I303" s="27"/>
      <c r="J303" s="207">
        <f t="shared" si="24"/>
        <v>0</v>
      </c>
      <c r="K303" s="207">
        <f t="shared" si="25"/>
        <v>0</v>
      </c>
      <c r="L303" s="208">
        <f>K303*係数!$H$30</f>
        <v>0</v>
      </c>
      <c r="M303" s="35"/>
      <c r="N303" s="27"/>
      <c r="O303" s="27"/>
      <c r="P303" s="213"/>
      <c r="Q303" s="27"/>
      <c r="R303" s="462">
        <f t="shared" si="21"/>
        <v>0</v>
      </c>
      <c r="S303" s="12">
        <f t="shared" si="22"/>
        <v>0</v>
      </c>
      <c r="T303" s="208">
        <f>S303*係数!$H$30</f>
        <v>0</v>
      </c>
      <c r="U303" s="12">
        <f t="shared" si="23"/>
        <v>0</v>
      </c>
      <c r="V303" s="211">
        <f t="shared" si="23"/>
        <v>0</v>
      </c>
    </row>
    <row r="304" spans="2:22" x14ac:dyDescent="0.4">
      <c r="B304" s="194" t="s">
        <v>847</v>
      </c>
      <c r="C304" s="35"/>
      <c r="D304" s="291"/>
      <c r="E304" s="461"/>
      <c r="F304" s="212"/>
      <c r="G304" s="212"/>
      <c r="H304" s="213"/>
      <c r="I304" s="27"/>
      <c r="J304" s="207">
        <f t="shared" si="24"/>
        <v>0</v>
      </c>
      <c r="K304" s="207">
        <f t="shared" si="25"/>
        <v>0</v>
      </c>
      <c r="L304" s="208">
        <f>K304*係数!$H$30</f>
        <v>0</v>
      </c>
      <c r="M304" s="35"/>
      <c r="N304" s="27"/>
      <c r="O304" s="27"/>
      <c r="P304" s="213"/>
      <c r="Q304" s="27"/>
      <c r="R304" s="462">
        <f t="shared" si="21"/>
        <v>0</v>
      </c>
      <c r="S304" s="12">
        <f t="shared" si="22"/>
        <v>0</v>
      </c>
      <c r="T304" s="208">
        <f>S304*係数!$H$30</f>
        <v>0</v>
      </c>
      <c r="U304" s="12">
        <f t="shared" si="23"/>
        <v>0</v>
      </c>
      <c r="V304" s="211">
        <f t="shared" si="23"/>
        <v>0</v>
      </c>
    </row>
    <row r="305" spans="2:22" x14ac:dyDescent="0.4">
      <c r="B305" s="194" t="s">
        <v>848</v>
      </c>
      <c r="C305" s="35"/>
      <c r="D305" s="291"/>
      <c r="E305" s="461"/>
      <c r="F305" s="212"/>
      <c r="G305" s="212"/>
      <c r="H305" s="213"/>
      <c r="I305" s="27"/>
      <c r="J305" s="207">
        <f t="shared" si="24"/>
        <v>0</v>
      </c>
      <c r="K305" s="207">
        <f t="shared" si="25"/>
        <v>0</v>
      </c>
      <c r="L305" s="208">
        <f>K305*係数!$H$30</f>
        <v>0</v>
      </c>
      <c r="M305" s="35"/>
      <c r="N305" s="27"/>
      <c r="O305" s="27"/>
      <c r="P305" s="213"/>
      <c r="Q305" s="27"/>
      <c r="R305" s="462">
        <f t="shared" si="21"/>
        <v>0</v>
      </c>
      <c r="S305" s="12">
        <f t="shared" si="22"/>
        <v>0</v>
      </c>
      <c r="T305" s="208">
        <f>S305*係数!$H$30</f>
        <v>0</v>
      </c>
      <c r="U305" s="12">
        <f t="shared" si="23"/>
        <v>0</v>
      </c>
      <c r="V305" s="211">
        <f t="shared" si="23"/>
        <v>0</v>
      </c>
    </row>
    <row r="306" spans="2:22" x14ac:dyDescent="0.4">
      <c r="B306" s="194" t="s">
        <v>849</v>
      </c>
      <c r="C306" s="35"/>
      <c r="D306" s="291"/>
      <c r="E306" s="461"/>
      <c r="F306" s="212"/>
      <c r="G306" s="212"/>
      <c r="H306" s="213"/>
      <c r="I306" s="27"/>
      <c r="J306" s="207">
        <f t="shared" si="24"/>
        <v>0</v>
      </c>
      <c r="K306" s="207">
        <f t="shared" si="25"/>
        <v>0</v>
      </c>
      <c r="L306" s="208">
        <f>K306*係数!$H$30</f>
        <v>0</v>
      </c>
      <c r="M306" s="35"/>
      <c r="N306" s="27"/>
      <c r="O306" s="27"/>
      <c r="P306" s="213"/>
      <c r="Q306" s="27"/>
      <c r="R306" s="462">
        <f t="shared" si="21"/>
        <v>0</v>
      </c>
      <c r="S306" s="12">
        <f t="shared" si="22"/>
        <v>0</v>
      </c>
      <c r="T306" s="208">
        <f>S306*係数!$H$30</f>
        <v>0</v>
      </c>
      <c r="U306" s="12">
        <f t="shared" si="23"/>
        <v>0</v>
      </c>
      <c r="V306" s="211">
        <f t="shared" si="23"/>
        <v>0</v>
      </c>
    </row>
    <row r="307" spans="2:22" x14ac:dyDescent="0.4">
      <c r="B307" s="194" t="s">
        <v>850</v>
      </c>
      <c r="C307" s="35"/>
      <c r="D307" s="291"/>
      <c r="E307" s="461"/>
      <c r="F307" s="212"/>
      <c r="G307" s="212"/>
      <c r="H307" s="213"/>
      <c r="I307" s="27"/>
      <c r="J307" s="207">
        <f t="shared" si="24"/>
        <v>0</v>
      </c>
      <c r="K307" s="207">
        <f t="shared" si="25"/>
        <v>0</v>
      </c>
      <c r="L307" s="208">
        <f>K307*係数!$H$30</f>
        <v>0</v>
      </c>
      <c r="M307" s="35"/>
      <c r="N307" s="27"/>
      <c r="O307" s="27"/>
      <c r="P307" s="213"/>
      <c r="Q307" s="27"/>
      <c r="R307" s="462">
        <f t="shared" si="21"/>
        <v>0</v>
      </c>
      <c r="S307" s="12">
        <f t="shared" si="22"/>
        <v>0</v>
      </c>
      <c r="T307" s="208">
        <f>S307*係数!$H$30</f>
        <v>0</v>
      </c>
      <c r="U307" s="12">
        <f t="shared" si="23"/>
        <v>0</v>
      </c>
      <c r="V307" s="211">
        <f t="shared" si="23"/>
        <v>0</v>
      </c>
    </row>
    <row r="308" spans="2:22" x14ac:dyDescent="0.4">
      <c r="B308" s="194" t="s">
        <v>851</v>
      </c>
      <c r="C308" s="35"/>
      <c r="D308" s="291"/>
      <c r="E308" s="461"/>
      <c r="F308" s="212"/>
      <c r="G308" s="212"/>
      <c r="H308" s="213"/>
      <c r="I308" s="27"/>
      <c r="J308" s="207">
        <f t="shared" si="24"/>
        <v>0</v>
      </c>
      <c r="K308" s="207">
        <f t="shared" si="25"/>
        <v>0</v>
      </c>
      <c r="L308" s="208">
        <f>K308*係数!$H$30</f>
        <v>0</v>
      </c>
      <c r="M308" s="35"/>
      <c r="N308" s="27"/>
      <c r="O308" s="27"/>
      <c r="P308" s="213"/>
      <c r="Q308" s="27"/>
      <c r="R308" s="462">
        <f t="shared" si="21"/>
        <v>0</v>
      </c>
      <c r="S308" s="12">
        <f t="shared" si="22"/>
        <v>0</v>
      </c>
      <c r="T308" s="208">
        <f>S308*係数!$H$30</f>
        <v>0</v>
      </c>
      <c r="U308" s="12">
        <f t="shared" si="23"/>
        <v>0</v>
      </c>
      <c r="V308" s="211">
        <f t="shared" si="23"/>
        <v>0</v>
      </c>
    </row>
    <row r="309" spans="2:22" x14ac:dyDescent="0.4">
      <c r="B309" s="194" t="s">
        <v>852</v>
      </c>
      <c r="C309" s="35"/>
      <c r="D309" s="291"/>
      <c r="E309" s="461"/>
      <c r="F309" s="212"/>
      <c r="G309" s="212"/>
      <c r="H309" s="213"/>
      <c r="I309" s="27"/>
      <c r="J309" s="207">
        <f t="shared" si="24"/>
        <v>0</v>
      </c>
      <c r="K309" s="207">
        <f t="shared" si="25"/>
        <v>0</v>
      </c>
      <c r="L309" s="208">
        <f>K309*係数!$H$30</f>
        <v>0</v>
      </c>
      <c r="M309" s="35"/>
      <c r="N309" s="27"/>
      <c r="O309" s="27"/>
      <c r="P309" s="213"/>
      <c r="Q309" s="27"/>
      <c r="R309" s="462">
        <f t="shared" si="21"/>
        <v>0</v>
      </c>
      <c r="S309" s="12">
        <f t="shared" si="22"/>
        <v>0</v>
      </c>
      <c r="T309" s="208">
        <f>S309*係数!$H$30</f>
        <v>0</v>
      </c>
      <c r="U309" s="12">
        <f t="shared" si="23"/>
        <v>0</v>
      </c>
      <c r="V309" s="211">
        <f t="shared" si="23"/>
        <v>0</v>
      </c>
    </row>
    <row r="310" spans="2:22" x14ac:dyDescent="0.4">
      <c r="B310" s="194" t="s">
        <v>853</v>
      </c>
      <c r="C310" s="35"/>
      <c r="D310" s="291"/>
      <c r="E310" s="461"/>
      <c r="F310" s="212"/>
      <c r="G310" s="212"/>
      <c r="H310" s="213"/>
      <c r="I310" s="27"/>
      <c r="J310" s="207">
        <f t="shared" si="24"/>
        <v>0</v>
      </c>
      <c r="K310" s="207">
        <f t="shared" si="25"/>
        <v>0</v>
      </c>
      <c r="L310" s="208">
        <f>K310*係数!$H$30</f>
        <v>0</v>
      </c>
      <c r="M310" s="35"/>
      <c r="N310" s="27"/>
      <c r="O310" s="27"/>
      <c r="P310" s="213"/>
      <c r="Q310" s="27"/>
      <c r="R310" s="462">
        <f t="shared" si="21"/>
        <v>0</v>
      </c>
      <c r="S310" s="12">
        <f t="shared" si="22"/>
        <v>0</v>
      </c>
      <c r="T310" s="208">
        <f>S310*係数!$H$30</f>
        <v>0</v>
      </c>
      <c r="U310" s="12">
        <f t="shared" si="23"/>
        <v>0</v>
      </c>
      <c r="V310" s="211">
        <f t="shared" si="23"/>
        <v>0</v>
      </c>
    </row>
    <row r="311" spans="2:22" x14ac:dyDescent="0.4">
      <c r="B311" s="194" t="s">
        <v>854</v>
      </c>
      <c r="C311" s="35"/>
      <c r="D311" s="291"/>
      <c r="E311" s="461"/>
      <c r="F311" s="212"/>
      <c r="G311" s="212"/>
      <c r="H311" s="213"/>
      <c r="I311" s="27"/>
      <c r="J311" s="207">
        <f t="shared" si="24"/>
        <v>0</v>
      </c>
      <c r="K311" s="207">
        <f t="shared" si="25"/>
        <v>0</v>
      </c>
      <c r="L311" s="208">
        <f>K311*係数!$H$30</f>
        <v>0</v>
      </c>
      <c r="M311" s="35"/>
      <c r="N311" s="27"/>
      <c r="O311" s="27"/>
      <c r="P311" s="213"/>
      <c r="Q311" s="27"/>
      <c r="R311" s="462">
        <f t="shared" si="21"/>
        <v>0</v>
      </c>
      <c r="S311" s="12">
        <f t="shared" si="22"/>
        <v>0</v>
      </c>
      <c r="T311" s="208">
        <f>S311*係数!$H$30</f>
        <v>0</v>
      </c>
      <c r="U311" s="12">
        <f t="shared" si="23"/>
        <v>0</v>
      </c>
      <c r="V311" s="211">
        <f t="shared" si="23"/>
        <v>0</v>
      </c>
    </row>
    <row r="312" spans="2:22" x14ac:dyDescent="0.4">
      <c r="B312" s="194" t="s">
        <v>855</v>
      </c>
      <c r="C312" s="35"/>
      <c r="D312" s="291"/>
      <c r="E312" s="461"/>
      <c r="F312" s="212"/>
      <c r="G312" s="212"/>
      <c r="H312" s="213"/>
      <c r="I312" s="27"/>
      <c r="J312" s="207">
        <f t="shared" si="24"/>
        <v>0</v>
      </c>
      <c r="K312" s="207">
        <f t="shared" si="25"/>
        <v>0</v>
      </c>
      <c r="L312" s="208">
        <f>K312*係数!$H$30</f>
        <v>0</v>
      </c>
      <c r="M312" s="35"/>
      <c r="N312" s="27"/>
      <c r="O312" s="27"/>
      <c r="P312" s="213"/>
      <c r="Q312" s="27"/>
      <c r="R312" s="462">
        <f t="shared" si="21"/>
        <v>0</v>
      </c>
      <c r="S312" s="12">
        <f t="shared" si="22"/>
        <v>0</v>
      </c>
      <c r="T312" s="208">
        <f>S312*係数!$H$30</f>
        <v>0</v>
      </c>
      <c r="U312" s="12">
        <f t="shared" si="23"/>
        <v>0</v>
      </c>
      <c r="V312" s="211">
        <f t="shared" si="23"/>
        <v>0</v>
      </c>
    </row>
    <row r="313" spans="2:22" x14ac:dyDescent="0.4">
      <c r="B313" s="194" t="s">
        <v>856</v>
      </c>
      <c r="C313" s="35"/>
      <c r="D313" s="291"/>
      <c r="E313" s="461"/>
      <c r="F313" s="212"/>
      <c r="G313" s="212"/>
      <c r="H313" s="213"/>
      <c r="I313" s="27"/>
      <c r="J313" s="207">
        <f t="shared" si="24"/>
        <v>0</v>
      </c>
      <c r="K313" s="207">
        <f t="shared" si="25"/>
        <v>0</v>
      </c>
      <c r="L313" s="208">
        <f>K313*係数!$H$30</f>
        <v>0</v>
      </c>
      <c r="M313" s="35"/>
      <c r="N313" s="27"/>
      <c r="O313" s="27"/>
      <c r="P313" s="213"/>
      <c r="Q313" s="27"/>
      <c r="R313" s="462">
        <f t="shared" si="21"/>
        <v>0</v>
      </c>
      <c r="S313" s="12">
        <f t="shared" si="22"/>
        <v>0</v>
      </c>
      <c r="T313" s="208">
        <f>S313*係数!$H$30</f>
        <v>0</v>
      </c>
      <c r="U313" s="12">
        <f t="shared" si="23"/>
        <v>0</v>
      </c>
      <c r="V313" s="211">
        <f t="shared" si="23"/>
        <v>0</v>
      </c>
    </row>
    <row r="314" spans="2:22" x14ac:dyDescent="0.4">
      <c r="B314" s="194" t="s">
        <v>857</v>
      </c>
      <c r="C314" s="35"/>
      <c r="D314" s="291"/>
      <c r="E314" s="461"/>
      <c r="F314" s="212"/>
      <c r="G314" s="212"/>
      <c r="H314" s="213"/>
      <c r="I314" s="27"/>
      <c r="J314" s="207">
        <f t="shared" si="24"/>
        <v>0</v>
      </c>
      <c r="K314" s="207">
        <f t="shared" si="25"/>
        <v>0</v>
      </c>
      <c r="L314" s="208">
        <f>K314*係数!$H$30</f>
        <v>0</v>
      </c>
      <c r="M314" s="35"/>
      <c r="N314" s="27"/>
      <c r="O314" s="27"/>
      <c r="P314" s="213"/>
      <c r="Q314" s="27"/>
      <c r="R314" s="462">
        <f t="shared" si="21"/>
        <v>0</v>
      </c>
      <c r="S314" s="12">
        <f t="shared" si="22"/>
        <v>0</v>
      </c>
      <c r="T314" s="208">
        <f>S314*係数!$H$30</f>
        <v>0</v>
      </c>
      <c r="U314" s="12">
        <f t="shared" si="23"/>
        <v>0</v>
      </c>
      <c r="V314" s="211">
        <f t="shared" si="23"/>
        <v>0</v>
      </c>
    </row>
    <row r="315" spans="2:22" x14ac:dyDescent="0.4">
      <c r="B315" s="194" t="s">
        <v>858</v>
      </c>
      <c r="C315" s="35"/>
      <c r="D315" s="291"/>
      <c r="E315" s="461"/>
      <c r="F315" s="212"/>
      <c r="G315" s="212"/>
      <c r="H315" s="213"/>
      <c r="I315" s="27"/>
      <c r="J315" s="207">
        <f t="shared" si="24"/>
        <v>0</v>
      </c>
      <c r="K315" s="207">
        <f t="shared" si="25"/>
        <v>0</v>
      </c>
      <c r="L315" s="208">
        <f>K315*係数!$H$30</f>
        <v>0</v>
      </c>
      <c r="M315" s="35"/>
      <c r="N315" s="27"/>
      <c r="O315" s="27"/>
      <c r="P315" s="213"/>
      <c r="Q315" s="27"/>
      <c r="R315" s="462">
        <f t="shared" si="21"/>
        <v>0</v>
      </c>
      <c r="S315" s="12">
        <f t="shared" si="22"/>
        <v>0</v>
      </c>
      <c r="T315" s="208">
        <f>S315*係数!$H$30</f>
        <v>0</v>
      </c>
      <c r="U315" s="12">
        <f t="shared" si="23"/>
        <v>0</v>
      </c>
      <c r="V315" s="211">
        <f t="shared" si="23"/>
        <v>0</v>
      </c>
    </row>
    <row r="316" spans="2:22" x14ac:dyDescent="0.4">
      <c r="B316" s="194" t="s">
        <v>859</v>
      </c>
      <c r="C316" s="35"/>
      <c r="D316" s="291"/>
      <c r="E316" s="461"/>
      <c r="F316" s="212"/>
      <c r="G316" s="212"/>
      <c r="H316" s="213"/>
      <c r="I316" s="27"/>
      <c r="J316" s="207">
        <f t="shared" si="24"/>
        <v>0</v>
      </c>
      <c r="K316" s="207">
        <f t="shared" si="25"/>
        <v>0</v>
      </c>
      <c r="L316" s="208">
        <f>K316*係数!$H$30</f>
        <v>0</v>
      </c>
      <c r="M316" s="35"/>
      <c r="N316" s="27"/>
      <c r="O316" s="27"/>
      <c r="P316" s="213"/>
      <c r="Q316" s="27"/>
      <c r="R316" s="462">
        <f t="shared" si="21"/>
        <v>0</v>
      </c>
      <c r="S316" s="12">
        <f t="shared" si="22"/>
        <v>0</v>
      </c>
      <c r="T316" s="208">
        <f>S316*係数!$H$30</f>
        <v>0</v>
      </c>
      <c r="U316" s="12">
        <f t="shared" si="23"/>
        <v>0</v>
      </c>
      <c r="V316" s="211">
        <f t="shared" si="23"/>
        <v>0</v>
      </c>
    </row>
    <row r="317" spans="2:22" x14ac:dyDescent="0.4">
      <c r="B317" s="194" t="s">
        <v>860</v>
      </c>
      <c r="C317" s="35"/>
      <c r="D317" s="291"/>
      <c r="E317" s="461"/>
      <c r="F317" s="212"/>
      <c r="G317" s="212"/>
      <c r="H317" s="213"/>
      <c r="I317" s="27"/>
      <c r="J317" s="207">
        <f t="shared" si="24"/>
        <v>0</v>
      </c>
      <c r="K317" s="207">
        <f t="shared" si="25"/>
        <v>0</v>
      </c>
      <c r="L317" s="208">
        <f>K317*係数!$H$30</f>
        <v>0</v>
      </c>
      <c r="M317" s="35"/>
      <c r="N317" s="27"/>
      <c r="O317" s="27"/>
      <c r="P317" s="213"/>
      <c r="Q317" s="27"/>
      <c r="R317" s="462">
        <f t="shared" si="21"/>
        <v>0</v>
      </c>
      <c r="S317" s="12">
        <f t="shared" si="22"/>
        <v>0</v>
      </c>
      <c r="T317" s="208">
        <f>S317*係数!$H$30</f>
        <v>0</v>
      </c>
      <c r="U317" s="12">
        <f t="shared" si="23"/>
        <v>0</v>
      </c>
      <c r="V317" s="211">
        <f t="shared" si="23"/>
        <v>0</v>
      </c>
    </row>
    <row r="318" spans="2:22" x14ac:dyDescent="0.4">
      <c r="B318" s="194" t="s">
        <v>924</v>
      </c>
      <c r="C318" s="35"/>
      <c r="D318" s="291"/>
      <c r="E318" s="461"/>
      <c r="F318" s="212"/>
      <c r="G318" s="212"/>
      <c r="H318" s="213"/>
      <c r="I318" s="27"/>
      <c r="J318" s="207">
        <f t="shared" si="24"/>
        <v>0</v>
      </c>
      <c r="K318" s="207">
        <f t="shared" si="25"/>
        <v>0</v>
      </c>
      <c r="L318" s="208">
        <f>K318*係数!$H$30</f>
        <v>0</v>
      </c>
      <c r="M318" s="35"/>
      <c r="N318" s="27"/>
      <c r="O318" s="27"/>
      <c r="P318" s="213"/>
      <c r="Q318" s="27"/>
      <c r="R318" s="462">
        <f t="shared" si="21"/>
        <v>0</v>
      </c>
      <c r="S318" s="12">
        <f t="shared" si="22"/>
        <v>0</v>
      </c>
      <c r="T318" s="208">
        <f>S318*係数!$H$30</f>
        <v>0</v>
      </c>
      <c r="U318" s="12">
        <f t="shared" si="23"/>
        <v>0</v>
      </c>
      <c r="V318" s="211">
        <f t="shared" si="23"/>
        <v>0</v>
      </c>
    </row>
    <row r="319" spans="2:22" x14ac:dyDescent="0.4">
      <c r="B319" s="194" t="s">
        <v>925</v>
      </c>
      <c r="C319" s="35"/>
      <c r="D319" s="291"/>
      <c r="E319" s="461"/>
      <c r="F319" s="212"/>
      <c r="G319" s="212"/>
      <c r="H319" s="213"/>
      <c r="I319" s="27"/>
      <c r="J319" s="207">
        <f t="shared" si="24"/>
        <v>0</v>
      </c>
      <c r="K319" s="207">
        <f t="shared" si="25"/>
        <v>0</v>
      </c>
      <c r="L319" s="208">
        <f>K319*係数!$H$30</f>
        <v>0</v>
      </c>
      <c r="M319" s="35"/>
      <c r="N319" s="27"/>
      <c r="O319" s="27"/>
      <c r="P319" s="213"/>
      <c r="Q319" s="27"/>
      <c r="R319" s="462">
        <f t="shared" si="21"/>
        <v>0</v>
      </c>
      <c r="S319" s="12">
        <f t="shared" si="22"/>
        <v>0</v>
      </c>
      <c r="T319" s="208">
        <f>S319*係数!$H$30</f>
        <v>0</v>
      </c>
      <c r="U319" s="12">
        <f t="shared" si="23"/>
        <v>0</v>
      </c>
      <c r="V319" s="211">
        <f t="shared" si="23"/>
        <v>0</v>
      </c>
    </row>
    <row r="320" spans="2:22" x14ac:dyDescent="0.4">
      <c r="B320" s="194" t="s">
        <v>926</v>
      </c>
      <c r="C320" s="35"/>
      <c r="D320" s="291"/>
      <c r="E320" s="461"/>
      <c r="F320" s="212"/>
      <c r="G320" s="212"/>
      <c r="H320" s="213"/>
      <c r="I320" s="27"/>
      <c r="J320" s="207">
        <f t="shared" si="24"/>
        <v>0</v>
      </c>
      <c r="K320" s="207">
        <f t="shared" si="25"/>
        <v>0</v>
      </c>
      <c r="L320" s="208">
        <f>K320*係数!$H$30</f>
        <v>0</v>
      </c>
      <c r="M320" s="35"/>
      <c r="N320" s="27"/>
      <c r="O320" s="27"/>
      <c r="P320" s="213"/>
      <c r="Q320" s="27"/>
      <c r="R320" s="462">
        <f t="shared" si="21"/>
        <v>0</v>
      </c>
      <c r="S320" s="12">
        <f t="shared" si="22"/>
        <v>0</v>
      </c>
      <c r="T320" s="208">
        <f>S320*係数!$H$30</f>
        <v>0</v>
      </c>
      <c r="U320" s="12">
        <f t="shared" si="23"/>
        <v>0</v>
      </c>
      <c r="V320" s="211">
        <f t="shared" si="23"/>
        <v>0</v>
      </c>
    </row>
    <row r="321" spans="2:22" x14ac:dyDescent="0.4">
      <c r="B321" s="194" t="s">
        <v>927</v>
      </c>
      <c r="C321" s="35"/>
      <c r="D321" s="291"/>
      <c r="E321" s="461"/>
      <c r="F321" s="212"/>
      <c r="G321" s="212"/>
      <c r="H321" s="213"/>
      <c r="I321" s="27"/>
      <c r="J321" s="207">
        <f t="shared" si="24"/>
        <v>0</v>
      </c>
      <c r="K321" s="207">
        <f t="shared" si="25"/>
        <v>0</v>
      </c>
      <c r="L321" s="208">
        <f>K321*係数!$H$30</f>
        <v>0</v>
      </c>
      <c r="M321" s="35"/>
      <c r="N321" s="27"/>
      <c r="O321" s="27"/>
      <c r="P321" s="213"/>
      <c r="Q321" s="27"/>
      <c r="R321" s="462">
        <f t="shared" si="21"/>
        <v>0</v>
      </c>
      <c r="S321" s="12">
        <f t="shared" si="22"/>
        <v>0</v>
      </c>
      <c r="T321" s="208">
        <f>S321*係数!$H$30</f>
        <v>0</v>
      </c>
      <c r="U321" s="12">
        <f t="shared" si="23"/>
        <v>0</v>
      </c>
      <c r="V321" s="211">
        <f t="shared" si="23"/>
        <v>0</v>
      </c>
    </row>
    <row r="322" spans="2:22" x14ac:dyDescent="0.4">
      <c r="B322" s="194" t="s">
        <v>928</v>
      </c>
      <c r="C322" s="35"/>
      <c r="D322" s="291"/>
      <c r="E322" s="461"/>
      <c r="F322" s="212"/>
      <c r="G322" s="212"/>
      <c r="H322" s="213"/>
      <c r="I322" s="27"/>
      <c r="J322" s="207">
        <f t="shared" si="24"/>
        <v>0</v>
      </c>
      <c r="K322" s="207">
        <f t="shared" si="25"/>
        <v>0</v>
      </c>
      <c r="L322" s="208">
        <f>K322*係数!$H$30</f>
        <v>0</v>
      </c>
      <c r="M322" s="35"/>
      <c r="N322" s="27"/>
      <c r="O322" s="27"/>
      <c r="P322" s="213"/>
      <c r="Q322" s="27"/>
      <c r="R322" s="462">
        <f t="shared" si="21"/>
        <v>0</v>
      </c>
      <c r="S322" s="12">
        <f t="shared" si="22"/>
        <v>0</v>
      </c>
      <c r="T322" s="208">
        <f>S322*係数!$H$30</f>
        <v>0</v>
      </c>
      <c r="U322" s="12">
        <f t="shared" si="23"/>
        <v>0</v>
      </c>
      <c r="V322" s="211">
        <f t="shared" si="23"/>
        <v>0</v>
      </c>
    </row>
    <row r="323" spans="2:22" x14ac:dyDescent="0.4">
      <c r="B323" s="194" t="s">
        <v>929</v>
      </c>
      <c r="C323" s="35"/>
      <c r="D323" s="291"/>
      <c r="E323" s="461"/>
      <c r="F323" s="212"/>
      <c r="G323" s="212"/>
      <c r="H323" s="213"/>
      <c r="I323" s="27"/>
      <c r="J323" s="207">
        <f t="shared" si="24"/>
        <v>0</v>
      </c>
      <c r="K323" s="207">
        <f t="shared" si="25"/>
        <v>0</v>
      </c>
      <c r="L323" s="208">
        <f>K323*係数!$H$30</f>
        <v>0</v>
      </c>
      <c r="M323" s="35"/>
      <c r="N323" s="27"/>
      <c r="O323" s="27"/>
      <c r="P323" s="213"/>
      <c r="Q323" s="27"/>
      <c r="R323" s="462">
        <f t="shared" si="21"/>
        <v>0</v>
      </c>
      <c r="S323" s="12">
        <f t="shared" si="22"/>
        <v>0</v>
      </c>
      <c r="T323" s="208">
        <f>S323*係数!$H$30</f>
        <v>0</v>
      </c>
      <c r="U323" s="12">
        <f t="shared" si="23"/>
        <v>0</v>
      </c>
      <c r="V323" s="211">
        <f t="shared" si="23"/>
        <v>0</v>
      </c>
    </row>
    <row r="324" spans="2:22" x14ac:dyDescent="0.4">
      <c r="B324" s="194" t="s">
        <v>930</v>
      </c>
      <c r="C324" s="35"/>
      <c r="D324" s="291"/>
      <c r="E324" s="461"/>
      <c r="F324" s="212"/>
      <c r="G324" s="212"/>
      <c r="H324" s="213"/>
      <c r="I324" s="27"/>
      <c r="J324" s="207">
        <f t="shared" si="24"/>
        <v>0</v>
      </c>
      <c r="K324" s="207">
        <f t="shared" si="25"/>
        <v>0</v>
      </c>
      <c r="L324" s="208">
        <f>K324*係数!$H$30</f>
        <v>0</v>
      </c>
      <c r="M324" s="35"/>
      <c r="N324" s="27"/>
      <c r="O324" s="27"/>
      <c r="P324" s="213"/>
      <c r="Q324" s="27"/>
      <c r="R324" s="462">
        <f t="shared" si="21"/>
        <v>0</v>
      </c>
      <c r="S324" s="12">
        <f t="shared" si="22"/>
        <v>0</v>
      </c>
      <c r="T324" s="208">
        <f>S324*係数!$H$30</f>
        <v>0</v>
      </c>
      <c r="U324" s="12">
        <f t="shared" si="23"/>
        <v>0</v>
      </c>
      <c r="V324" s="211">
        <f t="shared" si="23"/>
        <v>0</v>
      </c>
    </row>
    <row r="325" spans="2:22" x14ac:dyDescent="0.4">
      <c r="B325" s="194" t="s">
        <v>931</v>
      </c>
      <c r="C325" s="35"/>
      <c r="D325" s="291"/>
      <c r="E325" s="461"/>
      <c r="F325" s="212"/>
      <c r="G325" s="212"/>
      <c r="H325" s="213"/>
      <c r="I325" s="27"/>
      <c r="J325" s="207">
        <f t="shared" si="24"/>
        <v>0</v>
      </c>
      <c r="K325" s="207">
        <f t="shared" si="25"/>
        <v>0</v>
      </c>
      <c r="L325" s="208">
        <f>K325*係数!$H$30</f>
        <v>0</v>
      </c>
      <c r="M325" s="35"/>
      <c r="N325" s="27"/>
      <c r="O325" s="27"/>
      <c r="P325" s="213"/>
      <c r="Q325" s="27"/>
      <c r="R325" s="462">
        <f t="shared" si="21"/>
        <v>0</v>
      </c>
      <c r="S325" s="12">
        <f t="shared" si="22"/>
        <v>0</v>
      </c>
      <c r="T325" s="208">
        <f>S325*係数!$H$30</f>
        <v>0</v>
      </c>
      <c r="U325" s="12">
        <f t="shared" si="23"/>
        <v>0</v>
      </c>
      <c r="V325" s="211">
        <f t="shared" si="23"/>
        <v>0</v>
      </c>
    </row>
    <row r="326" spans="2:22" x14ac:dyDescent="0.4">
      <c r="B326" s="194" t="s">
        <v>932</v>
      </c>
      <c r="C326" s="35"/>
      <c r="D326" s="291"/>
      <c r="E326" s="461"/>
      <c r="F326" s="212"/>
      <c r="G326" s="212"/>
      <c r="H326" s="213"/>
      <c r="I326" s="27"/>
      <c r="J326" s="207">
        <f t="shared" si="24"/>
        <v>0</v>
      </c>
      <c r="K326" s="207">
        <f t="shared" si="25"/>
        <v>0</v>
      </c>
      <c r="L326" s="208">
        <f>K326*係数!$H$30</f>
        <v>0</v>
      </c>
      <c r="M326" s="35"/>
      <c r="N326" s="27"/>
      <c r="O326" s="27"/>
      <c r="P326" s="213"/>
      <c r="Q326" s="27"/>
      <c r="R326" s="462">
        <f t="shared" si="21"/>
        <v>0</v>
      </c>
      <c r="S326" s="12">
        <f t="shared" si="22"/>
        <v>0</v>
      </c>
      <c r="T326" s="208">
        <f>S326*係数!$H$30</f>
        <v>0</v>
      </c>
      <c r="U326" s="12">
        <f t="shared" si="23"/>
        <v>0</v>
      </c>
      <c r="V326" s="211">
        <f t="shared" si="23"/>
        <v>0</v>
      </c>
    </row>
    <row r="327" spans="2:22" x14ac:dyDescent="0.4">
      <c r="B327" s="194" t="s">
        <v>933</v>
      </c>
      <c r="C327" s="35"/>
      <c r="D327" s="291"/>
      <c r="E327" s="461"/>
      <c r="F327" s="212"/>
      <c r="G327" s="212"/>
      <c r="H327" s="213"/>
      <c r="I327" s="27"/>
      <c r="J327" s="207">
        <f t="shared" si="24"/>
        <v>0</v>
      </c>
      <c r="K327" s="207">
        <f t="shared" si="25"/>
        <v>0</v>
      </c>
      <c r="L327" s="208">
        <f>K327*係数!$H$30</f>
        <v>0</v>
      </c>
      <c r="M327" s="35"/>
      <c r="N327" s="27"/>
      <c r="O327" s="27"/>
      <c r="P327" s="213"/>
      <c r="Q327" s="27"/>
      <c r="R327" s="462">
        <f t="shared" si="21"/>
        <v>0</v>
      </c>
      <c r="S327" s="12">
        <f t="shared" si="22"/>
        <v>0</v>
      </c>
      <c r="T327" s="208">
        <f>S327*係数!$H$30</f>
        <v>0</v>
      </c>
      <c r="U327" s="12">
        <f t="shared" si="23"/>
        <v>0</v>
      </c>
      <c r="V327" s="211">
        <f t="shared" si="23"/>
        <v>0</v>
      </c>
    </row>
    <row r="328" spans="2:22" x14ac:dyDescent="0.4">
      <c r="B328" s="194" t="s">
        <v>934</v>
      </c>
      <c r="C328" s="35"/>
      <c r="D328" s="291"/>
      <c r="E328" s="461"/>
      <c r="F328" s="212"/>
      <c r="G328" s="212"/>
      <c r="H328" s="213"/>
      <c r="I328" s="27"/>
      <c r="J328" s="207">
        <f t="shared" si="24"/>
        <v>0</v>
      </c>
      <c r="K328" s="207">
        <f t="shared" si="25"/>
        <v>0</v>
      </c>
      <c r="L328" s="208">
        <f>K328*係数!$H$30</f>
        <v>0</v>
      </c>
      <c r="M328" s="35"/>
      <c r="N328" s="27"/>
      <c r="O328" s="27"/>
      <c r="P328" s="213"/>
      <c r="Q328" s="27"/>
      <c r="R328" s="462">
        <f t="shared" si="21"/>
        <v>0</v>
      </c>
      <c r="S328" s="12">
        <f t="shared" si="22"/>
        <v>0</v>
      </c>
      <c r="T328" s="208">
        <f>S328*係数!$H$30</f>
        <v>0</v>
      </c>
      <c r="U328" s="12">
        <f t="shared" si="23"/>
        <v>0</v>
      </c>
      <c r="V328" s="211">
        <f t="shared" si="23"/>
        <v>0</v>
      </c>
    </row>
    <row r="329" spans="2:22" x14ac:dyDescent="0.4">
      <c r="B329" s="194" t="s">
        <v>935</v>
      </c>
      <c r="C329" s="35"/>
      <c r="D329" s="291"/>
      <c r="E329" s="461"/>
      <c r="F329" s="212"/>
      <c r="G329" s="212"/>
      <c r="H329" s="213"/>
      <c r="I329" s="27"/>
      <c r="J329" s="207">
        <f t="shared" si="24"/>
        <v>0</v>
      </c>
      <c r="K329" s="207">
        <f t="shared" si="25"/>
        <v>0</v>
      </c>
      <c r="L329" s="208">
        <f>K329*係数!$H$30</f>
        <v>0</v>
      </c>
      <c r="M329" s="35"/>
      <c r="N329" s="27"/>
      <c r="O329" s="27"/>
      <c r="P329" s="213"/>
      <c r="Q329" s="27"/>
      <c r="R329" s="462">
        <f t="shared" si="21"/>
        <v>0</v>
      </c>
      <c r="S329" s="12">
        <f t="shared" si="22"/>
        <v>0</v>
      </c>
      <c r="T329" s="208">
        <f>S329*係数!$H$30</f>
        <v>0</v>
      </c>
      <c r="U329" s="12">
        <f t="shared" si="23"/>
        <v>0</v>
      </c>
      <c r="V329" s="211">
        <f t="shared" si="23"/>
        <v>0</v>
      </c>
    </row>
    <row r="330" spans="2:22" x14ac:dyDescent="0.4">
      <c r="B330" s="194" t="s">
        <v>936</v>
      </c>
      <c r="C330" s="35"/>
      <c r="D330" s="291"/>
      <c r="E330" s="461"/>
      <c r="F330" s="212"/>
      <c r="G330" s="212"/>
      <c r="H330" s="213"/>
      <c r="I330" s="27"/>
      <c r="J330" s="207">
        <f t="shared" si="24"/>
        <v>0</v>
      </c>
      <c r="K330" s="207">
        <f t="shared" si="25"/>
        <v>0</v>
      </c>
      <c r="L330" s="208">
        <f>K330*係数!$H$30</f>
        <v>0</v>
      </c>
      <c r="M330" s="35"/>
      <c r="N330" s="27"/>
      <c r="O330" s="27"/>
      <c r="P330" s="213"/>
      <c r="Q330" s="27"/>
      <c r="R330" s="462">
        <f t="shared" si="21"/>
        <v>0</v>
      </c>
      <c r="S330" s="12">
        <f t="shared" si="22"/>
        <v>0</v>
      </c>
      <c r="T330" s="208">
        <f>S330*係数!$H$30</f>
        <v>0</v>
      </c>
      <c r="U330" s="12">
        <f t="shared" si="23"/>
        <v>0</v>
      </c>
      <c r="V330" s="211">
        <f t="shared" si="23"/>
        <v>0</v>
      </c>
    </row>
    <row r="331" spans="2:22" x14ac:dyDescent="0.4">
      <c r="B331" s="194" t="s">
        <v>937</v>
      </c>
      <c r="C331" s="35"/>
      <c r="D331" s="291"/>
      <c r="E331" s="461"/>
      <c r="F331" s="212"/>
      <c r="G331" s="212"/>
      <c r="H331" s="213"/>
      <c r="I331" s="27"/>
      <c r="J331" s="207">
        <f t="shared" si="24"/>
        <v>0</v>
      </c>
      <c r="K331" s="207">
        <f t="shared" si="25"/>
        <v>0</v>
      </c>
      <c r="L331" s="208">
        <f>K331*係数!$H$30</f>
        <v>0</v>
      </c>
      <c r="M331" s="35"/>
      <c r="N331" s="27"/>
      <c r="O331" s="27"/>
      <c r="P331" s="213"/>
      <c r="Q331" s="27"/>
      <c r="R331" s="462">
        <f t="shared" si="21"/>
        <v>0</v>
      </c>
      <c r="S331" s="12">
        <f t="shared" si="22"/>
        <v>0</v>
      </c>
      <c r="T331" s="208">
        <f>S331*係数!$H$30</f>
        <v>0</v>
      </c>
      <c r="U331" s="12">
        <f t="shared" si="23"/>
        <v>0</v>
      </c>
      <c r="V331" s="211">
        <f t="shared" si="23"/>
        <v>0</v>
      </c>
    </row>
    <row r="332" spans="2:22" x14ac:dyDescent="0.4">
      <c r="B332" s="194" t="s">
        <v>938</v>
      </c>
      <c r="C332" s="35"/>
      <c r="D332" s="291"/>
      <c r="E332" s="461"/>
      <c r="F332" s="212"/>
      <c r="G332" s="212"/>
      <c r="H332" s="213"/>
      <c r="I332" s="27"/>
      <c r="J332" s="207">
        <f t="shared" si="24"/>
        <v>0</v>
      </c>
      <c r="K332" s="207">
        <f t="shared" si="25"/>
        <v>0</v>
      </c>
      <c r="L332" s="208">
        <f>K332*係数!$H$30</f>
        <v>0</v>
      </c>
      <c r="M332" s="35"/>
      <c r="N332" s="27"/>
      <c r="O332" s="27"/>
      <c r="P332" s="213"/>
      <c r="Q332" s="27"/>
      <c r="R332" s="462">
        <f t="shared" si="21"/>
        <v>0</v>
      </c>
      <c r="S332" s="12">
        <f t="shared" si="22"/>
        <v>0</v>
      </c>
      <c r="T332" s="208">
        <f>S332*係数!$H$30</f>
        <v>0</v>
      </c>
      <c r="U332" s="12">
        <f t="shared" si="23"/>
        <v>0</v>
      </c>
      <c r="V332" s="211">
        <f t="shared" si="23"/>
        <v>0</v>
      </c>
    </row>
    <row r="333" spans="2:22" x14ac:dyDescent="0.4">
      <c r="B333" s="194" t="s">
        <v>939</v>
      </c>
      <c r="C333" s="35"/>
      <c r="D333" s="291"/>
      <c r="E333" s="461"/>
      <c r="F333" s="212"/>
      <c r="G333" s="212"/>
      <c r="H333" s="213"/>
      <c r="I333" s="27"/>
      <c r="J333" s="207">
        <f t="shared" si="24"/>
        <v>0</v>
      </c>
      <c r="K333" s="207">
        <f t="shared" si="25"/>
        <v>0</v>
      </c>
      <c r="L333" s="208">
        <f>K333*係数!$H$30</f>
        <v>0</v>
      </c>
      <c r="M333" s="35"/>
      <c r="N333" s="27"/>
      <c r="O333" s="27"/>
      <c r="P333" s="213"/>
      <c r="Q333" s="27"/>
      <c r="R333" s="462">
        <f t="shared" si="21"/>
        <v>0</v>
      </c>
      <c r="S333" s="12">
        <f t="shared" si="22"/>
        <v>0</v>
      </c>
      <c r="T333" s="208">
        <f>S333*係数!$H$30</f>
        <v>0</v>
      </c>
      <c r="U333" s="12">
        <f t="shared" si="23"/>
        <v>0</v>
      </c>
      <c r="V333" s="211">
        <f t="shared" si="23"/>
        <v>0</v>
      </c>
    </row>
    <row r="334" spans="2:22" x14ac:dyDescent="0.4">
      <c r="B334" s="194" t="s">
        <v>940</v>
      </c>
      <c r="C334" s="35"/>
      <c r="D334" s="291"/>
      <c r="E334" s="461"/>
      <c r="F334" s="212"/>
      <c r="G334" s="212"/>
      <c r="H334" s="213"/>
      <c r="I334" s="27"/>
      <c r="J334" s="207">
        <f t="shared" si="24"/>
        <v>0</v>
      </c>
      <c r="K334" s="207">
        <f t="shared" si="25"/>
        <v>0</v>
      </c>
      <c r="L334" s="208">
        <f>K334*係数!$H$30</f>
        <v>0</v>
      </c>
      <c r="M334" s="35"/>
      <c r="N334" s="27"/>
      <c r="O334" s="27"/>
      <c r="P334" s="213"/>
      <c r="Q334" s="27"/>
      <c r="R334" s="462">
        <f t="shared" si="21"/>
        <v>0</v>
      </c>
      <c r="S334" s="12">
        <f t="shared" si="22"/>
        <v>0</v>
      </c>
      <c r="T334" s="208">
        <f>S334*係数!$H$30</f>
        <v>0</v>
      </c>
      <c r="U334" s="12">
        <f t="shared" si="23"/>
        <v>0</v>
      </c>
      <c r="V334" s="211">
        <f t="shared" si="23"/>
        <v>0</v>
      </c>
    </row>
    <row r="335" spans="2:22" x14ac:dyDescent="0.4">
      <c r="B335" s="194" t="s">
        <v>941</v>
      </c>
      <c r="C335" s="35"/>
      <c r="D335" s="291"/>
      <c r="E335" s="461"/>
      <c r="F335" s="212"/>
      <c r="G335" s="212"/>
      <c r="H335" s="213"/>
      <c r="I335" s="27"/>
      <c r="J335" s="207">
        <f t="shared" si="24"/>
        <v>0</v>
      </c>
      <c r="K335" s="207">
        <f t="shared" si="25"/>
        <v>0</v>
      </c>
      <c r="L335" s="208">
        <f>K335*係数!$H$30</f>
        <v>0</v>
      </c>
      <c r="M335" s="35"/>
      <c r="N335" s="27"/>
      <c r="O335" s="27"/>
      <c r="P335" s="213"/>
      <c r="Q335" s="27"/>
      <c r="R335" s="462">
        <f t="shared" si="21"/>
        <v>0</v>
      </c>
      <c r="S335" s="12">
        <f t="shared" si="22"/>
        <v>0</v>
      </c>
      <c r="T335" s="208">
        <f>S335*係数!$H$30</f>
        <v>0</v>
      </c>
      <c r="U335" s="12">
        <f t="shared" si="23"/>
        <v>0</v>
      </c>
      <c r="V335" s="211">
        <f t="shared" si="23"/>
        <v>0</v>
      </c>
    </row>
    <row r="336" spans="2:22" x14ac:dyDescent="0.4">
      <c r="B336" s="194" t="s">
        <v>942</v>
      </c>
      <c r="C336" s="35"/>
      <c r="D336" s="291"/>
      <c r="E336" s="461"/>
      <c r="F336" s="212"/>
      <c r="G336" s="212"/>
      <c r="H336" s="213"/>
      <c r="I336" s="27"/>
      <c r="J336" s="207">
        <f t="shared" si="24"/>
        <v>0</v>
      </c>
      <c r="K336" s="207">
        <f t="shared" si="25"/>
        <v>0</v>
      </c>
      <c r="L336" s="208">
        <f>K336*係数!$H$30</f>
        <v>0</v>
      </c>
      <c r="M336" s="35"/>
      <c r="N336" s="27"/>
      <c r="O336" s="27"/>
      <c r="P336" s="213"/>
      <c r="Q336" s="27"/>
      <c r="R336" s="462">
        <f t="shared" si="21"/>
        <v>0</v>
      </c>
      <c r="S336" s="12">
        <f t="shared" si="22"/>
        <v>0</v>
      </c>
      <c r="T336" s="208">
        <f>S336*係数!$H$30</f>
        <v>0</v>
      </c>
      <c r="U336" s="12">
        <f t="shared" si="23"/>
        <v>0</v>
      </c>
      <c r="V336" s="211">
        <f t="shared" si="23"/>
        <v>0</v>
      </c>
    </row>
    <row r="337" spans="2:22" x14ac:dyDescent="0.4">
      <c r="B337" s="194" t="s">
        <v>943</v>
      </c>
      <c r="C337" s="35"/>
      <c r="D337" s="291"/>
      <c r="E337" s="461"/>
      <c r="F337" s="212"/>
      <c r="G337" s="212"/>
      <c r="H337" s="213"/>
      <c r="I337" s="27"/>
      <c r="J337" s="207">
        <f t="shared" si="24"/>
        <v>0</v>
      </c>
      <c r="K337" s="207">
        <f t="shared" si="25"/>
        <v>0</v>
      </c>
      <c r="L337" s="208">
        <f>K337*係数!$H$30</f>
        <v>0</v>
      </c>
      <c r="M337" s="35"/>
      <c r="N337" s="27"/>
      <c r="O337" s="27"/>
      <c r="P337" s="213"/>
      <c r="Q337" s="27"/>
      <c r="R337" s="462">
        <f t="shared" si="21"/>
        <v>0</v>
      </c>
      <c r="S337" s="12">
        <f t="shared" si="22"/>
        <v>0</v>
      </c>
      <c r="T337" s="208">
        <f>S337*係数!$H$30</f>
        <v>0</v>
      </c>
      <c r="U337" s="12">
        <f t="shared" si="23"/>
        <v>0</v>
      </c>
      <c r="V337" s="211">
        <f t="shared" si="23"/>
        <v>0</v>
      </c>
    </row>
    <row r="338" spans="2:22" x14ac:dyDescent="0.4">
      <c r="B338" s="194" t="s">
        <v>944</v>
      </c>
      <c r="C338" s="35"/>
      <c r="D338" s="291"/>
      <c r="E338" s="461"/>
      <c r="F338" s="212"/>
      <c r="G338" s="212"/>
      <c r="H338" s="213"/>
      <c r="I338" s="27"/>
      <c r="J338" s="207">
        <f t="shared" si="24"/>
        <v>0</v>
      </c>
      <c r="K338" s="207">
        <f t="shared" si="25"/>
        <v>0</v>
      </c>
      <c r="L338" s="208">
        <f>K338*係数!$H$30</f>
        <v>0</v>
      </c>
      <c r="M338" s="35"/>
      <c r="N338" s="27"/>
      <c r="O338" s="27"/>
      <c r="P338" s="213"/>
      <c r="Q338" s="27"/>
      <c r="R338" s="462">
        <f t="shared" ref="R338:R401" si="26">IF(P338="",J338,J338*Q338/100)</f>
        <v>0</v>
      </c>
      <c r="S338" s="12">
        <f t="shared" ref="S338:S401" si="27">N338*O338*R338/1000</f>
        <v>0</v>
      </c>
      <c r="T338" s="208">
        <f>S338*係数!$H$30</f>
        <v>0</v>
      </c>
      <c r="U338" s="12">
        <f t="shared" ref="U338:V401" si="28">K338-S338</f>
        <v>0</v>
      </c>
      <c r="V338" s="211">
        <f t="shared" si="28"/>
        <v>0</v>
      </c>
    </row>
    <row r="339" spans="2:22" x14ac:dyDescent="0.4">
      <c r="B339" s="194" t="s">
        <v>945</v>
      </c>
      <c r="C339" s="35"/>
      <c r="D339" s="291"/>
      <c r="E339" s="461"/>
      <c r="F339" s="212"/>
      <c r="G339" s="212"/>
      <c r="H339" s="213"/>
      <c r="I339" s="27"/>
      <c r="J339" s="207">
        <f t="shared" ref="J339:J402" si="29">IF(H339="",F339*G339,F339*G339*I339/100)</f>
        <v>0</v>
      </c>
      <c r="K339" s="207">
        <f t="shared" si="25"/>
        <v>0</v>
      </c>
      <c r="L339" s="208">
        <f>K339*係数!$H$30</f>
        <v>0</v>
      </c>
      <c r="M339" s="35"/>
      <c r="N339" s="27"/>
      <c r="O339" s="27"/>
      <c r="P339" s="213"/>
      <c r="Q339" s="27"/>
      <c r="R339" s="462">
        <f t="shared" si="26"/>
        <v>0</v>
      </c>
      <c r="S339" s="12">
        <f t="shared" si="27"/>
        <v>0</v>
      </c>
      <c r="T339" s="208">
        <f>S339*係数!$H$30</f>
        <v>0</v>
      </c>
      <c r="U339" s="12">
        <f t="shared" si="28"/>
        <v>0</v>
      </c>
      <c r="V339" s="211">
        <f t="shared" si="28"/>
        <v>0</v>
      </c>
    </row>
    <row r="340" spans="2:22" x14ac:dyDescent="0.4">
      <c r="B340" s="194" t="s">
        <v>946</v>
      </c>
      <c r="C340" s="35"/>
      <c r="D340" s="291"/>
      <c r="E340" s="461"/>
      <c r="F340" s="212"/>
      <c r="G340" s="212"/>
      <c r="H340" s="213"/>
      <c r="I340" s="27"/>
      <c r="J340" s="207">
        <f t="shared" si="29"/>
        <v>0</v>
      </c>
      <c r="K340" s="207">
        <f t="shared" ref="K340:K403" si="30">D340*E340*J340/1000</f>
        <v>0</v>
      </c>
      <c r="L340" s="208">
        <f>K340*係数!$H$30</f>
        <v>0</v>
      </c>
      <c r="M340" s="35"/>
      <c r="N340" s="27"/>
      <c r="O340" s="27"/>
      <c r="P340" s="213"/>
      <c r="Q340" s="27"/>
      <c r="R340" s="462">
        <f t="shared" si="26"/>
        <v>0</v>
      </c>
      <c r="S340" s="12">
        <f t="shared" si="27"/>
        <v>0</v>
      </c>
      <c r="T340" s="208">
        <f>S340*係数!$H$30</f>
        <v>0</v>
      </c>
      <c r="U340" s="12">
        <f t="shared" si="28"/>
        <v>0</v>
      </c>
      <c r="V340" s="211">
        <f t="shared" si="28"/>
        <v>0</v>
      </c>
    </row>
    <row r="341" spans="2:22" x14ac:dyDescent="0.4">
      <c r="B341" s="194" t="s">
        <v>947</v>
      </c>
      <c r="C341" s="35"/>
      <c r="D341" s="291"/>
      <c r="E341" s="461"/>
      <c r="F341" s="212"/>
      <c r="G341" s="212"/>
      <c r="H341" s="213"/>
      <c r="I341" s="27"/>
      <c r="J341" s="207">
        <f t="shared" si="29"/>
        <v>0</v>
      </c>
      <c r="K341" s="207">
        <f t="shared" si="30"/>
        <v>0</v>
      </c>
      <c r="L341" s="208">
        <f>K341*係数!$H$30</f>
        <v>0</v>
      </c>
      <c r="M341" s="35"/>
      <c r="N341" s="27"/>
      <c r="O341" s="27"/>
      <c r="P341" s="213"/>
      <c r="Q341" s="27"/>
      <c r="R341" s="462">
        <f t="shared" si="26"/>
        <v>0</v>
      </c>
      <c r="S341" s="12">
        <f t="shared" si="27"/>
        <v>0</v>
      </c>
      <c r="T341" s="208">
        <f>S341*係数!$H$30</f>
        <v>0</v>
      </c>
      <c r="U341" s="12">
        <f t="shared" si="28"/>
        <v>0</v>
      </c>
      <c r="V341" s="211">
        <f t="shared" si="28"/>
        <v>0</v>
      </c>
    </row>
    <row r="342" spans="2:22" x14ac:dyDescent="0.4">
      <c r="B342" s="194" t="s">
        <v>948</v>
      </c>
      <c r="C342" s="35"/>
      <c r="D342" s="291"/>
      <c r="E342" s="461"/>
      <c r="F342" s="212"/>
      <c r="G342" s="212"/>
      <c r="H342" s="213"/>
      <c r="I342" s="27"/>
      <c r="J342" s="207">
        <f t="shared" si="29"/>
        <v>0</v>
      </c>
      <c r="K342" s="207">
        <f t="shared" si="30"/>
        <v>0</v>
      </c>
      <c r="L342" s="208">
        <f>K342*係数!$H$30</f>
        <v>0</v>
      </c>
      <c r="M342" s="35"/>
      <c r="N342" s="27"/>
      <c r="O342" s="27"/>
      <c r="P342" s="213"/>
      <c r="Q342" s="27"/>
      <c r="R342" s="462">
        <f t="shared" si="26"/>
        <v>0</v>
      </c>
      <c r="S342" s="12">
        <f t="shared" si="27"/>
        <v>0</v>
      </c>
      <c r="T342" s="208">
        <f>S342*係数!$H$30</f>
        <v>0</v>
      </c>
      <c r="U342" s="12">
        <f t="shared" si="28"/>
        <v>0</v>
      </c>
      <c r="V342" s="211">
        <f t="shared" si="28"/>
        <v>0</v>
      </c>
    </row>
    <row r="343" spans="2:22" x14ac:dyDescent="0.4">
      <c r="B343" s="194" t="s">
        <v>949</v>
      </c>
      <c r="C343" s="35"/>
      <c r="D343" s="291"/>
      <c r="E343" s="461"/>
      <c r="F343" s="212"/>
      <c r="G343" s="212"/>
      <c r="H343" s="213"/>
      <c r="I343" s="27"/>
      <c r="J343" s="207">
        <f t="shared" si="29"/>
        <v>0</v>
      </c>
      <c r="K343" s="207">
        <f t="shared" si="30"/>
        <v>0</v>
      </c>
      <c r="L343" s="208">
        <f>K343*係数!$H$30</f>
        <v>0</v>
      </c>
      <c r="M343" s="35"/>
      <c r="N343" s="27"/>
      <c r="O343" s="27"/>
      <c r="P343" s="213"/>
      <c r="Q343" s="27"/>
      <c r="R343" s="462">
        <f t="shared" si="26"/>
        <v>0</v>
      </c>
      <c r="S343" s="12">
        <f t="shared" si="27"/>
        <v>0</v>
      </c>
      <c r="T343" s="208">
        <f>S343*係数!$H$30</f>
        <v>0</v>
      </c>
      <c r="U343" s="12">
        <f t="shared" si="28"/>
        <v>0</v>
      </c>
      <c r="V343" s="211">
        <f t="shared" si="28"/>
        <v>0</v>
      </c>
    </row>
    <row r="344" spans="2:22" x14ac:dyDescent="0.4">
      <c r="B344" s="194" t="s">
        <v>950</v>
      </c>
      <c r="C344" s="35"/>
      <c r="D344" s="291"/>
      <c r="E344" s="461"/>
      <c r="F344" s="212"/>
      <c r="G344" s="212"/>
      <c r="H344" s="213"/>
      <c r="I344" s="27"/>
      <c r="J344" s="207">
        <f t="shared" si="29"/>
        <v>0</v>
      </c>
      <c r="K344" s="207">
        <f t="shared" si="30"/>
        <v>0</v>
      </c>
      <c r="L344" s="208">
        <f>K344*係数!$H$30</f>
        <v>0</v>
      </c>
      <c r="M344" s="35"/>
      <c r="N344" s="27"/>
      <c r="O344" s="27"/>
      <c r="P344" s="213"/>
      <c r="Q344" s="27"/>
      <c r="R344" s="462">
        <f t="shared" si="26"/>
        <v>0</v>
      </c>
      <c r="S344" s="12">
        <f t="shared" si="27"/>
        <v>0</v>
      </c>
      <c r="T344" s="208">
        <f>S344*係数!$H$30</f>
        <v>0</v>
      </c>
      <c r="U344" s="12">
        <f t="shared" si="28"/>
        <v>0</v>
      </c>
      <c r="V344" s="211">
        <f t="shared" si="28"/>
        <v>0</v>
      </c>
    </row>
    <row r="345" spans="2:22" x14ac:dyDescent="0.4">
      <c r="B345" s="194" t="s">
        <v>951</v>
      </c>
      <c r="C345" s="35"/>
      <c r="D345" s="291"/>
      <c r="E345" s="461"/>
      <c r="F345" s="212"/>
      <c r="G345" s="212"/>
      <c r="H345" s="213"/>
      <c r="I345" s="27"/>
      <c r="J345" s="207">
        <f t="shared" si="29"/>
        <v>0</v>
      </c>
      <c r="K345" s="207">
        <f t="shared" si="30"/>
        <v>0</v>
      </c>
      <c r="L345" s="208">
        <f>K345*係数!$H$30</f>
        <v>0</v>
      </c>
      <c r="M345" s="35"/>
      <c r="N345" s="27"/>
      <c r="O345" s="27"/>
      <c r="P345" s="213"/>
      <c r="Q345" s="27"/>
      <c r="R345" s="462">
        <f t="shared" si="26"/>
        <v>0</v>
      </c>
      <c r="S345" s="12">
        <f t="shared" si="27"/>
        <v>0</v>
      </c>
      <c r="T345" s="208">
        <f>S345*係数!$H$30</f>
        <v>0</v>
      </c>
      <c r="U345" s="12">
        <f t="shared" si="28"/>
        <v>0</v>
      </c>
      <c r="V345" s="211">
        <f t="shared" si="28"/>
        <v>0</v>
      </c>
    </row>
    <row r="346" spans="2:22" x14ac:dyDescent="0.4">
      <c r="B346" s="194" t="s">
        <v>952</v>
      </c>
      <c r="C346" s="35"/>
      <c r="D346" s="291"/>
      <c r="E346" s="461"/>
      <c r="F346" s="212"/>
      <c r="G346" s="212"/>
      <c r="H346" s="213"/>
      <c r="I346" s="27"/>
      <c r="J346" s="207">
        <f t="shared" si="29"/>
        <v>0</v>
      </c>
      <c r="K346" s="207">
        <f t="shared" si="30"/>
        <v>0</v>
      </c>
      <c r="L346" s="208">
        <f>K346*係数!$H$30</f>
        <v>0</v>
      </c>
      <c r="M346" s="35"/>
      <c r="N346" s="27"/>
      <c r="O346" s="27"/>
      <c r="P346" s="213"/>
      <c r="Q346" s="27"/>
      <c r="R346" s="462">
        <f t="shared" si="26"/>
        <v>0</v>
      </c>
      <c r="S346" s="12">
        <f t="shared" si="27"/>
        <v>0</v>
      </c>
      <c r="T346" s="208">
        <f>S346*係数!$H$30</f>
        <v>0</v>
      </c>
      <c r="U346" s="12">
        <f t="shared" si="28"/>
        <v>0</v>
      </c>
      <c r="V346" s="211">
        <f t="shared" si="28"/>
        <v>0</v>
      </c>
    </row>
    <row r="347" spans="2:22" x14ac:dyDescent="0.4">
      <c r="B347" s="194" t="s">
        <v>953</v>
      </c>
      <c r="C347" s="35"/>
      <c r="D347" s="291"/>
      <c r="E347" s="461"/>
      <c r="F347" s="212"/>
      <c r="G347" s="212"/>
      <c r="H347" s="213"/>
      <c r="I347" s="27"/>
      <c r="J347" s="207">
        <f t="shared" si="29"/>
        <v>0</v>
      </c>
      <c r="K347" s="207">
        <f t="shared" si="30"/>
        <v>0</v>
      </c>
      <c r="L347" s="208">
        <f>K347*係数!$H$30</f>
        <v>0</v>
      </c>
      <c r="M347" s="35"/>
      <c r="N347" s="27"/>
      <c r="O347" s="27"/>
      <c r="P347" s="213"/>
      <c r="Q347" s="27"/>
      <c r="R347" s="462">
        <f t="shared" si="26"/>
        <v>0</v>
      </c>
      <c r="S347" s="12">
        <f t="shared" si="27"/>
        <v>0</v>
      </c>
      <c r="T347" s="208">
        <f>S347*係数!$H$30</f>
        <v>0</v>
      </c>
      <c r="U347" s="12">
        <f t="shared" si="28"/>
        <v>0</v>
      </c>
      <c r="V347" s="211">
        <f t="shared" si="28"/>
        <v>0</v>
      </c>
    </row>
    <row r="348" spans="2:22" x14ac:dyDescent="0.4">
      <c r="B348" s="194" t="s">
        <v>954</v>
      </c>
      <c r="C348" s="35"/>
      <c r="D348" s="291"/>
      <c r="E348" s="461"/>
      <c r="F348" s="212"/>
      <c r="G348" s="212"/>
      <c r="H348" s="213"/>
      <c r="I348" s="27"/>
      <c r="J348" s="207">
        <f t="shared" si="29"/>
        <v>0</v>
      </c>
      <c r="K348" s="207">
        <f t="shared" si="30"/>
        <v>0</v>
      </c>
      <c r="L348" s="208">
        <f>K348*係数!$H$30</f>
        <v>0</v>
      </c>
      <c r="M348" s="35"/>
      <c r="N348" s="27"/>
      <c r="O348" s="27"/>
      <c r="P348" s="213"/>
      <c r="Q348" s="27"/>
      <c r="R348" s="462">
        <f t="shared" si="26"/>
        <v>0</v>
      </c>
      <c r="S348" s="12">
        <f t="shared" si="27"/>
        <v>0</v>
      </c>
      <c r="T348" s="208">
        <f>S348*係数!$H$30</f>
        <v>0</v>
      </c>
      <c r="U348" s="12">
        <f t="shared" si="28"/>
        <v>0</v>
      </c>
      <c r="V348" s="211">
        <f t="shared" si="28"/>
        <v>0</v>
      </c>
    </row>
    <row r="349" spans="2:22" x14ac:dyDescent="0.4">
      <c r="B349" s="194" t="s">
        <v>955</v>
      </c>
      <c r="C349" s="35"/>
      <c r="D349" s="291"/>
      <c r="E349" s="461"/>
      <c r="F349" s="212"/>
      <c r="G349" s="212"/>
      <c r="H349" s="213"/>
      <c r="I349" s="27"/>
      <c r="J349" s="207">
        <f t="shared" si="29"/>
        <v>0</v>
      </c>
      <c r="K349" s="207">
        <f t="shared" si="30"/>
        <v>0</v>
      </c>
      <c r="L349" s="208">
        <f>K349*係数!$H$30</f>
        <v>0</v>
      </c>
      <c r="M349" s="35"/>
      <c r="N349" s="27"/>
      <c r="O349" s="27"/>
      <c r="P349" s="213"/>
      <c r="Q349" s="27"/>
      <c r="R349" s="462">
        <f t="shared" si="26"/>
        <v>0</v>
      </c>
      <c r="S349" s="12">
        <f t="shared" si="27"/>
        <v>0</v>
      </c>
      <c r="T349" s="208">
        <f>S349*係数!$H$30</f>
        <v>0</v>
      </c>
      <c r="U349" s="12">
        <f t="shared" si="28"/>
        <v>0</v>
      </c>
      <c r="V349" s="211">
        <f t="shared" si="28"/>
        <v>0</v>
      </c>
    </row>
    <row r="350" spans="2:22" x14ac:dyDescent="0.4">
      <c r="B350" s="194" t="s">
        <v>956</v>
      </c>
      <c r="C350" s="35"/>
      <c r="D350" s="291"/>
      <c r="E350" s="461"/>
      <c r="F350" s="212"/>
      <c r="G350" s="212"/>
      <c r="H350" s="213"/>
      <c r="I350" s="27"/>
      <c r="J350" s="207">
        <f t="shared" si="29"/>
        <v>0</v>
      </c>
      <c r="K350" s="207">
        <f t="shared" si="30"/>
        <v>0</v>
      </c>
      <c r="L350" s="208">
        <f>K350*係数!$H$30</f>
        <v>0</v>
      </c>
      <c r="M350" s="35"/>
      <c r="N350" s="27"/>
      <c r="O350" s="27"/>
      <c r="P350" s="213"/>
      <c r="Q350" s="27"/>
      <c r="R350" s="462">
        <f t="shared" si="26"/>
        <v>0</v>
      </c>
      <c r="S350" s="12">
        <f t="shared" si="27"/>
        <v>0</v>
      </c>
      <c r="T350" s="208">
        <f>S350*係数!$H$30</f>
        <v>0</v>
      </c>
      <c r="U350" s="12">
        <f t="shared" si="28"/>
        <v>0</v>
      </c>
      <c r="V350" s="211">
        <f t="shared" si="28"/>
        <v>0</v>
      </c>
    </row>
    <row r="351" spans="2:22" x14ac:dyDescent="0.4">
      <c r="B351" s="194" t="s">
        <v>957</v>
      </c>
      <c r="C351" s="35"/>
      <c r="D351" s="291"/>
      <c r="E351" s="461"/>
      <c r="F351" s="212"/>
      <c r="G351" s="212"/>
      <c r="H351" s="213"/>
      <c r="I351" s="27"/>
      <c r="J351" s="207">
        <f t="shared" si="29"/>
        <v>0</v>
      </c>
      <c r="K351" s="207">
        <f t="shared" si="30"/>
        <v>0</v>
      </c>
      <c r="L351" s="208">
        <f>K351*係数!$H$30</f>
        <v>0</v>
      </c>
      <c r="M351" s="35"/>
      <c r="N351" s="27"/>
      <c r="O351" s="27"/>
      <c r="P351" s="213"/>
      <c r="Q351" s="27"/>
      <c r="R351" s="462">
        <f t="shared" si="26"/>
        <v>0</v>
      </c>
      <c r="S351" s="12">
        <f t="shared" si="27"/>
        <v>0</v>
      </c>
      <c r="T351" s="208">
        <f>S351*係数!$H$30</f>
        <v>0</v>
      </c>
      <c r="U351" s="12">
        <f t="shared" si="28"/>
        <v>0</v>
      </c>
      <c r="V351" s="211">
        <f t="shared" si="28"/>
        <v>0</v>
      </c>
    </row>
    <row r="352" spans="2:22" x14ac:dyDescent="0.4">
      <c r="B352" s="194" t="s">
        <v>958</v>
      </c>
      <c r="C352" s="35"/>
      <c r="D352" s="291"/>
      <c r="E352" s="461"/>
      <c r="F352" s="212"/>
      <c r="G352" s="212"/>
      <c r="H352" s="213"/>
      <c r="I352" s="27"/>
      <c r="J352" s="207">
        <f t="shared" si="29"/>
        <v>0</v>
      </c>
      <c r="K352" s="207">
        <f t="shared" si="30"/>
        <v>0</v>
      </c>
      <c r="L352" s="208">
        <f>K352*係数!$H$30</f>
        <v>0</v>
      </c>
      <c r="M352" s="35"/>
      <c r="N352" s="27"/>
      <c r="O352" s="27"/>
      <c r="P352" s="213"/>
      <c r="Q352" s="27"/>
      <c r="R352" s="462">
        <f t="shared" si="26"/>
        <v>0</v>
      </c>
      <c r="S352" s="12">
        <f t="shared" si="27"/>
        <v>0</v>
      </c>
      <c r="T352" s="208">
        <f>S352*係数!$H$30</f>
        <v>0</v>
      </c>
      <c r="U352" s="12">
        <f t="shared" si="28"/>
        <v>0</v>
      </c>
      <c r="V352" s="211">
        <f t="shared" si="28"/>
        <v>0</v>
      </c>
    </row>
    <row r="353" spans="2:22" x14ac:dyDescent="0.4">
      <c r="B353" s="194" t="s">
        <v>959</v>
      </c>
      <c r="C353" s="35"/>
      <c r="D353" s="291"/>
      <c r="E353" s="461"/>
      <c r="F353" s="212"/>
      <c r="G353" s="212"/>
      <c r="H353" s="213"/>
      <c r="I353" s="27"/>
      <c r="J353" s="207">
        <f t="shared" si="29"/>
        <v>0</v>
      </c>
      <c r="K353" s="207">
        <f t="shared" si="30"/>
        <v>0</v>
      </c>
      <c r="L353" s="208">
        <f>K353*係数!$H$30</f>
        <v>0</v>
      </c>
      <c r="M353" s="35"/>
      <c r="N353" s="27"/>
      <c r="O353" s="27"/>
      <c r="P353" s="213"/>
      <c r="Q353" s="27"/>
      <c r="R353" s="462">
        <f t="shared" si="26"/>
        <v>0</v>
      </c>
      <c r="S353" s="12">
        <f t="shared" si="27"/>
        <v>0</v>
      </c>
      <c r="T353" s="208">
        <f>S353*係数!$H$30</f>
        <v>0</v>
      </c>
      <c r="U353" s="12">
        <f t="shared" si="28"/>
        <v>0</v>
      </c>
      <c r="V353" s="211">
        <f t="shared" si="28"/>
        <v>0</v>
      </c>
    </row>
    <row r="354" spans="2:22" x14ac:dyDescent="0.4">
      <c r="B354" s="194" t="s">
        <v>960</v>
      </c>
      <c r="C354" s="35"/>
      <c r="D354" s="291"/>
      <c r="E354" s="461"/>
      <c r="F354" s="212"/>
      <c r="G354" s="212"/>
      <c r="H354" s="213"/>
      <c r="I354" s="27"/>
      <c r="J354" s="207">
        <f t="shared" si="29"/>
        <v>0</v>
      </c>
      <c r="K354" s="207">
        <f t="shared" si="30"/>
        <v>0</v>
      </c>
      <c r="L354" s="208">
        <f>K354*係数!$H$30</f>
        <v>0</v>
      </c>
      <c r="M354" s="35"/>
      <c r="N354" s="27"/>
      <c r="O354" s="27"/>
      <c r="P354" s="213"/>
      <c r="Q354" s="27"/>
      <c r="R354" s="462">
        <f t="shared" si="26"/>
        <v>0</v>
      </c>
      <c r="S354" s="12">
        <f t="shared" si="27"/>
        <v>0</v>
      </c>
      <c r="T354" s="208">
        <f>S354*係数!$H$30</f>
        <v>0</v>
      </c>
      <c r="U354" s="12">
        <f t="shared" si="28"/>
        <v>0</v>
      </c>
      <c r="V354" s="211">
        <f t="shared" si="28"/>
        <v>0</v>
      </c>
    </row>
    <row r="355" spans="2:22" x14ac:dyDescent="0.4">
      <c r="B355" s="194" t="s">
        <v>961</v>
      </c>
      <c r="C355" s="35"/>
      <c r="D355" s="291"/>
      <c r="E355" s="461"/>
      <c r="F355" s="212"/>
      <c r="G355" s="212"/>
      <c r="H355" s="213"/>
      <c r="I355" s="27"/>
      <c r="J355" s="207">
        <f t="shared" si="29"/>
        <v>0</v>
      </c>
      <c r="K355" s="207">
        <f t="shared" si="30"/>
        <v>0</v>
      </c>
      <c r="L355" s="208">
        <f>K355*係数!$H$30</f>
        <v>0</v>
      </c>
      <c r="M355" s="35"/>
      <c r="N355" s="27"/>
      <c r="O355" s="27"/>
      <c r="P355" s="213"/>
      <c r="Q355" s="27"/>
      <c r="R355" s="462">
        <f t="shared" si="26"/>
        <v>0</v>
      </c>
      <c r="S355" s="12">
        <f t="shared" si="27"/>
        <v>0</v>
      </c>
      <c r="T355" s="208">
        <f>S355*係数!$H$30</f>
        <v>0</v>
      </c>
      <c r="U355" s="12">
        <f t="shared" si="28"/>
        <v>0</v>
      </c>
      <c r="V355" s="211">
        <f t="shared" si="28"/>
        <v>0</v>
      </c>
    </row>
    <row r="356" spans="2:22" x14ac:dyDescent="0.4">
      <c r="B356" s="194" t="s">
        <v>962</v>
      </c>
      <c r="C356" s="35"/>
      <c r="D356" s="291"/>
      <c r="E356" s="461"/>
      <c r="F356" s="212"/>
      <c r="G356" s="212"/>
      <c r="H356" s="213"/>
      <c r="I356" s="27"/>
      <c r="J356" s="207">
        <f t="shared" si="29"/>
        <v>0</v>
      </c>
      <c r="K356" s="207">
        <f t="shared" si="30"/>
        <v>0</v>
      </c>
      <c r="L356" s="208">
        <f>K356*係数!$H$30</f>
        <v>0</v>
      </c>
      <c r="M356" s="35"/>
      <c r="N356" s="27"/>
      <c r="O356" s="27"/>
      <c r="P356" s="213"/>
      <c r="Q356" s="27"/>
      <c r="R356" s="462">
        <f t="shared" si="26"/>
        <v>0</v>
      </c>
      <c r="S356" s="12">
        <f t="shared" si="27"/>
        <v>0</v>
      </c>
      <c r="T356" s="208">
        <f>S356*係数!$H$30</f>
        <v>0</v>
      </c>
      <c r="U356" s="12">
        <f t="shared" si="28"/>
        <v>0</v>
      </c>
      <c r="V356" s="211">
        <f t="shared" si="28"/>
        <v>0</v>
      </c>
    </row>
    <row r="357" spans="2:22" x14ac:dyDescent="0.4">
      <c r="B357" s="194" t="s">
        <v>963</v>
      </c>
      <c r="C357" s="35"/>
      <c r="D357" s="291"/>
      <c r="E357" s="461"/>
      <c r="F357" s="212"/>
      <c r="G357" s="212"/>
      <c r="H357" s="213"/>
      <c r="I357" s="27"/>
      <c r="J357" s="207">
        <f t="shared" si="29"/>
        <v>0</v>
      </c>
      <c r="K357" s="207">
        <f t="shared" si="30"/>
        <v>0</v>
      </c>
      <c r="L357" s="208">
        <f>K357*係数!$H$30</f>
        <v>0</v>
      </c>
      <c r="M357" s="35"/>
      <c r="N357" s="27"/>
      <c r="O357" s="27"/>
      <c r="P357" s="213"/>
      <c r="Q357" s="27"/>
      <c r="R357" s="462">
        <f t="shared" si="26"/>
        <v>0</v>
      </c>
      <c r="S357" s="12">
        <f t="shared" si="27"/>
        <v>0</v>
      </c>
      <c r="T357" s="208">
        <f>S357*係数!$H$30</f>
        <v>0</v>
      </c>
      <c r="U357" s="12">
        <f t="shared" si="28"/>
        <v>0</v>
      </c>
      <c r="V357" s="211">
        <f t="shared" si="28"/>
        <v>0</v>
      </c>
    </row>
    <row r="358" spans="2:22" x14ac:dyDescent="0.4">
      <c r="B358" s="194" t="s">
        <v>964</v>
      </c>
      <c r="C358" s="35"/>
      <c r="D358" s="291"/>
      <c r="E358" s="461"/>
      <c r="F358" s="212"/>
      <c r="G358" s="212"/>
      <c r="H358" s="213"/>
      <c r="I358" s="27"/>
      <c r="J358" s="207">
        <f t="shared" si="29"/>
        <v>0</v>
      </c>
      <c r="K358" s="207">
        <f t="shared" si="30"/>
        <v>0</v>
      </c>
      <c r="L358" s="208">
        <f>K358*係数!$H$30</f>
        <v>0</v>
      </c>
      <c r="M358" s="35"/>
      <c r="N358" s="27"/>
      <c r="O358" s="27"/>
      <c r="P358" s="213"/>
      <c r="Q358" s="27"/>
      <c r="R358" s="462">
        <f t="shared" si="26"/>
        <v>0</v>
      </c>
      <c r="S358" s="12">
        <f t="shared" si="27"/>
        <v>0</v>
      </c>
      <c r="T358" s="208">
        <f>S358*係数!$H$30</f>
        <v>0</v>
      </c>
      <c r="U358" s="12">
        <f t="shared" si="28"/>
        <v>0</v>
      </c>
      <c r="V358" s="211">
        <f t="shared" si="28"/>
        <v>0</v>
      </c>
    </row>
    <row r="359" spans="2:22" x14ac:dyDescent="0.4">
      <c r="B359" s="194" t="s">
        <v>965</v>
      </c>
      <c r="C359" s="35"/>
      <c r="D359" s="291"/>
      <c r="E359" s="461"/>
      <c r="F359" s="212"/>
      <c r="G359" s="212"/>
      <c r="H359" s="213"/>
      <c r="I359" s="27"/>
      <c r="J359" s="207">
        <f t="shared" si="29"/>
        <v>0</v>
      </c>
      <c r="K359" s="207">
        <f t="shared" si="30"/>
        <v>0</v>
      </c>
      <c r="L359" s="208">
        <f>K359*係数!$H$30</f>
        <v>0</v>
      </c>
      <c r="M359" s="35"/>
      <c r="N359" s="27"/>
      <c r="O359" s="27"/>
      <c r="P359" s="213"/>
      <c r="Q359" s="27"/>
      <c r="R359" s="462">
        <f t="shared" si="26"/>
        <v>0</v>
      </c>
      <c r="S359" s="12">
        <f t="shared" si="27"/>
        <v>0</v>
      </c>
      <c r="T359" s="208">
        <f>S359*係数!$H$30</f>
        <v>0</v>
      </c>
      <c r="U359" s="12">
        <f t="shared" si="28"/>
        <v>0</v>
      </c>
      <c r="V359" s="211">
        <f t="shared" si="28"/>
        <v>0</v>
      </c>
    </row>
    <row r="360" spans="2:22" x14ac:dyDescent="0.4">
      <c r="B360" s="194" t="s">
        <v>966</v>
      </c>
      <c r="C360" s="35"/>
      <c r="D360" s="291"/>
      <c r="E360" s="461"/>
      <c r="F360" s="212"/>
      <c r="G360" s="212"/>
      <c r="H360" s="213"/>
      <c r="I360" s="27"/>
      <c r="J360" s="207">
        <f t="shared" si="29"/>
        <v>0</v>
      </c>
      <c r="K360" s="207">
        <f t="shared" si="30"/>
        <v>0</v>
      </c>
      <c r="L360" s="208">
        <f>K360*係数!$H$30</f>
        <v>0</v>
      </c>
      <c r="M360" s="35"/>
      <c r="N360" s="27"/>
      <c r="O360" s="27"/>
      <c r="P360" s="213"/>
      <c r="Q360" s="27"/>
      <c r="R360" s="462">
        <f t="shared" si="26"/>
        <v>0</v>
      </c>
      <c r="S360" s="12">
        <f t="shared" si="27"/>
        <v>0</v>
      </c>
      <c r="T360" s="208">
        <f>S360*係数!$H$30</f>
        <v>0</v>
      </c>
      <c r="U360" s="12">
        <f t="shared" si="28"/>
        <v>0</v>
      </c>
      <c r="V360" s="211">
        <f t="shared" si="28"/>
        <v>0</v>
      </c>
    </row>
    <row r="361" spans="2:22" x14ac:dyDescent="0.4">
      <c r="B361" s="194" t="s">
        <v>967</v>
      </c>
      <c r="C361" s="35"/>
      <c r="D361" s="291"/>
      <c r="E361" s="461"/>
      <c r="F361" s="212"/>
      <c r="G361" s="212"/>
      <c r="H361" s="213"/>
      <c r="I361" s="27"/>
      <c r="J361" s="207">
        <f t="shared" si="29"/>
        <v>0</v>
      </c>
      <c r="K361" s="207">
        <f t="shared" si="30"/>
        <v>0</v>
      </c>
      <c r="L361" s="208">
        <f>K361*係数!$H$30</f>
        <v>0</v>
      </c>
      <c r="M361" s="35"/>
      <c r="N361" s="27"/>
      <c r="O361" s="27"/>
      <c r="P361" s="213"/>
      <c r="Q361" s="27"/>
      <c r="R361" s="462">
        <f t="shared" si="26"/>
        <v>0</v>
      </c>
      <c r="S361" s="12">
        <f t="shared" si="27"/>
        <v>0</v>
      </c>
      <c r="T361" s="208">
        <f>S361*係数!$H$30</f>
        <v>0</v>
      </c>
      <c r="U361" s="12">
        <f t="shared" si="28"/>
        <v>0</v>
      </c>
      <c r="V361" s="211">
        <f t="shared" si="28"/>
        <v>0</v>
      </c>
    </row>
    <row r="362" spans="2:22" x14ac:dyDescent="0.4">
      <c r="B362" s="194" t="s">
        <v>968</v>
      </c>
      <c r="C362" s="35"/>
      <c r="D362" s="291"/>
      <c r="E362" s="461"/>
      <c r="F362" s="212"/>
      <c r="G362" s="212"/>
      <c r="H362" s="213"/>
      <c r="I362" s="27"/>
      <c r="J362" s="207">
        <f t="shared" si="29"/>
        <v>0</v>
      </c>
      <c r="K362" s="207">
        <f t="shared" si="30"/>
        <v>0</v>
      </c>
      <c r="L362" s="208">
        <f>K362*係数!$H$30</f>
        <v>0</v>
      </c>
      <c r="M362" s="35"/>
      <c r="N362" s="27"/>
      <c r="O362" s="27"/>
      <c r="P362" s="213"/>
      <c r="Q362" s="27"/>
      <c r="R362" s="462">
        <f t="shared" si="26"/>
        <v>0</v>
      </c>
      <c r="S362" s="12">
        <f t="shared" si="27"/>
        <v>0</v>
      </c>
      <c r="T362" s="208">
        <f>S362*係数!$H$30</f>
        <v>0</v>
      </c>
      <c r="U362" s="12">
        <f t="shared" si="28"/>
        <v>0</v>
      </c>
      <c r="V362" s="211">
        <f t="shared" si="28"/>
        <v>0</v>
      </c>
    </row>
    <row r="363" spans="2:22" x14ac:dyDescent="0.4">
      <c r="B363" s="194" t="s">
        <v>969</v>
      </c>
      <c r="C363" s="35"/>
      <c r="D363" s="291"/>
      <c r="E363" s="461"/>
      <c r="F363" s="212"/>
      <c r="G363" s="212"/>
      <c r="H363" s="213"/>
      <c r="I363" s="27"/>
      <c r="J363" s="207">
        <f t="shared" si="29"/>
        <v>0</v>
      </c>
      <c r="K363" s="207">
        <f t="shared" si="30"/>
        <v>0</v>
      </c>
      <c r="L363" s="208">
        <f>K363*係数!$H$30</f>
        <v>0</v>
      </c>
      <c r="M363" s="35"/>
      <c r="N363" s="27"/>
      <c r="O363" s="27"/>
      <c r="P363" s="213"/>
      <c r="Q363" s="27"/>
      <c r="R363" s="462">
        <f t="shared" si="26"/>
        <v>0</v>
      </c>
      <c r="S363" s="12">
        <f t="shared" si="27"/>
        <v>0</v>
      </c>
      <c r="T363" s="208">
        <f>S363*係数!$H$30</f>
        <v>0</v>
      </c>
      <c r="U363" s="12">
        <f t="shared" si="28"/>
        <v>0</v>
      </c>
      <c r="V363" s="211">
        <f t="shared" si="28"/>
        <v>0</v>
      </c>
    </row>
    <row r="364" spans="2:22" x14ac:dyDescent="0.4">
      <c r="B364" s="194" t="s">
        <v>970</v>
      </c>
      <c r="C364" s="35"/>
      <c r="D364" s="291"/>
      <c r="E364" s="461"/>
      <c r="F364" s="212"/>
      <c r="G364" s="212"/>
      <c r="H364" s="213"/>
      <c r="I364" s="27"/>
      <c r="J364" s="207">
        <f t="shared" si="29"/>
        <v>0</v>
      </c>
      <c r="K364" s="207">
        <f t="shared" si="30"/>
        <v>0</v>
      </c>
      <c r="L364" s="208">
        <f>K364*係数!$H$30</f>
        <v>0</v>
      </c>
      <c r="M364" s="35"/>
      <c r="N364" s="27"/>
      <c r="O364" s="27"/>
      <c r="P364" s="213"/>
      <c r="Q364" s="27"/>
      <c r="R364" s="462">
        <f t="shared" si="26"/>
        <v>0</v>
      </c>
      <c r="S364" s="12">
        <f t="shared" si="27"/>
        <v>0</v>
      </c>
      <c r="T364" s="208">
        <f>S364*係数!$H$30</f>
        <v>0</v>
      </c>
      <c r="U364" s="12">
        <f t="shared" si="28"/>
        <v>0</v>
      </c>
      <c r="V364" s="211">
        <f t="shared" si="28"/>
        <v>0</v>
      </c>
    </row>
    <row r="365" spans="2:22" x14ac:dyDescent="0.4">
      <c r="B365" s="194" t="s">
        <v>971</v>
      </c>
      <c r="C365" s="35"/>
      <c r="D365" s="291"/>
      <c r="E365" s="461"/>
      <c r="F365" s="212"/>
      <c r="G365" s="212"/>
      <c r="H365" s="213"/>
      <c r="I365" s="27"/>
      <c r="J365" s="207">
        <f t="shared" si="29"/>
        <v>0</v>
      </c>
      <c r="K365" s="207">
        <f t="shared" si="30"/>
        <v>0</v>
      </c>
      <c r="L365" s="208">
        <f>K365*係数!$H$30</f>
        <v>0</v>
      </c>
      <c r="M365" s="35"/>
      <c r="N365" s="27"/>
      <c r="O365" s="27"/>
      <c r="P365" s="213"/>
      <c r="Q365" s="27"/>
      <c r="R365" s="462">
        <f t="shared" si="26"/>
        <v>0</v>
      </c>
      <c r="S365" s="12">
        <f t="shared" si="27"/>
        <v>0</v>
      </c>
      <c r="T365" s="208">
        <f>S365*係数!$H$30</f>
        <v>0</v>
      </c>
      <c r="U365" s="12">
        <f t="shared" si="28"/>
        <v>0</v>
      </c>
      <c r="V365" s="211">
        <f t="shared" si="28"/>
        <v>0</v>
      </c>
    </row>
    <row r="366" spans="2:22" x14ac:dyDescent="0.4">
      <c r="B366" s="194" t="s">
        <v>972</v>
      </c>
      <c r="C366" s="35"/>
      <c r="D366" s="291"/>
      <c r="E366" s="461"/>
      <c r="F366" s="212"/>
      <c r="G366" s="212"/>
      <c r="H366" s="213"/>
      <c r="I366" s="27"/>
      <c r="J366" s="207">
        <f t="shared" si="29"/>
        <v>0</v>
      </c>
      <c r="K366" s="207">
        <f t="shared" si="30"/>
        <v>0</v>
      </c>
      <c r="L366" s="208">
        <f>K366*係数!$H$30</f>
        <v>0</v>
      </c>
      <c r="M366" s="35"/>
      <c r="N366" s="27"/>
      <c r="O366" s="27"/>
      <c r="P366" s="213"/>
      <c r="Q366" s="27"/>
      <c r="R366" s="462">
        <f t="shared" si="26"/>
        <v>0</v>
      </c>
      <c r="S366" s="12">
        <f t="shared" si="27"/>
        <v>0</v>
      </c>
      <c r="T366" s="208">
        <f>S366*係数!$H$30</f>
        <v>0</v>
      </c>
      <c r="U366" s="12">
        <f t="shared" si="28"/>
        <v>0</v>
      </c>
      <c r="V366" s="211">
        <f t="shared" si="28"/>
        <v>0</v>
      </c>
    </row>
    <row r="367" spans="2:22" x14ac:dyDescent="0.4">
      <c r="B367" s="194" t="s">
        <v>973</v>
      </c>
      <c r="C367" s="35"/>
      <c r="D367" s="291"/>
      <c r="E367" s="461"/>
      <c r="F367" s="212"/>
      <c r="G367" s="212"/>
      <c r="H367" s="213"/>
      <c r="I367" s="27"/>
      <c r="J367" s="207">
        <f t="shared" si="29"/>
        <v>0</v>
      </c>
      <c r="K367" s="207">
        <f t="shared" si="30"/>
        <v>0</v>
      </c>
      <c r="L367" s="208">
        <f>K367*係数!$H$30</f>
        <v>0</v>
      </c>
      <c r="M367" s="35"/>
      <c r="N367" s="27"/>
      <c r="O367" s="27"/>
      <c r="P367" s="213"/>
      <c r="Q367" s="27"/>
      <c r="R367" s="462">
        <f t="shared" si="26"/>
        <v>0</v>
      </c>
      <c r="S367" s="12">
        <f t="shared" si="27"/>
        <v>0</v>
      </c>
      <c r="T367" s="208">
        <f>S367*係数!$H$30</f>
        <v>0</v>
      </c>
      <c r="U367" s="12">
        <f t="shared" si="28"/>
        <v>0</v>
      </c>
      <c r="V367" s="211">
        <f t="shared" si="28"/>
        <v>0</v>
      </c>
    </row>
    <row r="368" spans="2:22" x14ac:dyDescent="0.4">
      <c r="B368" s="194" t="s">
        <v>974</v>
      </c>
      <c r="C368" s="35"/>
      <c r="D368" s="291"/>
      <c r="E368" s="461"/>
      <c r="F368" s="212"/>
      <c r="G368" s="212"/>
      <c r="H368" s="213"/>
      <c r="I368" s="27"/>
      <c r="J368" s="207">
        <f t="shared" si="29"/>
        <v>0</v>
      </c>
      <c r="K368" s="207">
        <f t="shared" si="30"/>
        <v>0</v>
      </c>
      <c r="L368" s="208">
        <f>K368*係数!$H$30</f>
        <v>0</v>
      </c>
      <c r="M368" s="35"/>
      <c r="N368" s="27"/>
      <c r="O368" s="27"/>
      <c r="P368" s="213"/>
      <c r="Q368" s="27"/>
      <c r="R368" s="462">
        <f t="shared" si="26"/>
        <v>0</v>
      </c>
      <c r="S368" s="12">
        <f t="shared" si="27"/>
        <v>0</v>
      </c>
      <c r="T368" s="208">
        <f>S368*係数!$H$30</f>
        <v>0</v>
      </c>
      <c r="U368" s="12">
        <f t="shared" si="28"/>
        <v>0</v>
      </c>
      <c r="V368" s="211">
        <f t="shared" si="28"/>
        <v>0</v>
      </c>
    </row>
    <row r="369" spans="2:22" x14ac:dyDescent="0.4">
      <c r="B369" s="194" t="s">
        <v>975</v>
      </c>
      <c r="C369" s="35"/>
      <c r="D369" s="291"/>
      <c r="E369" s="461"/>
      <c r="F369" s="212"/>
      <c r="G369" s="212"/>
      <c r="H369" s="213"/>
      <c r="I369" s="27"/>
      <c r="J369" s="207">
        <f t="shared" si="29"/>
        <v>0</v>
      </c>
      <c r="K369" s="207">
        <f t="shared" si="30"/>
        <v>0</v>
      </c>
      <c r="L369" s="208">
        <f>K369*係数!$H$30</f>
        <v>0</v>
      </c>
      <c r="M369" s="35"/>
      <c r="N369" s="27"/>
      <c r="O369" s="27"/>
      <c r="P369" s="213"/>
      <c r="Q369" s="27"/>
      <c r="R369" s="462">
        <f t="shared" si="26"/>
        <v>0</v>
      </c>
      <c r="S369" s="12">
        <f t="shared" si="27"/>
        <v>0</v>
      </c>
      <c r="T369" s="208">
        <f>S369*係数!$H$30</f>
        <v>0</v>
      </c>
      <c r="U369" s="12">
        <f t="shared" si="28"/>
        <v>0</v>
      </c>
      <c r="V369" s="211">
        <f t="shared" si="28"/>
        <v>0</v>
      </c>
    </row>
    <row r="370" spans="2:22" x14ac:dyDescent="0.4">
      <c r="B370" s="194" t="s">
        <v>976</v>
      </c>
      <c r="C370" s="35"/>
      <c r="D370" s="291"/>
      <c r="E370" s="461"/>
      <c r="F370" s="212"/>
      <c r="G370" s="212"/>
      <c r="H370" s="213"/>
      <c r="I370" s="27"/>
      <c r="J370" s="207">
        <f t="shared" si="29"/>
        <v>0</v>
      </c>
      <c r="K370" s="207">
        <f t="shared" si="30"/>
        <v>0</v>
      </c>
      <c r="L370" s="208">
        <f>K370*係数!$H$30</f>
        <v>0</v>
      </c>
      <c r="M370" s="35"/>
      <c r="N370" s="27"/>
      <c r="O370" s="27"/>
      <c r="P370" s="213"/>
      <c r="Q370" s="27"/>
      <c r="R370" s="462">
        <f t="shared" si="26"/>
        <v>0</v>
      </c>
      <c r="S370" s="12">
        <f t="shared" si="27"/>
        <v>0</v>
      </c>
      <c r="T370" s="208">
        <f>S370*係数!$H$30</f>
        <v>0</v>
      </c>
      <c r="U370" s="12">
        <f t="shared" si="28"/>
        <v>0</v>
      </c>
      <c r="V370" s="211">
        <f t="shared" si="28"/>
        <v>0</v>
      </c>
    </row>
    <row r="371" spans="2:22" x14ac:dyDescent="0.4">
      <c r="B371" s="194" t="s">
        <v>977</v>
      </c>
      <c r="C371" s="35"/>
      <c r="D371" s="291"/>
      <c r="E371" s="461"/>
      <c r="F371" s="212"/>
      <c r="G371" s="212"/>
      <c r="H371" s="213"/>
      <c r="I371" s="27"/>
      <c r="J371" s="207">
        <f t="shared" si="29"/>
        <v>0</v>
      </c>
      <c r="K371" s="207">
        <f t="shared" si="30"/>
        <v>0</v>
      </c>
      <c r="L371" s="208">
        <f>K371*係数!$H$30</f>
        <v>0</v>
      </c>
      <c r="M371" s="35"/>
      <c r="N371" s="27"/>
      <c r="O371" s="27"/>
      <c r="P371" s="213"/>
      <c r="Q371" s="27"/>
      <c r="R371" s="462">
        <f t="shared" si="26"/>
        <v>0</v>
      </c>
      <c r="S371" s="12">
        <f t="shared" si="27"/>
        <v>0</v>
      </c>
      <c r="T371" s="208">
        <f>S371*係数!$H$30</f>
        <v>0</v>
      </c>
      <c r="U371" s="12">
        <f t="shared" si="28"/>
        <v>0</v>
      </c>
      <c r="V371" s="211">
        <f t="shared" si="28"/>
        <v>0</v>
      </c>
    </row>
    <row r="372" spans="2:22" x14ac:dyDescent="0.4">
      <c r="B372" s="194" t="s">
        <v>978</v>
      </c>
      <c r="C372" s="35"/>
      <c r="D372" s="291"/>
      <c r="E372" s="461"/>
      <c r="F372" s="212"/>
      <c r="G372" s="212"/>
      <c r="H372" s="213"/>
      <c r="I372" s="27"/>
      <c r="J372" s="207">
        <f t="shared" si="29"/>
        <v>0</v>
      </c>
      <c r="K372" s="207">
        <f t="shared" si="30"/>
        <v>0</v>
      </c>
      <c r="L372" s="208">
        <f>K372*係数!$H$30</f>
        <v>0</v>
      </c>
      <c r="M372" s="35"/>
      <c r="N372" s="27"/>
      <c r="O372" s="27"/>
      <c r="P372" s="213"/>
      <c r="Q372" s="27"/>
      <c r="R372" s="462">
        <f t="shared" si="26"/>
        <v>0</v>
      </c>
      <c r="S372" s="12">
        <f t="shared" si="27"/>
        <v>0</v>
      </c>
      <c r="T372" s="208">
        <f>S372*係数!$H$30</f>
        <v>0</v>
      </c>
      <c r="U372" s="12">
        <f t="shared" si="28"/>
        <v>0</v>
      </c>
      <c r="V372" s="211">
        <f t="shared" si="28"/>
        <v>0</v>
      </c>
    </row>
    <row r="373" spans="2:22" x14ac:dyDescent="0.4">
      <c r="B373" s="194" t="s">
        <v>979</v>
      </c>
      <c r="C373" s="35"/>
      <c r="D373" s="291"/>
      <c r="E373" s="461"/>
      <c r="F373" s="212"/>
      <c r="G373" s="212"/>
      <c r="H373" s="213"/>
      <c r="I373" s="27"/>
      <c r="J373" s="207">
        <f t="shared" si="29"/>
        <v>0</v>
      </c>
      <c r="K373" s="207">
        <f t="shared" si="30"/>
        <v>0</v>
      </c>
      <c r="L373" s="208">
        <f>K373*係数!$H$30</f>
        <v>0</v>
      </c>
      <c r="M373" s="35"/>
      <c r="N373" s="27"/>
      <c r="O373" s="27"/>
      <c r="P373" s="213"/>
      <c r="Q373" s="27"/>
      <c r="R373" s="462">
        <f t="shared" si="26"/>
        <v>0</v>
      </c>
      <c r="S373" s="12">
        <f t="shared" si="27"/>
        <v>0</v>
      </c>
      <c r="T373" s="208">
        <f>S373*係数!$H$30</f>
        <v>0</v>
      </c>
      <c r="U373" s="12">
        <f t="shared" si="28"/>
        <v>0</v>
      </c>
      <c r="V373" s="211">
        <f t="shared" si="28"/>
        <v>0</v>
      </c>
    </row>
    <row r="374" spans="2:22" x14ac:dyDescent="0.4">
      <c r="B374" s="194" t="s">
        <v>980</v>
      </c>
      <c r="C374" s="35"/>
      <c r="D374" s="291"/>
      <c r="E374" s="461"/>
      <c r="F374" s="212"/>
      <c r="G374" s="212"/>
      <c r="H374" s="213"/>
      <c r="I374" s="27"/>
      <c r="J374" s="207">
        <f t="shared" si="29"/>
        <v>0</v>
      </c>
      <c r="K374" s="207">
        <f t="shared" si="30"/>
        <v>0</v>
      </c>
      <c r="L374" s="208">
        <f>K374*係数!$H$30</f>
        <v>0</v>
      </c>
      <c r="M374" s="35"/>
      <c r="N374" s="27"/>
      <c r="O374" s="27"/>
      <c r="P374" s="213"/>
      <c r="Q374" s="27"/>
      <c r="R374" s="462">
        <f t="shared" si="26"/>
        <v>0</v>
      </c>
      <c r="S374" s="12">
        <f t="shared" si="27"/>
        <v>0</v>
      </c>
      <c r="T374" s="208">
        <f>S374*係数!$H$30</f>
        <v>0</v>
      </c>
      <c r="U374" s="12">
        <f t="shared" si="28"/>
        <v>0</v>
      </c>
      <c r="V374" s="211">
        <f t="shared" si="28"/>
        <v>0</v>
      </c>
    </row>
    <row r="375" spans="2:22" x14ac:dyDescent="0.4">
      <c r="B375" s="194" t="s">
        <v>981</v>
      </c>
      <c r="C375" s="35"/>
      <c r="D375" s="291"/>
      <c r="E375" s="461"/>
      <c r="F375" s="212"/>
      <c r="G375" s="212"/>
      <c r="H375" s="213"/>
      <c r="I375" s="27"/>
      <c r="J375" s="207">
        <f t="shared" si="29"/>
        <v>0</v>
      </c>
      <c r="K375" s="207">
        <f t="shared" si="30"/>
        <v>0</v>
      </c>
      <c r="L375" s="208">
        <f>K375*係数!$H$30</f>
        <v>0</v>
      </c>
      <c r="M375" s="35"/>
      <c r="N375" s="27"/>
      <c r="O375" s="27"/>
      <c r="P375" s="213"/>
      <c r="Q375" s="27"/>
      <c r="R375" s="462">
        <f t="shared" si="26"/>
        <v>0</v>
      </c>
      <c r="S375" s="12">
        <f t="shared" si="27"/>
        <v>0</v>
      </c>
      <c r="T375" s="208">
        <f>S375*係数!$H$30</f>
        <v>0</v>
      </c>
      <c r="U375" s="12">
        <f t="shared" si="28"/>
        <v>0</v>
      </c>
      <c r="V375" s="211">
        <f t="shared" si="28"/>
        <v>0</v>
      </c>
    </row>
    <row r="376" spans="2:22" x14ac:dyDescent="0.4">
      <c r="B376" s="194" t="s">
        <v>982</v>
      </c>
      <c r="C376" s="35"/>
      <c r="D376" s="291"/>
      <c r="E376" s="461"/>
      <c r="F376" s="212"/>
      <c r="G376" s="212"/>
      <c r="H376" s="213"/>
      <c r="I376" s="27"/>
      <c r="J376" s="207">
        <f t="shared" si="29"/>
        <v>0</v>
      </c>
      <c r="K376" s="207">
        <f t="shared" si="30"/>
        <v>0</v>
      </c>
      <c r="L376" s="208">
        <f>K376*係数!$H$30</f>
        <v>0</v>
      </c>
      <c r="M376" s="35"/>
      <c r="N376" s="27"/>
      <c r="O376" s="27"/>
      <c r="P376" s="213"/>
      <c r="Q376" s="27"/>
      <c r="R376" s="462">
        <f t="shared" si="26"/>
        <v>0</v>
      </c>
      <c r="S376" s="12">
        <f t="shared" si="27"/>
        <v>0</v>
      </c>
      <c r="T376" s="208">
        <f>S376*係数!$H$30</f>
        <v>0</v>
      </c>
      <c r="U376" s="12">
        <f t="shared" si="28"/>
        <v>0</v>
      </c>
      <c r="V376" s="211">
        <f t="shared" si="28"/>
        <v>0</v>
      </c>
    </row>
    <row r="377" spans="2:22" x14ac:dyDescent="0.4">
      <c r="B377" s="194" t="s">
        <v>983</v>
      </c>
      <c r="C377" s="35"/>
      <c r="D377" s="291"/>
      <c r="E377" s="461"/>
      <c r="F377" s="212"/>
      <c r="G377" s="212"/>
      <c r="H377" s="213"/>
      <c r="I377" s="27"/>
      <c r="J377" s="207">
        <f t="shared" si="29"/>
        <v>0</v>
      </c>
      <c r="K377" s="207">
        <f t="shared" si="30"/>
        <v>0</v>
      </c>
      <c r="L377" s="208">
        <f>K377*係数!$H$30</f>
        <v>0</v>
      </c>
      <c r="M377" s="35"/>
      <c r="N377" s="27"/>
      <c r="O377" s="27"/>
      <c r="P377" s="213"/>
      <c r="Q377" s="27"/>
      <c r="R377" s="462">
        <f t="shared" si="26"/>
        <v>0</v>
      </c>
      <c r="S377" s="12">
        <f t="shared" si="27"/>
        <v>0</v>
      </c>
      <c r="T377" s="208">
        <f>S377*係数!$H$30</f>
        <v>0</v>
      </c>
      <c r="U377" s="12">
        <f t="shared" si="28"/>
        <v>0</v>
      </c>
      <c r="V377" s="211">
        <f t="shared" si="28"/>
        <v>0</v>
      </c>
    </row>
    <row r="378" spans="2:22" x14ac:dyDescent="0.4">
      <c r="B378" s="194" t="s">
        <v>984</v>
      </c>
      <c r="C378" s="35"/>
      <c r="D378" s="291"/>
      <c r="E378" s="461"/>
      <c r="F378" s="212"/>
      <c r="G378" s="212"/>
      <c r="H378" s="213"/>
      <c r="I378" s="27"/>
      <c r="J378" s="207">
        <f t="shared" si="29"/>
        <v>0</v>
      </c>
      <c r="K378" s="207">
        <f t="shared" si="30"/>
        <v>0</v>
      </c>
      <c r="L378" s="208">
        <f>K378*係数!$H$30</f>
        <v>0</v>
      </c>
      <c r="M378" s="35"/>
      <c r="N378" s="27"/>
      <c r="O378" s="27"/>
      <c r="P378" s="213"/>
      <c r="Q378" s="27"/>
      <c r="R378" s="462">
        <f t="shared" si="26"/>
        <v>0</v>
      </c>
      <c r="S378" s="12">
        <f t="shared" si="27"/>
        <v>0</v>
      </c>
      <c r="T378" s="208">
        <f>S378*係数!$H$30</f>
        <v>0</v>
      </c>
      <c r="U378" s="12">
        <f t="shared" si="28"/>
        <v>0</v>
      </c>
      <c r="V378" s="211">
        <f t="shared" si="28"/>
        <v>0</v>
      </c>
    </row>
    <row r="379" spans="2:22" x14ac:dyDescent="0.4">
      <c r="B379" s="194" t="s">
        <v>985</v>
      </c>
      <c r="C379" s="35"/>
      <c r="D379" s="291"/>
      <c r="E379" s="461"/>
      <c r="F379" s="212"/>
      <c r="G379" s="212"/>
      <c r="H379" s="213"/>
      <c r="I379" s="27"/>
      <c r="J379" s="207">
        <f t="shared" si="29"/>
        <v>0</v>
      </c>
      <c r="K379" s="207">
        <f t="shared" si="30"/>
        <v>0</v>
      </c>
      <c r="L379" s="208">
        <f>K379*係数!$H$30</f>
        <v>0</v>
      </c>
      <c r="M379" s="35"/>
      <c r="N379" s="27"/>
      <c r="O379" s="27"/>
      <c r="P379" s="213"/>
      <c r="Q379" s="27"/>
      <c r="R379" s="462">
        <f t="shared" si="26"/>
        <v>0</v>
      </c>
      <c r="S379" s="12">
        <f t="shared" si="27"/>
        <v>0</v>
      </c>
      <c r="T379" s="208">
        <f>S379*係数!$H$30</f>
        <v>0</v>
      </c>
      <c r="U379" s="12">
        <f t="shared" si="28"/>
        <v>0</v>
      </c>
      <c r="V379" s="211">
        <f t="shared" si="28"/>
        <v>0</v>
      </c>
    </row>
    <row r="380" spans="2:22" x14ac:dyDescent="0.4">
      <c r="B380" s="194" t="s">
        <v>986</v>
      </c>
      <c r="C380" s="35"/>
      <c r="D380" s="291"/>
      <c r="E380" s="461"/>
      <c r="F380" s="212"/>
      <c r="G380" s="212"/>
      <c r="H380" s="213"/>
      <c r="I380" s="27"/>
      <c r="J380" s="207">
        <f t="shared" si="29"/>
        <v>0</v>
      </c>
      <c r="K380" s="207">
        <f t="shared" si="30"/>
        <v>0</v>
      </c>
      <c r="L380" s="208">
        <f>K380*係数!$H$30</f>
        <v>0</v>
      </c>
      <c r="M380" s="35"/>
      <c r="N380" s="27"/>
      <c r="O380" s="27"/>
      <c r="P380" s="213"/>
      <c r="Q380" s="27"/>
      <c r="R380" s="462">
        <f t="shared" si="26"/>
        <v>0</v>
      </c>
      <c r="S380" s="12">
        <f t="shared" si="27"/>
        <v>0</v>
      </c>
      <c r="T380" s="208">
        <f>S380*係数!$H$30</f>
        <v>0</v>
      </c>
      <c r="U380" s="12">
        <f t="shared" si="28"/>
        <v>0</v>
      </c>
      <c r="V380" s="211">
        <f t="shared" si="28"/>
        <v>0</v>
      </c>
    </row>
    <row r="381" spans="2:22" x14ac:dyDescent="0.4">
      <c r="B381" s="194" t="s">
        <v>987</v>
      </c>
      <c r="C381" s="35"/>
      <c r="D381" s="291"/>
      <c r="E381" s="461"/>
      <c r="F381" s="212"/>
      <c r="G381" s="212"/>
      <c r="H381" s="213"/>
      <c r="I381" s="27"/>
      <c r="J381" s="207">
        <f t="shared" si="29"/>
        <v>0</v>
      </c>
      <c r="K381" s="207">
        <f t="shared" si="30"/>
        <v>0</v>
      </c>
      <c r="L381" s="208">
        <f>K381*係数!$H$30</f>
        <v>0</v>
      </c>
      <c r="M381" s="35"/>
      <c r="N381" s="27"/>
      <c r="O381" s="27"/>
      <c r="P381" s="213"/>
      <c r="Q381" s="27"/>
      <c r="R381" s="462">
        <f t="shared" si="26"/>
        <v>0</v>
      </c>
      <c r="S381" s="12">
        <f t="shared" si="27"/>
        <v>0</v>
      </c>
      <c r="T381" s="208">
        <f>S381*係数!$H$30</f>
        <v>0</v>
      </c>
      <c r="U381" s="12">
        <f t="shared" si="28"/>
        <v>0</v>
      </c>
      <c r="V381" s="211">
        <f t="shared" si="28"/>
        <v>0</v>
      </c>
    </row>
    <row r="382" spans="2:22" x14ac:dyDescent="0.4">
      <c r="B382" s="194" t="s">
        <v>988</v>
      </c>
      <c r="C382" s="35"/>
      <c r="D382" s="291"/>
      <c r="E382" s="461"/>
      <c r="F382" s="212"/>
      <c r="G382" s="212"/>
      <c r="H382" s="213"/>
      <c r="I382" s="27"/>
      <c r="J382" s="207">
        <f t="shared" si="29"/>
        <v>0</v>
      </c>
      <c r="K382" s="207">
        <f t="shared" si="30"/>
        <v>0</v>
      </c>
      <c r="L382" s="208">
        <f>K382*係数!$H$30</f>
        <v>0</v>
      </c>
      <c r="M382" s="35"/>
      <c r="N382" s="27"/>
      <c r="O382" s="27"/>
      <c r="P382" s="213"/>
      <c r="Q382" s="27"/>
      <c r="R382" s="462">
        <f t="shared" si="26"/>
        <v>0</v>
      </c>
      <c r="S382" s="12">
        <f t="shared" si="27"/>
        <v>0</v>
      </c>
      <c r="T382" s="208">
        <f>S382*係数!$H$30</f>
        <v>0</v>
      </c>
      <c r="U382" s="12">
        <f t="shared" si="28"/>
        <v>0</v>
      </c>
      <c r="V382" s="211">
        <f t="shared" si="28"/>
        <v>0</v>
      </c>
    </row>
    <row r="383" spans="2:22" x14ac:dyDescent="0.4">
      <c r="B383" s="194" t="s">
        <v>989</v>
      </c>
      <c r="C383" s="35"/>
      <c r="D383" s="291"/>
      <c r="E383" s="461"/>
      <c r="F383" s="212"/>
      <c r="G383" s="212"/>
      <c r="H383" s="213"/>
      <c r="I383" s="27"/>
      <c r="J383" s="207">
        <f t="shared" si="29"/>
        <v>0</v>
      </c>
      <c r="K383" s="207">
        <f t="shared" si="30"/>
        <v>0</v>
      </c>
      <c r="L383" s="208">
        <f>K383*係数!$H$30</f>
        <v>0</v>
      </c>
      <c r="M383" s="35"/>
      <c r="N383" s="27"/>
      <c r="O383" s="27"/>
      <c r="P383" s="213"/>
      <c r="Q383" s="27"/>
      <c r="R383" s="462">
        <f t="shared" si="26"/>
        <v>0</v>
      </c>
      <c r="S383" s="12">
        <f t="shared" si="27"/>
        <v>0</v>
      </c>
      <c r="T383" s="208">
        <f>S383*係数!$H$30</f>
        <v>0</v>
      </c>
      <c r="U383" s="12">
        <f t="shared" si="28"/>
        <v>0</v>
      </c>
      <c r="V383" s="211">
        <f t="shared" si="28"/>
        <v>0</v>
      </c>
    </row>
    <row r="384" spans="2:22" x14ac:dyDescent="0.4">
      <c r="B384" s="194" t="s">
        <v>990</v>
      </c>
      <c r="C384" s="35"/>
      <c r="D384" s="291"/>
      <c r="E384" s="461"/>
      <c r="F384" s="212"/>
      <c r="G384" s="212"/>
      <c r="H384" s="213"/>
      <c r="I384" s="27"/>
      <c r="J384" s="207">
        <f t="shared" si="29"/>
        <v>0</v>
      </c>
      <c r="K384" s="207">
        <f t="shared" si="30"/>
        <v>0</v>
      </c>
      <c r="L384" s="208">
        <f>K384*係数!$H$30</f>
        <v>0</v>
      </c>
      <c r="M384" s="35"/>
      <c r="N384" s="27"/>
      <c r="O384" s="27"/>
      <c r="P384" s="213"/>
      <c r="Q384" s="27"/>
      <c r="R384" s="462">
        <f t="shared" si="26"/>
        <v>0</v>
      </c>
      <c r="S384" s="12">
        <f t="shared" si="27"/>
        <v>0</v>
      </c>
      <c r="T384" s="208">
        <f>S384*係数!$H$30</f>
        <v>0</v>
      </c>
      <c r="U384" s="12">
        <f t="shared" si="28"/>
        <v>0</v>
      </c>
      <c r="V384" s="211">
        <f t="shared" si="28"/>
        <v>0</v>
      </c>
    </row>
    <row r="385" spans="2:22" x14ac:dyDescent="0.4">
      <c r="B385" s="194" t="s">
        <v>991</v>
      </c>
      <c r="C385" s="35"/>
      <c r="D385" s="291"/>
      <c r="E385" s="461"/>
      <c r="F385" s="212"/>
      <c r="G385" s="212"/>
      <c r="H385" s="213"/>
      <c r="I385" s="27"/>
      <c r="J385" s="207">
        <f t="shared" si="29"/>
        <v>0</v>
      </c>
      <c r="K385" s="207">
        <f t="shared" si="30"/>
        <v>0</v>
      </c>
      <c r="L385" s="208">
        <f>K385*係数!$H$30</f>
        <v>0</v>
      </c>
      <c r="M385" s="35"/>
      <c r="N385" s="27"/>
      <c r="O385" s="27"/>
      <c r="P385" s="213"/>
      <c r="Q385" s="27"/>
      <c r="R385" s="462">
        <f t="shared" si="26"/>
        <v>0</v>
      </c>
      <c r="S385" s="12">
        <f t="shared" si="27"/>
        <v>0</v>
      </c>
      <c r="T385" s="208">
        <f>S385*係数!$H$30</f>
        <v>0</v>
      </c>
      <c r="U385" s="12">
        <f t="shared" si="28"/>
        <v>0</v>
      </c>
      <c r="V385" s="211">
        <f t="shared" si="28"/>
        <v>0</v>
      </c>
    </row>
    <row r="386" spans="2:22" x14ac:dyDescent="0.4">
      <c r="B386" s="194" t="s">
        <v>992</v>
      </c>
      <c r="C386" s="35"/>
      <c r="D386" s="291"/>
      <c r="E386" s="461"/>
      <c r="F386" s="212"/>
      <c r="G386" s="212"/>
      <c r="H386" s="213"/>
      <c r="I386" s="27"/>
      <c r="J386" s="207">
        <f t="shared" si="29"/>
        <v>0</v>
      </c>
      <c r="K386" s="207">
        <f t="shared" si="30"/>
        <v>0</v>
      </c>
      <c r="L386" s="208">
        <f>K386*係数!$H$30</f>
        <v>0</v>
      </c>
      <c r="M386" s="35"/>
      <c r="N386" s="27"/>
      <c r="O386" s="27"/>
      <c r="P386" s="213"/>
      <c r="Q386" s="27"/>
      <c r="R386" s="462">
        <f t="shared" si="26"/>
        <v>0</v>
      </c>
      <c r="S386" s="12">
        <f t="shared" si="27"/>
        <v>0</v>
      </c>
      <c r="T386" s="208">
        <f>S386*係数!$H$30</f>
        <v>0</v>
      </c>
      <c r="U386" s="12">
        <f t="shared" si="28"/>
        <v>0</v>
      </c>
      <c r="V386" s="211">
        <f t="shared" si="28"/>
        <v>0</v>
      </c>
    </row>
    <row r="387" spans="2:22" x14ac:dyDescent="0.4">
      <c r="B387" s="194" t="s">
        <v>993</v>
      </c>
      <c r="C387" s="35"/>
      <c r="D387" s="291"/>
      <c r="E387" s="461"/>
      <c r="F387" s="212"/>
      <c r="G387" s="212"/>
      <c r="H387" s="213"/>
      <c r="I387" s="27"/>
      <c r="J387" s="207">
        <f t="shared" si="29"/>
        <v>0</v>
      </c>
      <c r="K387" s="207">
        <f t="shared" si="30"/>
        <v>0</v>
      </c>
      <c r="L387" s="208">
        <f>K387*係数!$H$30</f>
        <v>0</v>
      </c>
      <c r="M387" s="35"/>
      <c r="N387" s="27"/>
      <c r="O387" s="27"/>
      <c r="P387" s="213"/>
      <c r="Q387" s="27"/>
      <c r="R387" s="462">
        <f t="shared" si="26"/>
        <v>0</v>
      </c>
      <c r="S387" s="12">
        <f t="shared" si="27"/>
        <v>0</v>
      </c>
      <c r="T387" s="208">
        <f>S387*係数!$H$30</f>
        <v>0</v>
      </c>
      <c r="U387" s="12">
        <f t="shared" si="28"/>
        <v>0</v>
      </c>
      <c r="V387" s="211">
        <f t="shared" si="28"/>
        <v>0</v>
      </c>
    </row>
    <row r="388" spans="2:22" x14ac:dyDescent="0.4">
      <c r="B388" s="194" t="s">
        <v>994</v>
      </c>
      <c r="C388" s="35"/>
      <c r="D388" s="291"/>
      <c r="E388" s="461"/>
      <c r="F388" s="212"/>
      <c r="G388" s="212"/>
      <c r="H388" s="213"/>
      <c r="I388" s="27"/>
      <c r="J388" s="207">
        <f t="shared" si="29"/>
        <v>0</v>
      </c>
      <c r="K388" s="207">
        <f t="shared" si="30"/>
        <v>0</v>
      </c>
      <c r="L388" s="208">
        <f>K388*係数!$H$30</f>
        <v>0</v>
      </c>
      <c r="M388" s="35"/>
      <c r="N388" s="27"/>
      <c r="O388" s="27"/>
      <c r="P388" s="213"/>
      <c r="Q388" s="27"/>
      <c r="R388" s="462">
        <f t="shared" si="26"/>
        <v>0</v>
      </c>
      <c r="S388" s="12">
        <f t="shared" si="27"/>
        <v>0</v>
      </c>
      <c r="T388" s="208">
        <f>S388*係数!$H$30</f>
        <v>0</v>
      </c>
      <c r="U388" s="12">
        <f t="shared" si="28"/>
        <v>0</v>
      </c>
      <c r="V388" s="211">
        <f t="shared" si="28"/>
        <v>0</v>
      </c>
    </row>
    <row r="389" spans="2:22" x14ac:dyDescent="0.4">
      <c r="B389" s="194" t="s">
        <v>995</v>
      </c>
      <c r="C389" s="35"/>
      <c r="D389" s="291"/>
      <c r="E389" s="461"/>
      <c r="F389" s="212"/>
      <c r="G389" s="212"/>
      <c r="H389" s="213"/>
      <c r="I389" s="27"/>
      <c r="J389" s="207">
        <f t="shared" si="29"/>
        <v>0</v>
      </c>
      <c r="K389" s="207">
        <f t="shared" si="30"/>
        <v>0</v>
      </c>
      <c r="L389" s="208">
        <f>K389*係数!$H$30</f>
        <v>0</v>
      </c>
      <c r="M389" s="35"/>
      <c r="N389" s="27"/>
      <c r="O389" s="27"/>
      <c r="P389" s="213"/>
      <c r="Q389" s="27"/>
      <c r="R389" s="462">
        <f t="shared" si="26"/>
        <v>0</v>
      </c>
      <c r="S389" s="12">
        <f t="shared" si="27"/>
        <v>0</v>
      </c>
      <c r="T389" s="208">
        <f>S389*係数!$H$30</f>
        <v>0</v>
      </c>
      <c r="U389" s="12">
        <f t="shared" si="28"/>
        <v>0</v>
      </c>
      <c r="V389" s="211">
        <f t="shared" si="28"/>
        <v>0</v>
      </c>
    </row>
    <row r="390" spans="2:22" x14ac:dyDescent="0.4">
      <c r="B390" s="194" t="s">
        <v>996</v>
      </c>
      <c r="C390" s="35"/>
      <c r="D390" s="291"/>
      <c r="E390" s="461"/>
      <c r="F390" s="212"/>
      <c r="G390" s="212"/>
      <c r="H390" s="213"/>
      <c r="I390" s="27"/>
      <c r="J390" s="207">
        <f t="shared" si="29"/>
        <v>0</v>
      </c>
      <c r="K390" s="207">
        <f t="shared" si="30"/>
        <v>0</v>
      </c>
      <c r="L390" s="208">
        <f>K390*係数!$H$30</f>
        <v>0</v>
      </c>
      <c r="M390" s="35"/>
      <c r="N390" s="27"/>
      <c r="O390" s="27"/>
      <c r="P390" s="213"/>
      <c r="Q390" s="27"/>
      <c r="R390" s="462">
        <f t="shared" si="26"/>
        <v>0</v>
      </c>
      <c r="S390" s="12">
        <f t="shared" si="27"/>
        <v>0</v>
      </c>
      <c r="T390" s="208">
        <f>S390*係数!$H$30</f>
        <v>0</v>
      </c>
      <c r="U390" s="12">
        <f t="shared" si="28"/>
        <v>0</v>
      </c>
      <c r="V390" s="211">
        <f t="shared" si="28"/>
        <v>0</v>
      </c>
    </row>
    <row r="391" spans="2:22" x14ac:dyDescent="0.4">
      <c r="B391" s="194" t="s">
        <v>997</v>
      </c>
      <c r="C391" s="35"/>
      <c r="D391" s="291"/>
      <c r="E391" s="461"/>
      <c r="F391" s="212"/>
      <c r="G391" s="212"/>
      <c r="H391" s="213"/>
      <c r="I391" s="27"/>
      <c r="J391" s="207">
        <f t="shared" si="29"/>
        <v>0</v>
      </c>
      <c r="K391" s="207">
        <f t="shared" si="30"/>
        <v>0</v>
      </c>
      <c r="L391" s="208">
        <f>K391*係数!$H$30</f>
        <v>0</v>
      </c>
      <c r="M391" s="35"/>
      <c r="N391" s="27"/>
      <c r="O391" s="27"/>
      <c r="P391" s="213"/>
      <c r="Q391" s="27"/>
      <c r="R391" s="462">
        <f t="shared" si="26"/>
        <v>0</v>
      </c>
      <c r="S391" s="12">
        <f t="shared" si="27"/>
        <v>0</v>
      </c>
      <c r="T391" s="208">
        <f>S391*係数!$H$30</f>
        <v>0</v>
      </c>
      <c r="U391" s="12">
        <f t="shared" si="28"/>
        <v>0</v>
      </c>
      <c r="V391" s="211">
        <f t="shared" si="28"/>
        <v>0</v>
      </c>
    </row>
    <row r="392" spans="2:22" x14ac:dyDescent="0.4">
      <c r="B392" s="194" t="s">
        <v>998</v>
      </c>
      <c r="C392" s="35"/>
      <c r="D392" s="291"/>
      <c r="E392" s="461"/>
      <c r="F392" s="212"/>
      <c r="G392" s="212"/>
      <c r="H392" s="213"/>
      <c r="I392" s="27"/>
      <c r="J392" s="207">
        <f t="shared" si="29"/>
        <v>0</v>
      </c>
      <c r="K392" s="207">
        <f t="shared" si="30"/>
        <v>0</v>
      </c>
      <c r="L392" s="208">
        <f>K392*係数!$H$30</f>
        <v>0</v>
      </c>
      <c r="M392" s="35"/>
      <c r="N392" s="27"/>
      <c r="O392" s="27"/>
      <c r="P392" s="213"/>
      <c r="Q392" s="27"/>
      <c r="R392" s="462">
        <f t="shared" si="26"/>
        <v>0</v>
      </c>
      <c r="S392" s="12">
        <f t="shared" si="27"/>
        <v>0</v>
      </c>
      <c r="T392" s="208">
        <f>S392*係数!$H$30</f>
        <v>0</v>
      </c>
      <c r="U392" s="12">
        <f t="shared" si="28"/>
        <v>0</v>
      </c>
      <c r="V392" s="211">
        <f t="shared" si="28"/>
        <v>0</v>
      </c>
    </row>
    <row r="393" spans="2:22" x14ac:dyDescent="0.4">
      <c r="B393" s="194" t="s">
        <v>999</v>
      </c>
      <c r="C393" s="35"/>
      <c r="D393" s="291"/>
      <c r="E393" s="461"/>
      <c r="F393" s="212"/>
      <c r="G393" s="212"/>
      <c r="H393" s="213"/>
      <c r="I393" s="27"/>
      <c r="J393" s="207">
        <f t="shared" si="29"/>
        <v>0</v>
      </c>
      <c r="K393" s="207">
        <f t="shared" si="30"/>
        <v>0</v>
      </c>
      <c r="L393" s="208">
        <f>K393*係数!$H$30</f>
        <v>0</v>
      </c>
      <c r="M393" s="35"/>
      <c r="N393" s="27"/>
      <c r="O393" s="27"/>
      <c r="P393" s="213"/>
      <c r="Q393" s="27"/>
      <c r="R393" s="462">
        <f t="shared" si="26"/>
        <v>0</v>
      </c>
      <c r="S393" s="12">
        <f t="shared" si="27"/>
        <v>0</v>
      </c>
      <c r="T393" s="208">
        <f>S393*係数!$H$30</f>
        <v>0</v>
      </c>
      <c r="U393" s="12">
        <f t="shared" si="28"/>
        <v>0</v>
      </c>
      <c r="V393" s="211">
        <f t="shared" si="28"/>
        <v>0</v>
      </c>
    </row>
    <row r="394" spans="2:22" x14ac:dyDescent="0.4">
      <c r="B394" s="194" t="s">
        <v>1000</v>
      </c>
      <c r="C394" s="35"/>
      <c r="D394" s="291"/>
      <c r="E394" s="461"/>
      <c r="F394" s="212"/>
      <c r="G394" s="212"/>
      <c r="H394" s="213"/>
      <c r="I394" s="27"/>
      <c r="J394" s="207">
        <f t="shared" si="29"/>
        <v>0</v>
      </c>
      <c r="K394" s="207">
        <f t="shared" si="30"/>
        <v>0</v>
      </c>
      <c r="L394" s="208">
        <f>K394*係数!$H$30</f>
        <v>0</v>
      </c>
      <c r="M394" s="35"/>
      <c r="N394" s="27"/>
      <c r="O394" s="27"/>
      <c r="P394" s="213"/>
      <c r="Q394" s="27"/>
      <c r="R394" s="462">
        <f t="shared" si="26"/>
        <v>0</v>
      </c>
      <c r="S394" s="12">
        <f t="shared" si="27"/>
        <v>0</v>
      </c>
      <c r="T394" s="208">
        <f>S394*係数!$H$30</f>
        <v>0</v>
      </c>
      <c r="U394" s="12">
        <f t="shared" si="28"/>
        <v>0</v>
      </c>
      <c r="V394" s="211">
        <f t="shared" si="28"/>
        <v>0</v>
      </c>
    </row>
    <row r="395" spans="2:22" x14ac:dyDescent="0.4">
      <c r="B395" s="194" t="s">
        <v>1001</v>
      </c>
      <c r="C395" s="35"/>
      <c r="D395" s="291"/>
      <c r="E395" s="461"/>
      <c r="F395" s="212"/>
      <c r="G395" s="212"/>
      <c r="H395" s="213"/>
      <c r="I395" s="27"/>
      <c r="J395" s="207">
        <f t="shared" si="29"/>
        <v>0</v>
      </c>
      <c r="K395" s="207">
        <f t="shared" si="30"/>
        <v>0</v>
      </c>
      <c r="L395" s="208">
        <f>K395*係数!$H$30</f>
        <v>0</v>
      </c>
      <c r="M395" s="35"/>
      <c r="N395" s="27"/>
      <c r="O395" s="27"/>
      <c r="P395" s="213"/>
      <c r="Q395" s="27"/>
      <c r="R395" s="462">
        <f t="shared" si="26"/>
        <v>0</v>
      </c>
      <c r="S395" s="12">
        <f t="shared" si="27"/>
        <v>0</v>
      </c>
      <c r="T395" s="208">
        <f>S395*係数!$H$30</f>
        <v>0</v>
      </c>
      <c r="U395" s="12">
        <f t="shared" si="28"/>
        <v>0</v>
      </c>
      <c r="V395" s="211">
        <f t="shared" si="28"/>
        <v>0</v>
      </c>
    </row>
    <row r="396" spans="2:22" x14ac:dyDescent="0.4">
      <c r="B396" s="194" t="s">
        <v>1002</v>
      </c>
      <c r="C396" s="35"/>
      <c r="D396" s="291"/>
      <c r="E396" s="461"/>
      <c r="F396" s="212"/>
      <c r="G396" s="212"/>
      <c r="H396" s="213"/>
      <c r="I396" s="27"/>
      <c r="J396" s="207">
        <f t="shared" si="29"/>
        <v>0</v>
      </c>
      <c r="K396" s="207">
        <f t="shared" si="30"/>
        <v>0</v>
      </c>
      <c r="L396" s="208">
        <f>K396*係数!$H$30</f>
        <v>0</v>
      </c>
      <c r="M396" s="35"/>
      <c r="N396" s="27"/>
      <c r="O396" s="27"/>
      <c r="P396" s="213"/>
      <c r="Q396" s="27"/>
      <c r="R396" s="462">
        <f t="shared" si="26"/>
        <v>0</v>
      </c>
      <c r="S396" s="12">
        <f t="shared" si="27"/>
        <v>0</v>
      </c>
      <c r="T396" s="208">
        <f>S396*係数!$H$30</f>
        <v>0</v>
      </c>
      <c r="U396" s="12">
        <f t="shared" si="28"/>
        <v>0</v>
      </c>
      <c r="V396" s="211">
        <f t="shared" si="28"/>
        <v>0</v>
      </c>
    </row>
    <row r="397" spans="2:22" x14ac:dyDescent="0.4">
      <c r="B397" s="194" t="s">
        <v>1003</v>
      </c>
      <c r="C397" s="35"/>
      <c r="D397" s="291"/>
      <c r="E397" s="461"/>
      <c r="F397" s="212"/>
      <c r="G397" s="212"/>
      <c r="H397" s="213"/>
      <c r="I397" s="27"/>
      <c r="J397" s="207">
        <f t="shared" si="29"/>
        <v>0</v>
      </c>
      <c r="K397" s="207">
        <f t="shared" si="30"/>
        <v>0</v>
      </c>
      <c r="L397" s="208">
        <f>K397*係数!$H$30</f>
        <v>0</v>
      </c>
      <c r="M397" s="35"/>
      <c r="N397" s="27"/>
      <c r="O397" s="27"/>
      <c r="P397" s="213"/>
      <c r="Q397" s="27"/>
      <c r="R397" s="462">
        <f t="shared" si="26"/>
        <v>0</v>
      </c>
      <c r="S397" s="12">
        <f t="shared" si="27"/>
        <v>0</v>
      </c>
      <c r="T397" s="208">
        <f>S397*係数!$H$30</f>
        <v>0</v>
      </c>
      <c r="U397" s="12">
        <f t="shared" si="28"/>
        <v>0</v>
      </c>
      <c r="V397" s="211">
        <f t="shared" si="28"/>
        <v>0</v>
      </c>
    </row>
    <row r="398" spans="2:22" x14ac:dyDescent="0.4">
      <c r="B398" s="194" t="s">
        <v>1004</v>
      </c>
      <c r="C398" s="35"/>
      <c r="D398" s="291"/>
      <c r="E398" s="461"/>
      <c r="F398" s="212"/>
      <c r="G398" s="212"/>
      <c r="H398" s="213"/>
      <c r="I398" s="27"/>
      <c r="J398" s="207">
        <f t="shared" si="29"/>
        <v>0</v>
      </c>
      <c r="K398" s="207">
        <f t="shared" si="30"/>
        <v>0</v>
      </c>
      <c r="L398" s="208">
        <f>K398*係数!$H$30</f>
        <v>0</v>
      </c>
      <c r="M398" s="35"/>
      <c r="N398" s="27"/>
      <c r="O398" s="27"/>
      <c r="P398" s="213"/>
      <c r="Q398" s="27"/>
      <c r="R398" s="462">
        <f t="shared" si="26"/>
        <v>0</v>
      </c>
      <c r="S398" s="12">
        <f t="shared" si="27"/>
        <v>0</v>
      </c>
      <c r="T398" s="208">
        <f>S398*係数!$H$30</f>
        <v>0</v>
      </c>
      <c r="U398" s="12">
        <f t="shared" si="28"/>
        <v>0</v>
      </c>
      <c r="V398" s="211">
        <f t="shared" si="28"/>
        <v>0</v>
      </c>
    </row>
    <row r="399" spans="2:22" x14ac:dyDescent="0.4">
      <c r="B399" s="194" t="s">
        <v>1005</v>
      </c>
      <c r="C399" s="35"/>
      <c r="D399" s="291"/>
      <c r="E399" s="461"/>
      <c r="F399" s="212"/>
      <c r="G399" s="212"/>
      <c r="H399" s="213"/>
      <c r="I399" s="27"/>
      <c r="J399" s="207">
        <f t="shared" si="29"/>
        <v>0</v>
      </c>
      <c r="K399" s="207">
        <f t="shared" si="30"/>
        <v>0</v>
      </c>
      <c r="L399" s="208">
        <f>K399*係数!$H$30</f>
        <v>0</v>
      </c>
      <c r="M399" s="35"/>
      <c r="N399" s="27"/>
      <c r="O399" s="27"/>
      <c r="P399" s="213"/>
      <c r="Q399" s="27"/>
      <c r="R399" s="462">
        <f t="shared" si="26"/>
        <v>0</v>
      </c>
      <c r="S399" s="12">
        <f t="shared" si="27"/>
        <v>0</v>
      </c>
      <c r="T399" s="208">
        <f>S399*係数!$H$30</f>
        <v>0</v>
      </c>
      <c r="U399" s="12">
        <f t="shared" si="28"/>
        <v>0</v>
      </c>
      <c r="V399" s="211">
        <f t="shared" si="28"/>
        <v>0</v>
      </c>
    </row>
    <row r="400" spans="2:22" x14ac:dyDescent="0.4">
      <c r="B400" s="194" t="s">
        <v>1006</v>
      </c>
      <c r="C400" s="35"/>
      <c r="D400" s="291"/>
      <c r="E400" s="461"/>
      <c r="F400" s="212"/>
      <c r="G400" s="212"/>
      <c r="H400" s="213"/>
      <c r="I400" s="27"/>
      <c r="J400" s="207">
        <f t="shared" si="29"/>
        <v>0</v>
      </c>
      <c r="K400" s="207">
        <f t="shared" si="30"/>
        <v>0</v>
      </c>
      <c r="L400" s="208">
        <f>K400*係数!$H$30</f>
        <v>0</v>
      </c>
      <c r="M400" s="35"/>
      <c r="N400" s="27"/>
      <c r="O400" s="27"/>
      <c r="P400" s="213"/>
      <c r="Q400" s="27"/>
      <c r="R400" s="462">
        <f t="shared" si="26"/>
        <v>0</v>
      </c>
      <c r="S400" s="12">
        <f t="shared" si="27"/>
        <v>0</v>
      </c>
      <c r="T400" s="208">
        <f>S400*係数!$H$30</f>
        <v>0</v>
      </c>
      <c r="U400" s="12">
        <f t="shared" si="28"/>
        <v>0</v>
      </c>
      <c r="V400" s="211">
        <f t="shared" si="28"/>
        <v>0</v>
      </c>
    </row>
    <row r="401" spans="2:22" x14ac:dyDescent="0.4">
      <c r="B401" s="194" t="s">
        <v>1007</v>
      </c>
      <c r="C401" s="35"/>
      <c r="D401" s="291"/>
      <c r="E401" s="461"/>
      <c r="F401" s="212"/>
      <c r="G401" s="212"/>
      <c r="H401" s="213"/>
      <c r="I401" s="27"/>
      <c r="J401" s="207">
        <f t="shared" si="29"/>
        <v>0</v>
      </c>
      <c r="K401" s="207">
        <f t="shared" si="30"/>
        <v>0</v>
      </c>
      <c r="L401" s="208">
        <f>K401*係数!$H$30</f>
        <v>0</v>
      </c>
      <c r="M401" s="35"/>
      <c r="N401" s="27"/>
      <c r="O401" s="27"/>
      <c r="P401" s="213"/>
      <c r="Q401" s="27"/>
      <c r="R401" s="462">
        <f t="shared" si="26"/>
        <v>0</v>
      </c>
      <c r="S401" s="12">
        <f t="shared" si="27"/>
        <v>0</v>
      </c>
      <c r="T401" s="208">
        <f>S401*係数!$H$30</f>
        <v>0</v>
      </c>
      <c r="U401" s="12">
        <f t="shared" si="28"/>
        <v>0</v>
      </c>
      <c r="V401" s="211">
        <f t="shared" si="28"/>
        <v>0</v>
      </c>
    </row>
    <row r="402" spans="2:22" x14ac:dyDescent="0.4">
      <c r="B402" s="194" t="s">
        <v>1008</v>
      </c>
      <c r="C402" s="35"/>
      <c r="D402" s="291"/>
      <c r="E402" s="461"/>
      <c r="F402" s="212"/>
      <c r="G402" s="212"/>
      <c r="H402" s="213"/>
      <c r="I402" s="27"/>
      <c r="J402" s="207">
        <f t="shared" si="29"/>
        <v>0</v>
      </c>
      <c r="K402" s="207">
        <f t="shared" si="30"/>
        <v>0</v>
      </c>
      <c r="L402" s="208">
        <f>K402*係数!$H$30</f>
        <v>0</v>
      </c>
      <c r="M402" s="35"/>
      <c r="N402" s="27"/>
      <c r="O402" s="27"/>
      <c r="P402" s="213"/>
      <c r="Q402" s="27"/>
      <c r="R402" s="462">
        <f t="shared" ref="R402:R417" si="31">IF(P402="",J402,J402*Q402/100)</f>
        <v>0</v>
      </c>
      <c r="S402" s="12">
        <f t="shared" ref="S402:S417" si="32">N402*O402*R402/1000</f>
        <v>0</v>
      </c>
      <c r="T402" s="208">
        <f>S402*係数!$H$30</f>
        <v>0</v>
      </c>
      <c r="U402" s="12">
        <f t="shared" ref="U402:V417" si="33">K402-S402</f>
        <v>0</v>
      </c>
      <c r="V402" s="211">
        <f t="shared" si="33"/>
        <v>0</v>
      </c>
    </row>
    <row r="403" spans="2:22" x14ac:dyDescent="0.4">
      <c r="B403" s="194" t="s">
        <v>1009</v>
      </c>
      <c r="C403" s="35"/>
      <c r="D403" s="291"/>
      <c r="E403" s="461"/>
      <c r="F403" s="212"/>
      <c r="G403" s="212"/>
      <c r="H403" s="213"/>
      <c r="I403" s="27"/>
      <c r="J403" s="207">
        <f t="shared" ref="J403:J417" si="34">IF(H403="",F403*G403,F403*G403*I403/100)</f>
        <v>0</v>
      </c>
      <c r="K403" s="207">
        <f t="shared" si="30"/>
        <v>0</v>
      </c>
      <c r="L403" s="208">
        <f>K403*係数!$H$30</f>
        <v>0</v>
      </c>
      <c r="M403" s="35"/>
      <c r="N403" s="27"/>
      <c r="O403" s="27"/>
      <c r="P403" s="213"/>
      <c r="Q403" s="27"/>
      <c r="R403" s="462">
        <f t="shared" si="31"/>
        <v>0</v>
      </c>
      <c r="S403" s="12">
        <f t="shared" si="32"/>
        <v>0</v>
      </c>
      <c r="T403" s="208">
        <f>S403*係数!$H$30</f>
        <v>0</v>
      </c>
      <c r="U403" s="12">
        <f t="shared" si="33"/>
        <v>0</v>
      </c>
      <c r="V403" s="211">
        <f t="shared" si="33"/>
        <v>0</v>
      </c>
    </row>
    <row r="404" spans="2:22" x14ac:dyDescent="0.4">
      <c r="B404" s="194" t="s">
        <v>1010</v>
      </c>
      <c r="C404" s="35"/>
      <c r="D404" s="291"/>
      <c r="E404" s="461"/>
      <c r="F404" s="212"/>
      <c r="G404" s="212"/>
      <c r="H404" s="213"/>
      <c r="I404" s="27"/>
      <c r="J404" s="207">
        <f t="shared" si="34"/>
        <v>0</v>
      </c>
      <c r="K404" s="207">
        <f t="shared" ref="K404:K417" si="35">D404*E404*J404/1000</f>
        <v>0</v>
      </c>
      <c r="L404" s="208">
        <f>K404*係数!$H$30</f>
        <v>0</v>
      </c>
      <c r="M404" s="35"/>
      <c r="N404" s="27"/>
      <c r="O404" s="27"/>
      <c r="P404" s="213"/>
      <c r="Q404" s="27"/>
      <c r="R404" s="462">
        <f t="shared" si="31"/>
        <v>0</v>
      </c>
      <c r="S404" s="12">
        <f t="shared" si="32"/>
        <v>0</v>
      </c>
      <c r="T404" s="208">
        <f>S404*係数!$H$30</f>
        <v>0</v>
      </c>
      <c r="U404" s="12">
        <f t="shared" si="33"/>
        <v>0</v>
      </c>
      <c r="V404" s="211">
        <f t="shared" si="33"/>
        <v>0</v>
      </c>
    </row>
    <row r="405" spans="2:22" x14ac:dyDescent="0.4">
      <c r="B405" s="194" t="s">
        <v>1011</v>
      </c>
      <c r="C405" s="35"/>
      <c r="D405" s="291"/>
      <c r="E405" s="461"/>
      <c r="F405" s="212"/>
      <c r="G405" s="212"/>
      <c r="H405" s="213"/>
      <c r="I405" s="27"/>
      <c r="J405" s="207">
        <f t="shared" si="34"/>
        <v>0</v>
      </c>
      <c r="K405" s="207">
        <f t="shared" si="35"/>
        <v>0</v>
      </c>
      <c r="L405" s="208">
        <f>K405*係数!$H$30</f>
        <v>0</v>
      </c>
      <c r="M405" s="35"/>
      <c r="N405" s="27"/>
      <c r="O405" s="27"/>
      <c r="P405" s="213"/>
      <c r="Q405" s="27"/>
      <c r="R405" s="462">
        <f t="shared" si="31"/>
        <v>0</v>
      </c>
      <c r="S405" s="12">
        <f t="shared" si="32"/>
        <v>0</v>
      </c>
      <c r="T405" s="208">
        <f>S405*係数!$H$30</f>
        <v>0</v>
      </c>
      <c r="U405" s="12">
        <f t="shared" si="33"/>
        <v>0</v>
      </c>
      <c r="V405" s="211">
        <f t="shared" si="33"/>
        <v>0</v>
      </c>
    </row>
    <row r="406" spans="2:22" x14ac:dyDescent="0.4">
      <c r="B406" s="194" t="s">
        <v>1012</v>
      </c>
      <c r="C406" s="35"/>
      <c r="D406" s="291"/>
      <c r="E406" s="461"/>
      <c r="F406" s="212"/>
      <c r="G406" s="212"/>
      <c r="H406" s="213"/>
      <c r="I406" s="27"/>
      <c r="J406" s="207">
        <f t="shared" si="34"/>
        <v>0</v>
      </c>
      <c r="K406" s="207">
        <f t="shared" si="35"/>
        <v>0</v>
      </c>
      <c r="L406" s="208">
        <f>K406*係数!$H$30</f>
        <v>0</v>
      </c>
      <c r="M406" s="35"/>
      <c r="N406" s="27"/>
      <c r="O406" s="27"/>
      <c r="P406" s="213"/>
      <c r="Q406" s="27"/>
      <c r="R406" s="462">
        <f t="shared" si="31"/>
        <v>0</v>
      </c>
      <c r="S406" s="12">
        <f t="shared" si="32"/>
        <v>0</v>
      </c>
      <c r="T406" s="208">
        <f>S406*係数!$H$30</f>
        <v>0</v>
      </c>
      <c r="U406" s="12">
        <f t="shared" si="33"/>
        <v>0</v>
      </c>
      <c r="V406" s="211">
        <f t="shared" si="33"/>
        <v>0</v>
      </c>
    </row>
    <row r="407" spans="2:22" x14ac:dyDescent="0.4">
      <c r="B407" s="194" t="s">
        <v>1013</v>
      </c>
      <c r="C407" s="35"/>
      <c r="D407" s="291"/>
      <c r="E407" s="461"/>
      <c r="F407" s="212"/>
      <c r="G407" s="212"/>
      <c r="H407" s="213"/>
      <c r="I407" s="27"/>
      <c r="J407" s="207">
        <f t="shared" si="34"/>
        <v>0</v>
      </c>
      <c r="K407" s="207">
        <f t="shared" si="35"/>
        <v>0</v>
      </c>
      <c r="L407" s="208">
        <f>K407*係数!$H$30</f>
        <v>0</v>
      </c>
      <c r="M407" s="35"/>
      <c r="N407" s="27"/>
      <c r="O407" s="27"/>
      <c r="P407" s="213"/>
      <c r="Q407" s="27"/>
      <c r="R407" s="462">
        <f t="shared" si="31"/>
        <v>0</v>
      </c>
      <c r="S407" s="12">
        <f t="shared" si="32"/>
        <v>0</v>
      </c>
      <c r="T407" s="208">
        <f>S407*係数!$H$30</f>
        <v>0</v>
      </c>
      <c r="U407" s="12">
        <f t="shared" si="33"/>
        <v>0</v>
      </c>
      <c r="V407" s="211">
        <f t="shared" si="33"/>
        <v>0</v>
      </c>
    </row>
    <row r="408" spans="2:22" x14ac:dyDescent="0.4">
      <c r="B408" s="194" t="s">
        <v>1014</v>
      </c>
      <c r="C408" s="35"/>
      <c r="D408" s="291"/>
      <c r="E408" s="461"/>
      <c r="F408" s="212"/>
      <c r="G408" s="212"/>
      <c r="H408" s="213"/>
      <c r="I408" s="27"/>
      <c r="J408" s="207">
        <f t="shared" si="34"/>
        <v>0</v>
      </c>
      <c r="K408" s="207">
        <f t="shared" si="35"/>
        <v>0</v>
      </c>
      <c r="L408" s="208">
        <f>K408*係数!$H$30</f>
        <v>0</v>
      </c>
      <c r="M408" s="35"/>
      <c r="N408" s="27"/>
      <c r="O408" s="27"/>
      <c r="P408" s="213"/>
      <c r="Q408" s="27"/>
      <c r="R408" s="462">
        <f t="shared" si="31"/>
        <v>0</v>
      </c>
      <c r="S408" s="12">
        <f t="shared" si="32"/>
        <v>0</v>
      </c>
      <c r="T408" s="208">
        <f>S408*係数!$H$30</f>
        <v>0</v>
      </c>
      <c r="U408" s="12">
        <f t="shared" si="33"/>
        <v>0</v>
      </c>
      <c r="V408" s="211">
        <f t="shared" si="33"/>
        <v>0</v>
      </c>
    </row>
    <row r="409" spans="2:22" x14ac:dyDescent="0.4">
      <c r="B409" s="194" t="s">
        <v>1015</v>
      </c>
      <c r="C409" s="35"/>
      <c r="D409" s="291"/>
      <c r="E409" s="461"/>
      <c r="F409" s="212"/>
      <c r="G409" s="212"/>
      <c r="H409" s="213"/>
      <c r="I409" s="27"/>
      <c r="J409" s="207">
        <f t="shared" si="34"/>
        <v>0</v>
      </c>
      <c r="K409" s="207">
        <f t="shared" si="35"/>
        <v>0</v>
      </c>
      <c r="L409" s="208">
        <f>K409*係数!$H$30</f>
        <v>0</v>
      </c>
      <c r="M409" s="35"/>
      <c r="N409" s="27"/>
      <c r="O409" s="27"/>
      <c r="P409" s="213"/>
      <c r="Q409" s="27"/>
      <c r="R409" s="462">
        <f t="shared" si="31"/>
        <v>0</v>
      </c>
      <c r="S409" s="12">
        <f t="shared" si="32"/>
        <v>0</v>
      </c>
      <c r="T409" s="208">
        <f>S409*係数!$H$30</f>
        <v>0</v>
      </c>
      <c r="U409" s="12">
        <f t="shared" si="33"/>
        <v>0</v>
      </c>
      <c r="V409" s="211">
        <f t="shared" si="33"/>
        <v>0</v>
      </c>
    </row>
    <row r="410" spans="2:22" x14ac:dyDescent="0.4">
      <c r="B410" s="194" t="s">
        <v>1016</v>
      </c>
      <c r="C410" s="35"/>
      <c r="D410" s="291"/>
      <c r="E410" s="461"/>
      <c r="F410" s="212"/>
      <c r="G410" s="212"/>
      <c r="H410" s="213"/>
      <c r="I410" s="27"/>
      <c r="J410" s="207">
        <f t="shared" si="34"/>
        <v>0</v>
      </c>
      <c r="K410" s="207">
        <f t="shared" si="35"/>
        <v>0</v>
      </c>
      <c r="L410" s="208">
        <f>K410*係数!$H$30</f>
        <v>0</v>
      </c>
      <c r="M410" s="35"/>
      <c r="N410" s="27"/>
      <c r="O410" s="27"/>
      <c r="P410" s="213"/>
      <c r="Q410" s="27"/>
      <c r="R410" s="462">
        <f t="shared" si="31"/>
        <v>0</v>
      </c>
      <c r="S410" s="12">
        <f t="shared" si="32"/>
        <v>0</v>
      </c>
      <c r="T410" s="208">
        <f>S410*係数!$H$30</f>
        <v>0</v>
      </c>
      <c r="U410" s="12">
        <f t="shared" si="33"/>
        <v>0</v>
      </c>
      <c r="V410" s="211">
        <f t="shared" si="33"/>
        <v>0</v>
      </c>
    </row>
    <row r="411" spans="2:22" x14ac:dyDescent="0.4">
      <c r="B411" s="194" t="s">
        <v>1017</v>
      </c>
      <c r="C411" s="35"/>
      <c r="D411" s="291"/>
      <c r="E411" s="461"/>
      <c r="F411" s="212"/>
      <c r="G411" s="212"/>
      <c r="H411" s="213"/>
      <c r="I411" s="27"/>
      <c r="J411" s="207">
        <f t="shared" si="34"/>
        <v>0</v>
      </c>
      <c r="K411" s="207">
        <f t="shared" si="35"/>
        <v>0</v>
      </c>
      <c r="L411" s="208">
        <f>K411*係数!$H$30</f>
        <v>0</v>
      </c>
      <c r="M411" s="35"/>
      <c r="N411" s="27"/>
      <c r="O411" s="27"/>
      <c r="P411" s="213"/>
      <c r="Q411" s="27"/>
      <c r="R411" s="462">
        <f t="shared" si="31"/>
        <v>0</v>
      </c>
      <c r="S411" s="12">
        <f t="shared" si="32"/>
        <v>0</v>
      </c>
      <c r="T411" s="208">
        <f>S411*係数!$H$30</f>
        <v>0</v>
      </c>
      <c r="U411" s="12">
        <f t="shared" si="33"/>
        <v>0</v>
      </c>
      <c r="V411" s="211">
        <f t="shared" si="33"/>
        <v>0</v>
      </c>
    </row>
    <row r="412" spans="2:22" x14ac:dyDescent="0.4">
      <c r="B412" s="194" t="s">
        <v>1018</v>
      </c>
      <c r="C412" s="35"/>
      <c r="D412" s="291"/>
      <c r="E412" s="461"/>
      <c r="F412" s="212"/>
      <c r="G412" s="212"/>
      <c r="H412" s="213"/>
      <c r="I412" s="27"/>
      <c r="J412" s="207">
        <f t="shared" si="34"/>
        <v>0</v>
      </c>
      <c r="K412" s="207">
        <f t="shared" si="35"/>
        <v>0</v>
      </c>
      <c r="L412" s="208">
        <f>K412*係数!$H$30</f>
        <v>0</v>
      </c>
      <c r="M412" s="35"/>
      <c r="N412" s="27"/>
      <c r="O412" s="27"/>
      <c r="P412" s="213"/>
      <c r="Q412" s="27"/>
      <c r="R412" s="462">
        <f t="shared" si="31"/>
        <v>0</v>
      </c>
      <c r="S412" s="12">
        <f t="shared" si="32"/>
        <v>0</v>
      </c>
      <c r="T412" s="208">
        <f>S412*係数!$H$30</f>
        <v>0</v>
      </c>
      <c r="U412" s="12">
        <f t="shared" si="33"/>
        <v>0</v>
      </c>
      <c r="V412" s="211">
        <f t="shared" si="33"/>
        <v>0</v>
      </c>
    </row>
    <row r="413" spans="2:22" x14ac:dyDescent="0.4">
      <c r="B413" s="194" t="s">
        <v>1019</v>
      </c>
      <c r="C413" s="35"/>
      <c r="D413" s="291"/>
      <c r="E413" s="461"/>
      <c r="F413" s="212"/>
      <c r="G413" s="212"/>
      <c r="H413" s="213"/>
      <c r="I413" s="27"/>
      <c r="J413" s="207">
        <f t="shared" si="34"/>
        <v>0</v>
      </c>
      <c r="K413" s="207">
        <f t="shared" si="35"/>
        <v>0</v>
      </c>
      <c r="L413" s="208">
        <f>K413*係数!$H$30</f>
        <v>0</v>
      </c>
      <c r="M413" s="35"/>
      <c r="N413" s="27"/>
      <c r="O413" s="27"/>
      <c r="P413" s="213"/>
      <c r="Q413" s="27"/>
      <c r="R413" s="462">
        <f t="shared" si="31"/>
        <v>0</v>
      </c>
      <c r="S413" s="12">
        <f t="shared" si="32"/>
        <v>0</v>
      </c>
      <c r="T413" s="208">
        <f>S413*係数!$H$30</f>
        <v>0</v>
      </c>
      <c r="U413" s="12">
        <f t="shared" si="33"/>
        <v>0</v>
      </c>
      <c r="V413" s="211">
        <f t="shared" si="33"/>
        <v>0</v>
      </c>
    </row>
    <row r="414" spans="2:22" x14ac:dyDescent="0.4">
      <c r="B414" s="194" t="s">
        <v>1020</v>
      </c>
      <c r="C414" s="35"/>
      <c r="D414" s="291"/>
      <c r="E414" s="461"/>
      <c r="F414" s="212"/>
      <c r="G414" s="212"/>
      <c r="H414" s="213"/>
      <c r="I414" s="27"/>
      <c r="J414" s="207">
        <f t="shared" si="34"/>
        <v>0</v>
      </c>
      <c r="K414" s="207">
        <f t="shared" si="35"/>
        <v>0</v>
      </c>
      <c r="L414" s="208">
        <f>K414*係数!$H$30</f>
        <v>0</v>
      </c>
      <c r="M414" s="35"/>
      <c r="N414" s="27"/>
      <c r="O414" s="27"/>
      <c r="P414" s="213"/>
      <c r="Q414" s="27"/>
      <c r="R414" s="462">
        <f t="shared" si="31"/>
        <v>0</v>
      </c>
      <c r="S414" s="12">
        <f t="shared" si="32"/>
        <v>0</v>
      </c>
      <c r="T414" s="208">
        <f>S414*係数!$H$30</f>
        <v>0</v>
      </c>
      <c r="U414" s="12">
        <f t="shared" si="33"/>
        <v>0</v>
      </c>
      <c r="V414" s="211">
        <f t="shared" si="33"/>
        <v>0</v>
      </c>
    </row>
    <row r="415" spans="2:22" x14ac:dyDescent="0.4">
      <c r="B415" s="194" t="s">
        <v>1021</v>
      </c>
      <c r="C415" s="35"/>
      <c r="D415" s="291"/>
      <c r="E415" s="461"/>
      <c r="F415" s="212"/>
      <c r="G415" s="212"/>
      <c r="H415" s="213"/>
      <c r="I415" s="27"/>
      <c r="J415" s="207">
        <f t="shared" si="34"/>
        <v>0</v>
      </c>
      <c r="K415" s="207">
        <f t="shared" si="35"/>
        <v>0</v>
      </c>
      <c r="L415" s="208">
        <f>K415*係数!$H$30</f>
        <v>0</v>
      </c>
      <c r="M415" s="35"/>
      <c r="N415" s="27"/>
      <c r="O415" s="27"/>
      <c r="P415" s="213"/>
      <c r="Q415" s="27"/>
      <c r="R415" s="462">
        <f t="shared" si="31"/>
        <v>0</v>
      </c>
      <c r="S415" s="12">
        <f t="shared" si="32"/>
        <v>0</v>
      </c>
      <c r="T415" s="208">
        <f>S415*係数!$H$30</f>
        <v>0</v>
      </c>
      <c r="U415" s="12">
        <f t="shared" si="33"/>
        <v>0</v>
      </c>
      <c r="V415" s="211">
        <f t="shared" si="33"/>
        <v>0</v>
      </c>
    </row>
    <row r="416" spans="2:22" x14ac:dyDescent="0.4">
      <c r="B416" s="194" t="s">
        <v>1022</v>
      </c>
      <c r="C416" s="35"/>
      <c r="D416" s="291"/>
      <c r="E416" s="461"/>
      <c r="F416" s="212"/>
      <c r="G416" s="212"/>
      <c r="H416" s="213"/>
      <c r="I416" s="27"/>
      <c r="J416" s="207">
        <f t="shared" si="34"/>
        <v>0</v>
      </c>
      <c r="K416" s="207">
        <f t="shared" si="35"/>
        <v>0</v>
      </c>
      <c r="L416" s="208">
        <f>K416*係数!$H$30</f>
        <v>0</v>
      </c>
      <c r="M416" s="35"/>
      <c r="N416" s="27"/>
      <c r="O416" s="27"/>
      <c r="P416" s="213"/>
      <c r="Q416" s="27"/>
      <c r="R416" s="462">
        <f t="shared" si="31"/>
        <v>0</v>
      </c>
      <c r="S416" s="12">
        <f t="shared" si="32"/>
        <v>0</v>
      </c>
      <c r="T416" s="208">
        <f>S416*係数!$H$30</f>
        <v>0</v>
      </c>
      <c r="U416" s="12">
        <f t="shared" si="33"/>
        <v>0</v>
      </c>
      <c r="V416" s="211">
        <f t="shared" si="33"/>
        <v>0</v>
      </c>
    </row>
    <row r="417" spans="2:22" x14ac:dyDescent="0.4">
      <c r="B417" s="194" t="s">
        <v>1023</v>
      </c>
      <c r="C417" s="35"/>
      <c r="D417" s="291"/>
      <c r="E417" s="461"/>
      <c r="F417" s="212"/>
      <c r="G417" s="212"/>
      <c r="H417" s="213"/>
      <c r="I417" s="27"/>
      <c r="J417" s="207">
        <f t="shared" si="34"/>
        <v>0</v>
      </c>
      <c r="K417" s="207">
        <f t="shared" si="35"/>
        <v>0</v>
      </c>
      <c r="L417" s="208">
        <f>K417*係数!$H$30</f>
        <v>0</v>
      </c>
      <c r="M417" s="35"/>
      <c r="N417" s="27"/>
      <c r="O417" s="27"/>
      <c r="P417" s="213"/>
      <c r="Q417" s="27"/>
      <c r="R417" s="462">
        <f t="shared" si="31"/>
        <v>0</v>
      </c>
      <c r="S417" s="12">
        <f t="shared" si="32"/>
        <v>0</v>
      </c>
      <c r="T417" s="208">
        <f>S417*係数!$H$30</f>
        <v>0</v>
      </c>
      <c r="U417" s="12">
        <f t="shared" si="33"/>
        <v>0</v>
      </c>
      <c r="V417" s="211">
        <f t="shared" si="33"/>
        <v>0</v>
      </c>
    </row>
  </sheetData>
  <sheetProtection algorithmName="SHA-512" hashValue="pZ/2jd3dq7tb4/CQULxQNQzwfP1RvL4Lwu4c4KOlqKcztkxpFHPV/E2b6x7mvFpjp+8cTR1PSbHGvf02bK9Nrg==" saltValue="KIGE7L+mR3fjKrgKzWyW5g==" spinCount="100000" sheet="1" objects="1" scenarios="1" formatCells="0" formatColumns="0" formatRows="0"/>
  <mergeCells count="15">
    <mergeCell ref="M3:V3"/>
    <mergeCell ref="M4:V4"/>
    <mergeCell ref="M6:V6"/>
    <mergeCell ref="N7:V7"/>
    <mergeCell ref="B13:B14"/>
    <mergeCell ref="D4:E4"/>
    <mergeCell ref="D5:E5"/>
    <mergeCell ref="D6:E6"/>
    <mergeCell ref="D3:E3"/>
    <mergeCell ref="D7:E7"/>
    <mergeCell ref="H6:I6"/>
    <mergeCell ref="H7:I7"/>
    <mergeCell ref="H3:I3"/>
    <mergeCell ref="H4:I4"/>
    <mergeCell ref="H5:I5"/>
  </mergeCells>
  <phoneticPr fontId="5"/>
  <conditionalFormatting sqref="G7:H7 K7">
    <cfRule type="expression" dxfId="54" priority="5">
      <formula>$G$1="なし"</formula>
    </cfRule>
  </conditionalFormatting>
  <conditionalFormatting sqref="I18:I417">
    <cfRule type="expression" dxfId="53" priority="2">
      <formula>$H18&lt;&gt;"○"</formula>
    </cfRule>
  </conditionalFormatting>
  <conditionalFormatting sqref="N7">
    <cfRule type="cellIs" dxfId="52" priority="1" operator="notEqual">
      <formula>"ー"</formula>
    </cfRule>
  </conditionalFormatting>
  <conditionalFormatting sqref="O17">
    <cfRule type="cellIs" dxfId="51" priority="3" operator="greaterThan">
      <formula>$E$17</formula>
    </cfRule>
  </conditionalFormatting>
  <conditionalFormatting sqref="Q18:Q417">
    <cfRule type="expression" dxfId="50" priority="4">
      <formula>$P18&lt;&gt;"○"</formula>
    </cfRule>
  </conditionalFormatting>
  <dataValidations count="1">
    <dataValidation type="list" allowBlank="1" showInputMessage="1" showErrorMessage="1" sqref="P18:P417 P16 H16 H18:H417" xr:uid="{00000000-0002-0000-0300-000000000000}">
      <formula1>"○"</formula1>
    </dataValidation>
  </dataValidations>
  <pageMargins left="0.70866141732283472" right="0.70866141732283472" top="0.74803149606299213" bottom="0.74803149606299213" header="0.31496062992125984" footer="0.31496062992125984"/>
  <pageSetup paperSize="8" scale="77" orientation="landscape" r:id="rId1"/>
  <ignoredErrors>
    <ignoredError sqref="K17:V17 K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0"/>
  <sheetViews>
    <sheetView view="pageBreakPreview" zoomScale="55" zoomScaleNormal="70" zoomScaleSheetLayoutView="55" workbookViewId="0">
      <pane ySplit="1" topLeftCell="A2" activePane="bottomLeft" state="frozen"/>
      <selection activeCell="X35" sqref="X35"/>
      <selection pane="bottomLeft" activeCell="AI24" sqref="AI24"/>
    </sheetView>
  </sheetViews>
  <sheetFormatPr defaultColWidth="8.875" defaultRowHeight="18.75" x14ac:dyDescent="0.4"/>
  <cols>
    <col min="1" max="1" width="11.125" customWidth="1"/>
    <col min="2" max="2" width="9" customWidth="1"/>
    <col min="3" max="12" width="11.375" customWidth="1"/>
    <col min="13" max="13" width="11.125" customWidth="1"/>
    <col min="14" max="16" width="11.375" customWidth="1"/>
    <col min="17" max="17" width="11.125" customWidth="1"/>
    <col min="18" max="23" width="11.375" customWidth="1"/>
    <col min="24" max="44" width="9.125" customWidth="1"/>
  </cols>
  <sheetData>
    <row r="1" spans="1:30" ht="30" x14ac:dyDescent="0.6">
      <c r="A1" s="95" t="s">
        <v>510</v>
      </c>
      <c r="G1" s="184"/>
      <c r="I1" s="185"/>
      <c r="L1" s="186"/>
    </row>
    <row r="3" spans="1:30" ht="20.45" customHeight="1" x14ac:dyDescent="0.4">
      <c r="D3" s="613" t="s">
        <v>139</v>
      </c>
      <c r="E3" s="614"/>
      <c r="F3" s="190" t="s">
        <v>138</v>
      </c>
      <c r="G3" s="187" t="s">
        <v>76</v>
      </c>
      <c r="H3" s="187" t="s">
        <v>86</v>
      </c>
      <c r="I3" s="187" t="s">
        <v>183</v>
      </c>
      <c r="J3" s="188" t="s">
        <v>187</v>
      </c>
      <c r="M3" s="624" t="s">
        <v>500</v>
      </c>
      <c r="N3" s="625"/>
      <c r="O3" s="625"/>
      <c r="P3" s="625"/>
      <c r="Q3" s="625"/>
      <c r="R3" s="625"/>
      <c r="S3" s="625"/>
      <c r="T3" s="625"/>
      <c r="U3" s="625"/>
      <c r="V3" s="626"/>
    </row>
    <row r="4" spans="1:30" ht="20.45" customHeight="1" x14ac:dyDescent="0.4">
      <c r="D4" s="646" t="s">
        <v>369</v>
      </c>
      <c r="E4" s="647"/>
      <c r="F4" s="190" t="s">
        <v>84</v>
      </c>
      <c r="G4" s="463">
        <f>Q19</f>
        <v>0</v>
      </c>
      <c r="H4" s="463">
        <f>AA19</f>
        <v>0</v>
      </c>
      <c r="I4" s="463">
        <f>G4-H4</f>
        <v>0</v>
      </c>
      <c r="J4" s="39">
        <f>IF(OR(G4=0,I4=0),0,I4/G4)</f>
        <v>0</v>
      </c>
      <c r="M4" s="642"/>
      <c r="N4" s="643"/>
      <c r="O4" s="643"/>
      <c r="P4" s="643"/>
      <c r="Q4" s="643"/>
      <c r="R4" s="643"/>
      <c r="S4" s="643"/>
      <c r="T4" s="643"/>
      <c r="U4" s="643"/>
      <c r="V4" s="644"/>
      <c r="X4" s="455"/>
      <c r="AB4" s="455"/>
    </row>
    <row r="5" spans="1:30" ht="20.45" customHeight="1" x14ac:dyDescent="0.4">
      <c r="D5" s="646" t="s">
        <v>370</v>
      </c>
      <c r="E5" s="647"/>
      <c r="F5" s="196" t="s">
        <v>62</v>
      </c>
      <c r="G5" s="464">
        <f>R19</f>
        <v>0</v>
      </c>
      <c r="H5" s="464">
        <f>AB19</f>
        <v>0</v>
      </c>
      <c r="I5" s="465">
        <f>G5-H5</f>
        <v>0</v>
      </c>
      <c r="J5" s="39">
        <f>IF(OR(G5=0,I5=0),0,I5/G5)</f>
        <v>0</v>
      </c>
      <c r="M5" s="455"/>
      <c r="N5" s="455"/>
      <c r="O5" s="455"/>
      <c r="P5" s="455"/>
      <c r="Q5" s="455"/>
      <c r="R5" s="455"/>
      <c r="S5" s="455"/>
      <c r="T5" s="455"/>
      <c r="U5" s="455"/>
      <c r="V5" s="455"/>
      <c r="X5" s="455"/>
      <c r="AB5" s="455"/>
    </row>
    <row r="6" spans="1:30" ht="18" customHeight="1" x14ac:dyDescent="0.4">
      <c r="D6" s="646" t="s">
        <v>4</v>
      </c>
      <c r="E6" s="647"/>
      <c r="F6" s="190" t="s">
        <v>89</v>
      </c>
      <c r="G6" s="466" t="str">
        <f>IF(使用量と光熱費!$H$7=0,"ー",G4*使用量と光熱費!$H$6)</f>
        <v>ー</v>
      </c>
      <c r="H6" s="466" t="str">
        <f>IF(使用量と光熱費!$H$7=0,"ー",H4*使用量と光熱費!$H$6)</f>
        <v>ー</v>
      </c>
      <c r="I6" s="456" t="str">
        <f>IF(OR(G6="ー",H6="ー"),"ー",G6-H6)</f>
        <v>ー</v>
      </c>
      <c r="J6" s="467" t="str">
        <f>IF(OR(G6="ー",I6="ー"),"ー",I6/G6)</f>
        <v>ー</v>
      </c>
      <c r="M6" s="645" t="s">
        <v>511</v>
      </c>
      <c r="N6" s="645"/>
      <c r="O6" s="645"/>
      <c r="P6" s="645"/>
      <c r="Q6" s="645"/>
      <c r="R6" s="645"/>
      <c r="S6" s="645"/>
      <c r="T6" s="645"/>
      <c r="U6" s="645"/>
      <c r="V6" s="645"/>
    </row>
    <row r="7" spans="1:30" ht="18" customHeight="1" x14ac:dyDescent="0.4">
      <c r="D7" s="646" t="s">
        <v>458</v>
      </c>
      <c r="E7" s="647"/>
      <c r="F7" s="190" t="s">
        <v>459</v>
      </c>
      <c r="G7" s="468">
        <f>G4*係数!$C$30*0.0000258</f>
        <v>0</v>
      </c>
      <c r="H7" s="468">
        <f>H4*係数!$C$30*0.0000258</f>
        <v>0</v>
      </c>
      <c r="I7" s="469">
        <f>G7-H7</f>
        <v>0</v>
      </c>
      <c r="J7" s="39">
        <f>IF(OR(G7=0,I7=0),0,I7/G7)</f>
        <v>0</v>
      </c>
      <c r="M7" s="648" t="s">
        <v>139</v>
      </c>
      <c r="N7" s="649"/>
      <c r="O7" s="190" t="s">
        <v>357</v>
      </c>
      <c r="P7" s="190" t="s">
        <v>359</v>
      </c>
      <c r="Q7" s="650" t="str">
        <f>IF(OR(OR(O8="",P8=""),AND(O8="なし",P8="なし")),"ー",IF(COUNTIF(O8:P8,"増加")&gt;0,"やむを得ず増加する場合は特記事項欄に理由を記載してください。(要根拠資料提出)","減少する理由を特記事項欄に記載してください。"))</f>
        <v>ー</v>
      </c>
      <c r="R7" s="651"/>
      <c r="S7" s="651"/>
      <c r="T7" s="651"/>
      <c r="U7" s="651"/>
      <c r="V7" s="652"/>
    </row>
    <row r="8" spans="1:30" ht="18" customHeight="1" x14ac:dyDescent="0.4">
      <c r="M8" s="656" t="s">
        <v>512</v>
      </c>
      <c r="N8" s="657"/>
      <c r="O8" s="2" t="str">
        <f>IF(OR(G19=0,U19=0),"",IF(G19=U19,"なし",IF(G19&gt;U19,"減少","増加")))</f>
        <v/>
      </c>
      <c r="P8" s="2" t="str">
        <f>IF(OR(L19=0,X19=0),"",IF(L19=X19,"なし",IF(L19&gt;X19,"減少","増加")))</f>
        <v/>
      </c>
      <c r="Q8" s="653"/>
      <c r="R8" s="654"/>
      <c r="S8" s="654"/>
      <c r="T8" s="654"/>
      <c r="U8" s="654"/>
      <c r="V8" s="655"/>
    </row>
    <row r="9" spans="1:30" ht="18" customHeight="1" x14ac:dyDescent="0.4">
      <c r="M9" s="470"/>
      <c r="P9" s="41"/>
      <c r="Q9" s="41"/>
      <c r="R9" s="41"/>
      <c r="S9" s="41"/>
      <c r="T9" s="41"/>
      <c r="U9" s="41"/>
      <c r="V9" s="41"/>
    </row>
    <row r="10" spans="1:30" ht="18" customHeight="1" x14ac:dyDescent="0.4">
      <c r="B10" s="187" t="s">
        <v>139</v>
      </c>
      <c r="C10" s="187" t="s">
        <v>109</v>
      </c>
    </row>
    <row r="11" spans="1:30" ht="18" customHeight="1" x14ac:dyDescent="0.45">
      <c r="B11" s="217" t="s">
        <v>513</v>
      </c>
      <c r="C11" s="173">
        <v>0.4</v>
      </c>
    </row>
    <row r="12" spans="1:30" ht="18" customHeight="1" x14ac:dyDescent="0.45">
      <c r="B12" s="217" t="s">
        <v>514</v>
      </c>
      <c r="C12" s="173">
        <v>0.4</v>
      </c>
    </row>
    <row r="13" spans="1:30" ht="18" customHeight="1" x14ac:dyDescent="0.4">
      <c r="A13" t="s">
        <v>137</v>
      </c>
      <c r="M13" s="191"/>
    </row>
    <row r="14" spans="1:30" x14ac:dyDescent="0.4">
      <c r="B14" s="599" t="s">
        <v>139</v>
      </c>
      <c r="C14" s="218" t="s">
        <v>76</v>
      </c>
      <c r="D14" s="219"/>
      <c r="E14" s="219"/>
      <c r="F14" s="219"/>
      <c r="G14" s="219"/>
      <c r="H14" s="220"/>
      <c r="I14" s="220"/>
      <c r="J14" s="220"/>
      <c r="K14" s="220"/>
      <c r="L14" s="220"/>
      <c r="M14" s="220"/>
      <c r="N14" s="220"/>
      <c r="O14" s="220"/>
      <c r="P14" s="220"/>
      <c r="Q14" s="220"/>
      <c r="R14" s="221"/>
      <c r="S14" s="368" t="s">
        <v>361</v>
      </c>
      <c r="T14" s="369"/>
      <c r="U14" s="222"/>
      <c r="V14" s="222"/>
      <c r="W14" s="222"/>
      <c r="X14" s="222"/>
      <c r="Y14" s="222"/>
      <c r="Z14" s="222"/>
      <c r="AA14" s="222"/>
      <c r="AB14" s="222"/>
      <c r="AC14" s="606" t="s">
        <v>93</v>
      </c>
      <c r="AD14" s="607"/>
    </row>
    <row r="15" spans="1:30" x14ac:dyDescent="0.4">
      <c r="B15" s="600"/>
      <c r="C15" s="223"/>
      <c r="D15" s="224"/>
      <c r="E15" s="224"/>
      <c r="F15" s="370"/>
      <c r="G15" s="225" t="s">
        <v>357</v>
      </c>
      <c r="H15" s="371"/>
      <c r="I15" s="222"/>
      <c r="J15" s="222"/>
      <c r="K15" s="222"/>
      <c r="L15" s="225" t="s">
        <v>359</v>
      </c>
      <c r="M15" s="371"/>
      <c r="N15" s="222"/>
      <c r="O15" s="222"/>
      <c r="P15" s="222"/>
      <c r="Q15" s="225" t="s">
        <v>360</v>
      </c>
      <c r="R15" s="222"/>
      <c r="S15" s="223"/>
      <c r="T15" s="224"/>
      <c r="U15" s="225" t="s">
        <v>357</v>
      </c>
      <c r="V15" s="371"/>
      <c r="W15" s="222"/>
      <c r="X15" s="225" t="s">
        <v>359</v>
      </c>
      <c r="Y15" s="371"/>
      <c r="Z15" s="222"/>
      <c r="AA15" s="225" t="s">
        <v>360</v>
      </c>
      <c r="AB15" s="222"/>
      <c r="AC15" s="608"/>
      <c r="AD15" s="609"/>
    </row>
    <row r="16" spans="1:30" ht="57.75" x14ac:dyDescent="0.4">
      <c r="B16" s="601"/>
      <c r="C16" s="372" t="s">
        <v>890</v>
      </c>
      <c r="D16" s="372" t="s">
        <v>891</v>
      </c>
      <c r="E16" s="372" t="s">
        <v>358</v>
      </c>
      <c r="F16" s="372" t="s">
        <v>515</v>
      </c>
      <c r="G16" s="372" t="s">
        <v>892</v>
      </c>
      <c r="H16" s="372" t="s">
        <v>893</v>
      </c>
      <c r="I16" s="372" t="s">
        <v>894</v>
      </c>
      <c r="J16" s="372" t="s">
        <v>895</v>
      </c>
      <c r="K16" s="372" t="s">
        <v>896</v>
      </c>
      <c r="L16" s="372" t="s">
        <v>892</v>
      </c>
      <c r="M16" s="372" t="s">
        <v>897</v>
      </c>
      <c r="N16" s="372" t="s">
        <v>894</v>
      </c>
      <c r="O16" s="372" t="s">
        <v>895</v>
      </c>
      <c r="P16" s="372" t="s">
        <v>898</v>
      </c>
      <c r="Q16" s="372" t="s">
        <v>399</v>
      </c>
      <c r="R16" s="372" t="s">
        <v>401</v>
      </c>
      <c r="S16" s="372" t="s">
        <v>890</v>
      </c>
      <c r="T16" s="372" t="s">
        <v>362</v>
      </c>
      <c r="U16" s="372" t="s">
        <v>516</v>
      </c>
      <c r="V16" s="372" t="s">
        <v>433</v>
      </c>
      <c r="W16" s="372" t="s">
        <v>363</v>
      </c>
      <c r="X16" s="372" t="s">
        <v>517</v>
      </c>
      <c r="Y16" s="372" t="s">
        <v>434</v>
      </c>
      <c r="Z16" s="372" t="s">
        <v>364</v>
      </c>
      <c r="AA16" s="372" t="s">
        <v>400</v>
      </c>
      <c r="AB16" s="372" t="s">
        <v>402</v>
      </c>
      <c r="AC16" s="345" t="s">
        <v>451</v>
      </c>
      <c r="AD16" s="345" t="s">
        <v>452</v>
      </c>
    </row>
    <row r="17" spans="2:30" x14ac:dyDescent="0.4">
      <c r="B17" s="373" t="s">
        <v>138</v>
      </c>
      <c r="C17" s="194"/>
      <c r="D17" s="194"/>
      <c r="E17" s="190" t="s">
        <v>77</v>
      </c>
      <c r="F17" s="190"/>
      <c r="G17" s="190" t="s">
        <v>189</v>
      </c>
      <c r="H17" s="190" t="s">
        <v>94</v>
      </c>
      <c r="I17" s="190"/>
      <c r="J17" s="190"/>
      <c r="K17" s="190" t="s">
        <v>82</v>
      </c>
      <c r="L17" s="190" t="s">
        <v>189</v>
      </c>
      <c r="M17" s="190" t="s">
        <v>94</v>
      </c>
      <c r="N17" s="190"/>
      <c r="O17" s="190"/>
      <c r="P17" s="190" t="s">
        <v>82</v>
      </c>
      <c r="Q17" s="190" t="s">
        <v>84</v>
      </c>
      <c r="R17" s="196" t="s">
        <v>62</v>
      </c>
      <c r="S17" s="194"/>
      <c r="T17" s="190" t="s">
        <v>77</v>
      </c>
      <c r="U17" s="190"/>
      <c r="V17" s="190" t="s">
        <v>94</v>
      </c>
      <c r="W17" s="190" t="s">
        <v>82</v>
      </c>
      <c r="X17" s="190"/>
      <c r="Y17" s="190" t="s">
        <v>94</v>
      </c>
      <c r="Z17" s="190" t="s">
        <v>82</v>
      </c>
      <c r="AA17" s="190" t="s">
        <v>84</v>
      </c>
      <c r="AB17" s="196" t="s">
        <v>62</v>
      </c>
      <c r="AC17" s="190" t="s">
        <v>84</v>
      </c>
      <c r="AD17" s="374" t="s">
        <v>62</v>
      </c>
    </row>
    <row r="18" spans="2:30" x14ac:dyDescent="0.4">
      <c r="B18" s="375" t="s">
        <v>506</v>
      </c>
      <c r="C18" s="199" t="s">
        <v>518</v>
      </c>
      <c r="D18" s="199">
        <v>2008</v>
      </c>
      <c r="E18" s="199">
        <v>2</v>
      </c>
      <c r="F18" s="376">
        <f>IF(D18="",1,MIN(1.5,(2024-D18)*0.05+1))</f>
        <v>1.5</v>
      </c>
      <c r="G18" s="377">
        <v>28</v>
      </c>
      <c r="H18" s="378">
        <v>7.64</v>
      </c>
      <c r="I18" s="227">
        <v>8</v>
      </c>
      <c r="J18" s="227">
        <f>30+31+31+30</f>
        <v>122</v>
      </c>
      <c r="K18" s="229">
        <f>I18*J18</f>
        <v>976</v>
      </c>
      <c r="L18" s="228">
        <v>31.5</v>
      </c>
      <c r="M18" s="378">
        <v>8.59</v>
      </c>
      <c r="N18" s="227">
        <v>8</v>
      </c>
      <c r="O18" s="227">
        <f>30+31+31+28+31+30</f>
        <v>181</v>
      </c>
      <c r="P18" s="229">
        <f>N18*O18</f>
        <v>1448</v>
      </c>
      <c r="Q18" s="229">
        <f>H18*F18*E18*K18*$C$11+M18*F18*E18*P18*$C$12</f>
        <v>23873.951999999997</v>
      </c>
      <c r="R18" s="348">
        <f>Q18*係数!$H$30</f>
        <v>10.886522112</v>
      </c>
      <c r="S18" s="199" t="s">
        <v>519</v>
      </c>
      <c r="T18" s="199">
        <v>2</v>
      </c>
      <c r="U18" s="377">
        <v>28</v>
      </c>
      <c r="V18" s="378">
        <v>8.48</v>
      </c>
      <c r="W18" s="229">
        <f>IF(K18=0,0,K18)</f>
        <v>976</v>
      </c>
      <c r="X18" s="228">
        <v>31.5</v>
      </c>
      <c r="Y18" s="378">
        <v>7.7</v>
      </c>
      <c r="Z18" s="229">
        <f>IF(P18=0,0,P18)</f>
        <v>1448</v>
      </c>
      <c r="AA18" s="229">
        <f>V18*T18*W18*$C$11+Y18*T18*Z18*$C$12</f>
        <v>15540.864000000001</v>
      </c>
      <c r="AB18" s="348">
        <f>AA18*係数!$H$30</f>
        <v>7.0866339840000014</v>
      </c>
      <c r="AC18" s="229">
        <f>Q18-AA18</f>
        <v>8333.0879999999961</v>
      </c>
      <c r="AD18" s="348">
        <f>R18-AB18</f>
        <v>3.7998881279999983</v>
      </c>
    </row>
    <row r="19" spans="2:30" x14ac:dyDescent="0.4">
      <c r="B19" s="471" t="s">
        <v>60</v>
      </c>
      <c r="C19" s="472"/>
      <c r="D19" s="472"/>
      <c r="E19" s="473">
        <f>SUM(E20:E39)</f>
        <v>0</v>
      </c>
      <c r="F19" s="472"/>
      <c r="G19" s="474">
        <f>SUMPRODUCT($E20:$E$39*G$20:G$39)</f>
        <v>0</v>
      </c>
      <c r="H19" s="475">
        <f>SUMPRODUCT($E20:$E$39*H$20:H$39)</f>
        <v>0</v>
      </c>
      <c r="I19" s="476"/>
      <c r="J19" s="476"/>
      <c r="K19" s="477"/>
      <c r="L19" s="478">
        <f>SUMPRODUCT($E20:$E$39*L$20:L$39)</f>
        <v>0</v>
      </c>
      <c r="M19" s="475">
        <f>SUMPRODUCT($E20:$E$39*M$20:M$39)</f>
        <v>0</v>
      </c>
      <c r="N19" s="476"/>
      <c r="O19" s="476"/>
      <c r="P19" s="477"/>
      <c r="Q19" s="479">
        <f>SUM(Q20:Q39)</f>
        <v>0</v>
      </c>
      <c r="R19" s="464">
        <f>SUM(R20:R39)</f>
        <v>0</v>
      </c>
      <c r="S19" s="472"/>
      <c r="T19" s="473">
        <f>SUM(T20:T39)</f>
        <v>0</v>
      </c>
      <c r="U19" s="230">
        <f>SUMPRODUCT($T20:$T$39*U$20:U$39)</f>
        <v>0</v>
      </c>
      <c r="V19" s="475">
        <f>SUMPRODUCT($T20:$T$39*V$20:V$39)</f>
        <v>0</v>
      </c>
      <c r="W19" s="477"/>
      <c r="X19" s="230">
        <f>SUMPRODUCT($T20:$T$39*X$20:X$39)</f>
        <v>0</v>
      </c>
      <c r="Y19" s="475">
        <f>SUMPRODUCT($T20:$T$39*Y$20:Y$39)</f>
        <v>0</v>
      </c>
      <c r="Z19" s="477"/>
      <c r="AA19" s="479">
        <f>SUM(AA20:AA39)</f>
        <v>0</v>
      </c>
      <c r="AB19" s="464">
        <f>SUM(AB20:AB39)</f>
        <v>0</v>
      </c>
      <c r="AC19" s="479">
        <f>SUM(AC20:AC39)</f>
        <v>0</v>
      </c>
      <c r="AD19" s="480">
        <f>SUM(AD20:AD39)</f>
        <v>0</v>
      </c>
    </row>
    <row r="20" spans="2:30" x14ac:dyDescent="0.4">
      <c r="B20" s="194" t="s">
        <v>117</v>
      </c>
      <c r="C20" s="35"/>
      <c r="D20" s="35"/>
      <c r="E20" s="27"/>
      <c r="F20" s="231">
        <f>IF(D20="",1,MIN(1.5,(2024-D20)*0.05+1))</f>
        <v>1</v>
      </c>
      <c r="G20" s="289"/>
      <c r="H20" s="290"/>
      <c r="I20" s="481"/>
      <c r="J20" s="481"/>
      <c r="K20" s="482">
        <f>I20*J20</f>
        <v>0</v>
      </c>
      <c r="L20" s="232"/>
      <c r="M20" s="290"/>
      <c r="N20" s="481"/>
      <c r="O20" s="481"/>
      <c r="P20" s="482">
        <f>N20*O20</f>
        <v>0</v>
      </c>
      <c r="Q20" s="233">
        <f t="shared" ref="Q20:Q39" si="0">H20*F20*E20*K20*$C$11+M20*F20*E20*P20*$C$12</f>
        <v>0</v>
      </c>
      <c r="R20" s="208">
        <f>Q20*係数!$H$30</f>
        <v>0</v>
      </c>
      <c r="S20" s="35"/>
      <c r="T20" s="27"/>
      <c r="U20" s="289"/>
      <c r="V20" s="290"/>
      <c r="W20" s="234">
        <f t="shared" ref="W20:W39" si="1">IF(K20=0,0,K20)</f>
        <v>0</v>
      </c>
      <c r="X20" s="235"/>
      <c r="Y20" s="290"/>
      <c r="Z20" s="236">
        <f t="shared" ref="Z20:Z39" si="2">IF(P20=0,0,P20)</f>
        <v>0</v>
      </c>
      <c r="AA20" s="233">
        <f t="shared" ref="AA20:AA39" si="3">V20*T20*W20*$C$11+Y20*T20*Z20*$C$12</f>
        <v>0</v>
      </c>
      <c r="AB20" s="237">
        <f>AA20*係数!$H$30</f>
        <v>0</v>
      </c>
      <c r="AC20" s="233">
        <f t="shared" ref="AC20:AD39" si="4">Q20-AA20</f>
        <v>0</v>
      </c>
      <c r="AD20" s="483">
        <f t="shared" si="4"/>
        <v>0</v>
      </c>
    </row>
    <row r="21" spans="2:30" x14ac:dyDescent="0.4">
      <c r="B21" s="194" t="s">
        <v>118</v>
      </c>
      <c r="C21" s="35"/>
      <c r="D21" s="35"/>
      <c r="E21" s="27"/>
      <c r="F21" s="231">
        <f>IF(D21="",1,MIN(1.5,(2024-D21)*0.05+1))</f>
        <v>1</v>
      </c>
      <c r="G21" s="289"/>
      <c r="H21" s="290"/>
      <c r="I21" s="481"/>
      <c r="J21" s="481"/>
      <c r="K21" s="482">
        <f t="shared" ref="K21:K39" si="5">I21*J21</f>
        <v>0</v>
      </c>
      <c r="L21" s="232"/>
      <c r="M21" s="290"/>
      <c r="N21" s="481"/>
      <c r="O21" s="481"/>
      <c r="P21" s="482">
        <f t="shared" ref="P21:P39" si="6">N21*O21</f>
        <v>0</v>
      </c>
      <c r="Q21" s="233">
        <f t="shared" si="0"/>
        <v>0</v>
      </c>
      <c r="R21" s="208">
        <f>Q21*係数!$H$30</f>
        <v>0</v>
      </c>
      <c r="S21" s="35"/>
      <c r="T21" s="27"/>
      <c r="U21" s="289"/>
      <c r="V21" s="290"/>
      <c r="W21" s="234">
        <f t="shared" si="1"/>
        <v>0</v>
      </c>
      <c r="X21" s="235"/>
      <c r="Y21" s="290"/>
      <c r="Z21" s="236">
        <f t="shared" si="2"/>
        <v>0</v>
      </c>
      <c r="AA21" s="233">
        <f t="shared" si="3"/>
        <v>0</v>
      </c>
      <c r="AB21" s="237">
        <f>AA21*係数!$H$30</f>
        <v>0</v>
      </c>
      <c r="AC21" s="233">
        <f t="shared" si="4"/>
        <v>0</v>
      </c>
      <c r="AD21" s="483">
        <f t="shared" si="4"/>
        <v>0</v>
      </c>
    </row>
    <row r="22" spans="2:30" x14ac:dyDescent="0.4">
      <c r="B22" s="194" t="s">
        <v>119</v>
      </c>
      <c r="C22" s="35"/>
      <c r="D22" s="35"/>
      <c r="E22" s="27"/>
      <c r="F22" s="231">
        <f>IF(D22="",1,MIN(1.5,(2024-D22)*0.05+1))</f>
        <v>1</v>
      </c>
      <c r="G22" s="289"/>
      <c r="H22" s="290"/>
      <c r="I22" s="481"/>
      <c r="J22" s="481"/>
      <c r="K22" s="482">
        <f t="shared" si="5"/>
        <v>0</v>
      </c>
      <c r="L22" s="232"/>
      <c r="M22" s="290"/>
      <c r="N22" s="481"/>
      <c r="O22" s="481"/>
      <c r="P22" s="482">
        <f t="shared" si="6"/>
        <v>0</v>
      </c>
      <c r="Q22" s="233">
        <f t="shared" si="0"/>
        <v>0</v>
      </c>
      <c r="R22" s="208">
        <f>Q22*係数!$H$30</f>
        <v>0</v>
      </c>
      <c r="S22" s="35"/>
      <c r="T22" s="27"/>
      <c r="U22" s="289"/>
      <c r="V22" s="290"/>
      <c r="W22" s="234">
        <f t="shared" si="1"/>
        <v>0</v>
      </c>
      <c r="X22" s="235"/>
      <c r="Y22" s="290"/>
      <c r="Z22" s="236">
        <f t="shared" si="2"/>
        <v>0</v>
      </c>
      <c r="AA22" s="233">
        <f t="shared" si="3"/>
        <v>0</v>
      </c>
      <c r="AB22" s="237">
        <f>AA22*係数!$H$30</f>
        <v>0</v>
      </c>
      <c r="AC22" s="233">
        <f t="shared" si="4"/>
        <v>0</v>
      </c>
      <c r="AD22" s="483">
        <f t="shared" si="4"/>
        <v>0</v>
      </c>
    </row>
    <row r="23" spans="2:30" x14ac:dyDescent="0.4">
      <c r="B23" s="194" t="s">
        <v>120</v>
      </c>
      <c r="C23" s="35"/>
      <c r="D23" s="35"/>
      <c r="E23" s="27"/>
      <c r="F23" s="231">
        <f t="shared" ref="F23:F39" si="7">IF(D23="",1,MIN(1.5,(2024-D23)*0.05+1))</f>
        <v>1</v>
      </c>
      <c r="G23" s="289"/>
      <c r="H23" s="290"/>
      <c r="I23" s="481"/>
      <c r="J23" s="481"/>
      <c r="K23" s="482">
        <f t="shared" si="5"/>
        <v>0</v>
      </c>
      <c r="L23" s="232"/>
      <c r="M23" s="290"/>
      <c r="N23" s="481"/>
      <c r="O23" s="481"/>
      <c r="P23" s="482">
        <f t="shared" si="6"/>
        <v>0</v>
      </c>
      <c r="Q23" s="233">
        <f t="shared" si="0"/>
        <v>0</v>
      </c>
      <c r="R23" s="208">
        <f>Q23*係数!$H$30</f>
        <v>0</v>
      </c>
      <c r="S23" s="35"/>
      <c r="T23" s="27"/>
      <c r="U23" s="289"/>
      <c r="V23" s="290"/>
      <c r="W23" s="234">
        <f t="shared" si="1"/>
        <v>0</v>
      </c>
      <c r="X23" s="235"/>
      <c r="Y23" s="290"/>
      <c r="Z23" s="236">
        <f t="shared" si="2"/>
        <v>0</v>
      </c>
      <c r="AA23" s="233">
        <f t="shared" si="3"/>
        <v>0</v>
      </c>
      <c r="AB23" s="237">
        <f>AA23*係数!$H$30</f>
        <v>0</v>
      </c>
      <c r="AC23" s="233">
        <f t="shared" si="4"/>
        <v>0</v>
      </c>
      <c r="AD23" s="483">
        <f t="shared" si="4"/>
        <v>0</v>
      </c>
    </row>
    <row r="24" spans="2:30" x14ac:dyDescent="0.4">
      <c r="B24" s="194" t="s">
        <v>121</v>
      </c>
      <c r="C24" s="35"/>
      <c r="D24" s="35"/>
      <c r="E24" s="27"/>
      <c r="F24" s="231">
        <f t="shared" si="7"/>
        <v>1</v>
      </c>
      <c r="G24" s="289"/>
      <c r="H24" s="290"/>
      <c r="I24" s="481"/>
      <c r="J24" s="481"/>
      <c r="K24" s="482">
        <f t="shared" si="5"/>
        <v>0</v>
      </c>
      <c r="L24" s="232"/>
      <c r="M24" s="290"/>
      <c r="N24" s="481"/>
      <c r="O24" s="481"/>
      <c r="P24" s="482">
        <f t="shared" si="6"/>
        <v>0</v>
      </c>
      <c r="Q24" s="233">
        <f t="shared" si="0"/>
        <v>0</v>
      </c>
      <c r="R24" s="208">
        <f>Q24*係数!$H$30</f>
        <v>0</v>
      </c>
      <c r="S24" s="35"/>
      <c r="T24" s="27"/>
      <c r="U24" s="289"/>
      <c r="V24" s="290"/>
      <c r="W24" s="234">
        <f t="shared" si="1"/>
        <v>0</v>
      </c>
      <c r="X24" s="235"/>
      <c r="Y24" s="290"/>
      <c r="Z24" s="236">
        <f t="shared" si="2"/>
        <v>0</v>
      </c>
      <c r="AA24" s="233">
        <f t="shared" si="3"/>
        <v>0</v>
      </c>
      <c r="AB24" s="237">
        <f>AA24*係数!$H$30</f>
        <v>0</v>
      </c>
      <c r="AC24" s="233">
        <f t="shared" si="4"/>
        <v>0</v>
      </c>
      <c r="AD24" s="483">
        <f t="shared" si="4"/>
        <v>0</v>
      </c>
    </row>
    <row r="25" spans="2:30" x14ac:dyDescent="0.4">
      <c r="B25" s="194" t="s">
        <v>122</v>
      </c>
      <c r="C25" s="35"/>
      <c r="D25" s="35"/>
      <c r="E25" s="27"/>
      <c r="F25" s="231">
        <f t="shared" si="7"/>
        <v>1</v>
      </c>
      <c r="G25" s="289"/>
      <c r="H25" s="290"/>
      <c r="I25" s="481"/>
      <c r="J25" s="481"/>
      <c r="K25" s="482">
        <f t="shared" si="5"/>
        <v>0</v>
      </c>
      <c r="L25" s="232"/>
      <c r="M25" s="290"/>
      <c r="N25" s="481"/>
      <c r="O25" s="481"/>
      <c r="P25" s="482">
        <f t="shared" si="6"/>
        <v>0</v>
      </c>
      <c r="Q25" s="233">
        <f t="shared" si="0"/>
        <v>0</v>
      </c>
      <c r="R25" s="208">
        <f>Q25*係数!$H$30</f>
        <v>0</v>
      </c>
      <c r="S25" s="35"/>
      <c r="T25" s="27"/>
      <c r="U25" s="289"/>
      <c r="V25" s="290"/>
      <c r="W25" s="234">
        <f t="shared" si="1"/>
        <v>0</v>
      </c>
      <c r="X25" s="235"/>
      <c r="Y25" s="290"/>
      <c r="Z25" s="236">
        <f t="shared" si="2"/>
        <v>0</v>
      </c>
      <c r="AA25" s="233">
        <f t="shared" si="3"/>
        <v>0</v>
      </c>
      <c r="AB25" s="237">
        <f>AA25*係数!$H$30</f>
        <v>0</v>
      </c>
      <c r="AC25" s="233">
        <f t="shared" si="4"/>
        <v>0</v>
      </c>
      <c r="AD25" s="483">
        <f t="shared" si="4"/>
        <v>0</v>
      </c>
    </row>
    <row r="26" spans="2:30" x14ac:dyDescent="0.4">
      <c r="B26" s="194" t="s">
        <v>123</v>
      </c>
      <c r="C26" s="35"/>
      <c r="D26" s="35"/>
      <c r="E26" s="27"/>
      <c r="F26" s="231">
        <f t="shared" si="7"/>
        <v>1</v>
      </c>
      <c r="G26" s="289"/>
      <c r="H26" s="290"/>
      <c r="I26" s="481"/>
      <c r="J26" s="481"/>
      <c r="K26" s="482">
        <f t="shared" si="5"/>
        <v>0</v>
      </c>
      <c r="L26" s="232"/>
      <c r="M26" s="290"/>
      <c r="N26" s="481"/>
      <c r="O26" s="481"/>
      <c r="P26" s="482">
        <f t="shared" si="6"/>
        <v>0</v>
      </c>
      <c r="Q26" s="233">
        <f t="shared" si="0"/>
        <v>0</v>
      </c>
      <c r="R26" s="208">
        <f>Q26*係数!$H$30</f>
        <v>0</v>
      </c>
      <c r="S26" s="35"/>
      <c r="T26" s="27"/>
      <c r="U26" s="289"/>
      <c r="V26" s="290"/>
      <c r="W26" s="234">
        <f t="shared" si="1"/>
        <v>0</v>
      </c>
      <c r="X26" s="235"/>
      <c r="Y26" s="290"/>
      <c r="Z26" s="236">
        <f t="shared" si="2"/>
        <v>0</v>
      </c>
      <c r="AA26" s="233">
        <f t="shared" si="3"/>
        <v>0</v>
      </c>
      <c r="AB26" s="237">
        <f>AA26*係数!$H$30</f>
        <v>0</v>
      </c>
      <c r="AC26" s="233">
        <f t="shared" si="4"/>
        <v>0</v>
      </c>
      <c r="AD26" s="483">
        <f t="shared" si="4"/>
        <v>0</v>
      </c>
    </row>
    <row r="27" spans="2:30" x14ac:dyDescent="0.4">
      <c r="B27" s="194" t="s">
        <v>124</v>
      </c>
      <c r="C27" s="35"/>
      <c r="D27" s="35"/>
      <c r="E27" s="27"/>
      <c r="F27" s="231">
        <f t="shared" si="7"/>
        <v>1</v>
      </c>
      <c r="G27" s="289"/>
      <c r="H27" s="290"/>
      <c r="I27" s="481"/>
      <c r="J27" s="481"/>
      <c r="K27" s="482">
        <f t="shared" si="5"/>
        <v>0</v>
      </c>
      <c r="L27" s="232"/>
      <c r="M27" s="290"/>
      <c r="N27" s="481"/>
      <c r="O27" s="481"/>
      <c r="P27" s="482">
        <f t="shared" si="6"/>
        <v>0</v>
      </c>
      <c r="Q27" s="233">
        <f t="shared" si="0"/>
        <v>0</v>
      </c>
      <c r="R27" s="208">
        <f>Q27*係数!$H$30</f>
        <v>0</v>
      </c>
      <c r="S27" s="35"/>
      <c r="T27" s="27"/>
      <c r="U27" s="289"/>
      <c r="V27" s="290"/>
      <c r="W27" s="234">
        <f t="shared" si="1"/>
        <v>0</v>
      </c>
      <c r="X27" s="235"/>
      <c r="Y27" s="290"/>
      <c r="Z27" s="236">
        <f t="shared" si="2"/>
        <v>0</v>
      </c>
      <c r="AA27" s="233">
        <f t="shared" si="3"/>
        <v>0</v>
      </c>
      <c r="AB27" s="237">
        <f>AA27*係数!$H$30</f>
        <v>0</v>
      </c>
      <c r="AC27" s="233">
        <f t="shared" si="4"/>
        <v>0</v>
      </c>
      <c r="AD27" s="483">
        <f t="shared" si="4"/>
        <v>0</v>
      </c>
    </row>
    <row r="28" spans="2:30" x14ac:dyDescent="0.4">
      <c r="B28" s="194" t="s">
        <v>125</v>
      </c>
      <c r="C28" s="35"/>
      <c r="D28" s="35"/>
      <c r="E28" s="27"/>
      <c r="F28" s="231">
        <f t="shared" si="7"/>
        <v>1</v>
      </c>
      <c r="G28" s="289"/>
      <c r="H28" s="290"/>
      <c r="I28" s="481"/>
      <c r="J28" s="481"/>
      <c r="K28" s="482">
        <f t="shared" si="5"/>
        <v>0</v>
      </c>
      <c r="L28" s="232"/>
      <c r="M28" s="290"/>
      <c r="N28" s="481"/>
      <c r="O28" s="481"/>
      <c r="P28" s="482">
        <f t="shared" si="6"/>
        <v>0</v>
      </c>
      <c r="Q28" s="233">
        <f t="shared" si="0"/>
        <v>0</v>
      </c>
      <c r="R28" s="208">
        <f>Q28*係数!$H$30</f>
        <v>0</v>
      </c>
      <c r="S28" s="35"/>
      <c r="T28" s="27"/>
      <c r="U28" s="289"/>
      <c r="V28" s="290"/>
      <c r="W28" s="234">
        <f t="shared" si="1"/>
        <v>0</v>
      </c>
      <c r="X28" s="235"/>
      <c r="Y28" s="290"/>
      <c r="Z28" s="236">
        <f t="shared" si="2"/>
        <v>0</v>
      </c>
      <c r="AA28" s="233">
        <f t="shared" si="3"/>
        <v>0</v>
      </c>
      <c r="AB28" s="237">
        <f>AA28*係数!$H$30</f>
        <v>0</v>
      </c>
      <c r="AC28" s="233">
        <f t="shared" si="4"/>
        <v>0</v>
      </c>
      <c r="AD28" s="483">
        <f t="shared" si="4"/>
        <v>0</v>
      </c>
    </row>
    <row r="29" spans="2:30" x14ac:dyDescent="0.4">
      <c r="B29" s="194" t="s">
        <v>126</v>
      </c>
      <c r="C29" s="35"/>
      <c r="D29" s="35"/>
      <c r="E29" s="27"/>
      <c r="F29" s="231">
        <f t="shared" si="7"/>
        <v>1</v>
      </c>
      <c r="G29" s="289"/>
      <c r="H29" s="290"/>
      <c r="I29" s="481"/>
      <c r="J29" s="481"/>
      <c r="K29" s="482">
        <f t="shared" si="5"/>
        <v>0</v>
      </c>
      <c r="L29" s="232"/>
      <c r="M29" s="290"/>
      <c r="N29" s="481"/>
      <c r="O29" s="481"/>
      <c r="P29" s="482">
        <f t="shared" si="6"/>
        <v>0</v>
      </c>
      <c r="Q29" s="233">
        <f t="shared" si="0"/>
        <v>0</v>
      </c>
      <c r="R29" s="208">
        <f>Q29*係数!$H$30</f>
        <v>0</v>
      </c>
      <c r="S29" s="35"/>
      <c r="T29" s="27"/>
      <c r="U29" s="289"/>
      <c r="V29" s="290"/>
      <c r="W29" s="234">
        <f t="shared" si="1"/>
        <v>0</v>
      </c>
      <c r="X29" s="235"/>
      <c r="Y29" s="290"/>
      <c r="Z29" s="236">
        <f t="shared" si="2"/>
        <v>0</v>
      </c>
      <c r="AA29" s="233">
        <f t="shared" si="3"/>
        <v>0</v>
      </c>
      <c r="AB29" s="237">
        <f>AA29*係数!$H$30</f>
        <v>0</v>
      </c>
      <c r="AC29" s="233">
        <f t="shared" si="4"/>
        <v>0</v>
      </c>
      <c r="AD29" s="483">
        <f t="shared" si="4"/>
        <v>0</v>
      </c>
    </row>
    <row r="30" spans="2:30" x14ac:dyDescent="0.4">
      <c r="B30" s="194" t="s">
        <v>127</v>
      </c>
      <c r="C30" s="35"/>
      <c r="D30" s="35"/>
      <c r="E30" s="27"/>
      <c r="F30" s="231">
        <f t="shared" si="7"/>
        <v>1</v>
      </c>
      <c r="G30" s="289"/>
      <c r="H30" s="290"/>
      <c r="I30" s="481"/>
      <c r="J30" s="481"/>
      <c r="K30" s="482">
        <f t="shared" si="5"/>
        <v>0</v>
      </c>
      <c r="L30" s="232"/>
      <c r="M30" s="290"/>
      <c r="N30" s="481"/>
      <c r="O30" s="481"/>
      <c r="P30" s="482">
        <f t="shared" si="6"/>
        <v>0</v>
      </c>
      <c r="Q30" s="233">
        <f t="shared" si="0"/>
        <v>0</v>
      </c>
      <c r="R30" s="208">
        <f>Q30*係数!$H$30</f>
        <v>0</v>
      </c>
      <c r="S30" s="35"/>
      <c r="T30" s="27"/>
      <c r="U30" s="289"/>
      <c r="V30" s="290"/>
      <c r="W30" s="234">
        <f t="shared" si="1"/>
        <v>0</v>
      </c>
      <c r="X30" s="235"/>
      <c r="Y30" s="290"/>
      <c r="Z30" s="236">
        <f t="shared" si="2"/>
        <v>0</v>
      </c>
      <c r="AA30" s="233">
        <f t="shared" si="3"/>
        <v>0</v>
      </c>
      <c r="AB30" s="237">
        <f>AA30*係数!$H$30</f>
        <v>0</v>
      </c>
      <c r="AC30" s="233">
        <f t="shared" si="4"/>
        <v>0</v>
      </c>
      <c r="AD30" s="483">
        <f t="shared" si="4"/>
        <v>0</v>
      </c>
    </row>
    <row r="31" spans="2:30" x14ac:dyDescent="0.4">
      <c r="B31" s="194" t="s">
        <v>128</v>
      </c>
      <c r="C31" s="35"/>
      <c r="D31" s="35"/>
      <c r="E31" s="27"/>
      <c r="F31" s="231">
        <f t="shared" si="7"/>
        <v>1</v>
      </c>
      <c r="G31" s="289"/>
      <c r="H31" s="290"/>
      <c r="I31" s="481"/>
      <c r="J31" s="481"/>
      <c r="K31" s="482">
        <f t="shared" si="5"/>
        <v>0</v>
      </c>
      <c r="L31" s="232"/>
      <c r="M31" s="290"/>
      <c r="N31" s="481"/>
      <c r="O31" s="481"/>
      <c r="P31" s="482">
        <f t="shared" si="6"/>
        <v>0</v>
      </c>
      <c r="Q31" s="233">
        <f t="shared" si="0"/>
        <v>0</v>
      </c>
      <c r="R31" s="208">
        <f>Q31*係数!$H$30</f>
        <v>0</v>
      </c>
      <c r="S31" s="35"/>
      <c r="T31" s="27"/>
      <c r="U31" s="289"/>
      <c r="V31" s="290"/>
      <c r="W31" s="234">
        <f t="shared" si="1"/>
        <v>0</v>
      </c>
      <c r="X31" s="235"/>
      <c r="Y31" s="290"/>
      <c r="Z31" s="236">
        <f t="shared" si="2"/>
        <v>0</v>
      </c>
      <c r="AA31" s="233">
        <f t="shared" si="3"/>
        <v>0</v>
      </c>
      <c r="AB31" s="237">
        <f>AA31*係数!$H$30</f>
        <v>0</v>
      </c>
      <c r="AC31" s="233">
        <f t="shared" si="4"/>
        <v>0</v>
      </c>
      <c r="AD31" s="483">
        <f t="shared" si="4"/>
        <v>0</v>
      </c>
    </row>
    <row r="32" spans="2:30" x14ac:dyDescent="0.4">
      <c r="B32" s="194" t="s">
        <v>129</v>
      </c>
      <c r="C32" s="35"/>
      <c r="D32" s="35"/>
      <c r="E32" s="27"/>
      <c r="F32" s="231">
        <f t="shared" si="7"/>
        <v>1</v>
      </c>
      <c r="G32" s="289"/>
      <c r="H32" s="290"/>
      <c r="I32" s="481"/>
      <c r="J32" s="481"/>
      <c r="K32" s="482">
        <f t="shared" si="5"/>
        <v>0</v>
      </c>
      <c r="L32" s="232"/>
      <c r="M32" s="290"/>
      <c r="N32" s="481"/>
      <c r="O32" s="481"/>
      <c r="P32" s="482">
        <f t="shared" si="6"/>
        <v>0</v>
      </c>
      <c r="Q32" s="233">
        <f t="shared" si="0"/>
        <v>0</v>
      </c>
      <c r="R32" s="208">
        <f>Q32*係数!$H$30</f>
        <v>0</v>
      </c>
      <c r="S32" s="35"/>
      <c r="T32" s="27"/>
      <c r="U32" s="289"/>
      <c r="V32" s="290"/>
      <c r="W32" s="234">
        <f t="shared" si="1"/>
        <v>0</v>
      </c>
      <c r="X32" s="235"/>
      <c r="Y32" s="290"/>
      <c r="Z32" s="236">
        <f t="shared" si="2"/>
        <v>0</v>
      </c>
      <c r="AA32" s="233">
        <f t="shared" si="3"/>
        <v>0</v>
      </c>
      <c r="AB32" s="237">
        <f>AA32*係数!$H$30</f>
        <v>0</v>
      </c>
      <c r="AC32" s="233">
        <f t="shared" si="4"/>
        <v>0</v>
      </c>
      <c r="AD32" s="483">
        <f t="shared" si="4"/>
        <v>0</v>
      </c>
    </row>
    <row r="33" spans="2:30" x14ac:dyDescent="0.4">
      <c r="B33" s="194" t="s">
        <v>130</v>
      </c>
      <c r="C33" s="35"/>
      <c r="D33" s="35"/>
      <c r="E33" s="27"/>
      <c r="F33" s="231">
        <f t="shared" si="7"/>
        <v>1</v>
      </c>
      <c r="G33" s="289"/>
      <c r="H33" s="290"/>
      <c r="I33" s="481"/>
      <c r="J33" s="481"/>
      <c r="K33" s="482">
        <f t="shared" si="5"/>
        <v>0</v>
      </c>
      <c r="L33" s="232"/>
      <c r="M33" s="290"/>
      <c r="N33" s="481"/>
      <c r="O33" s="481"/>
      <c r="P33" s="482">
        <f t="shared" si="6"/>
        <v>0</v>
      </c>
      <c r="Q33" s="233">
        <f t="shared" si="0"/>
        <v>0</v>
      </c>
      <c r="R33" s="208">
        <f>Q33*係数!$H$30</f>
        <v>0</v>
      </c>
      <c r="S33" s="35"/>
      <c r="T33" s="27"/>
      <c r="U33" s="289"/>
      <c r="V33" s="290"/>
      <c r="W33" s="234">
        <f t="shared" si="1"/>
        <v>0</v>
      </c>
      <c r="X33" s="235"/>
      <c r="Y33" s="290"/>
      <c r="Z33" s="236">
        <f t="shared" si="2"/>
        <v>0</v>
      </c>
      <c r="AA33" s="233">
        <f t="shared" si="3"/>
        <v>0</v>
      </c>
      <c r="AB33" s="237">
        <f>AA33*係数!$H$30</f>
        <v>0</v>
      </c>
      <c r="AC33" s="233">
        <f t="shared" si="4"/>
        <v>0</v>
      </c>
      <c r="AD33" s="483">
        <f t="shared" si="4"/>
        <v>0</v>
      </c>
    </row>
    <row r="34" spans="2:30" x14ac:dyDescent="0.4">
      <c r="B34" s="194" t="s">
        <v>131</v>
      </c>
      <c r="C34" s="35"/>
      <c r="D34" s="35"/>
      <c r="E34" s="27"/>
      <c r="F34" s="231">
        <f t="shared" si="7"/>
        <v>1</v>
      </c>
      <c r="G34" s="289"/>
      <c r="H34" s="290"/>
      <c r="I34" s="481"/>
      <c r="J34" s="481"/>
      <c r="K34" s="482">
        <f t="shared" si="5"/>
        <v>0</v>
      </c>
      <c r="L34" s="232"/>
      <c r="M34" s="290"/>
      <c r="N34" s="481"/>
      <c r="O34" s="481"/>
      <c r="P34" s="482">
        <f t="shared" si="6"/>
        <v>0</v>
      </c>
      <c r="Q34" s="233">
        <f t="shared" si="0"/>
        <v>0</v>
      </c>
      <c r="R34" s="208">
        <f>Q34*係数!$H$30</f>
        <v>0</v>
      </c>
      <c r="S34" s="35"/>
      <c r="T34" s="27"/>
      <c r="U34" s="289"/>
      <c r="V34" s="290"/>
      <c r="W34" s="234">
        <f t="shared" si="1"/>
        <v>0</v>
      </c>
      <c r="X34" s="235"/>
      <c r="Y34" s="290"/>
      <c r="Z34" s="236">
        <f t="shared" si="2"/>
        <v>0</v>
      </c>
      <c r="AA34" s="233">
        <f t="shared" si="3"/>
        <v>0</v>
      </c>
      <c r="AB34" s="237">
        <f>AA34*係数!$H$30</f>
        <v>0</v>
      </c>
      <c r="AC34" s="233">
        <f t="shared" si="4"/>
        <v>0</v>
      </c>
      <c r="AD34" s="483">
        <f t="shared" si="4"/>
        <v>0</v>
      </c>
    </row>
    <row r="35" spans="2:30" x14ac:dyDescent="0.4">
      <c r="B35" s="194" t="s">
        <v>132</v>
      </c>
      <c r="C35" s="35"/>
      <c r="D35" s="35"/>
      <c r="E35" s="27"/>
      <c r="F35" s="231">
        <f t="shared" si="7"/>
        <v>1</v>
      </c>
      <c r="G35" s="289"/>
      <c r="H35" s="290"/>
      <c r="I35" s="481"/>
      <c r="J35" s="481"/>
      <c r="K35" s="482">
        <f t="shared" si="5"/>
        <v>0</v>
      </c>
      <c r="L35" s="232"/>
      <c r="M35" s="290"/>
      <c r="N35" s="481"/>
      <c r="O35" s="481"/>
      <c r="P35" s="482">
        <f t="shared" si="6"/>
        <v>0</v>
      </c>
      <c r="Q35" s="233">
        <f t="shared" si="0"/>
        <v>0</v>
      </c>
      <c r="R35" s="208">
        <f>Q35*係数!$H$30</f>
        <v>0</v>
      </c>
      <c r="S35" s="35"/>
      <c r="T35" s="27"/>
      <c r="U35" s="289"/>
      <c r="V35" s="290"/>
      <c r="W35" s="234">
        <f t="shared" si="1"/>
        <v>0</v>
      </c>
      <c r="X35" s="235"/>
      <c r="Y35" s="290"/>
      <c r="Z35" s="236">
        <f t="shared" si="2"/>
        <v>0</v>
      </c>
      <c r="AA35" s="233">
        <f t="shared" si="3"/>
        <v>0</v>
      </c>
      <c r="AB35" s="237">
        <f>AA35*係数!$H$30</f>
        <v>0</v>
      </c>
      <c r="AC35" s="233">
        <f t="shared" si="4"/>
        <v>0</v>
      </c>
      <c r="AD35" s="483">
        <f t="shared" si="4"/>
        <v>0</v>
      </c>
    </row>
    <row r="36" spans="2:30" x14ac:dyDescent="0.4">
      <c r="B36" s="194" t="s">
        <v>133</v>
      </c>
      <c r="C36" s="35"/>
      <c r="D36" s="35"/>
      <c r="E36" s="27"/>
      <c r="F36" s="231">
        <f t="shared" si="7"/>
        <v>1</v>
      </c>
      <c r="G36" s="289"/>
      <c r="H36" s="290"/>
      <c r="I36" s="481"/>
      <c r="J36" s="481"/>
      <c r="K36" s="482">
        <f t="shared" si="5"/>
        <v>0</v>
      </c>
      <c r="L36" s="232"/>
      <c r="M36" s="290"/>
      <c r="N36" s="481"/>
      <c r="O36" s="481"/>
      <c r="P36" s="482">
        <f t="shared" si="6"/>
        <v>0</v>
      </c>
      <c r="Q36" s="233">
        <f t="shared" si="0"/>
        <v>0</v>
      </c>
      <c r="R36" s="208">
        <f>Q36*係数!$H$30</f>
        <v>0</v>
      </c>
      <c r="S36" s="35"/>
      <c r="T36" s="27"/>
      <c r="U36" s="289"/>
      <c r="V36" s="290"/>
      <c r="W36" s="234">
        <f t="shared" si="1"/>
        <v>0</v>
      </c>
      <c r="X36" s="235"/>
      <c r="Y36" s="290"/>
      <c r="Z36" s="236">
        <f t="shared" si="2"/>
        <v>0</v>
      </c>
      <c r="AA36" s="233">
        <f t="shared" si="3"/>
        <v>0</v>
      </c>
      <c r="AB36" s="237">
        <f>AA36*係数!$H$30</f>
        <v>0</v>
      </c>
      <c r="AC36" s="233">
        <f t="shared" si="4"/>
        <v>0</v>
      </c>
      <c r="AD36" s="483">
        <f t="shared" si="4"/>
        <v>0</v>
      </c>
    </row>
    <row r="37" spans="2:30" x14ac:dyDescent="0.4">
      <c r="B37" s="194" t="s">
        <v>134</v>
      </c>
      <c r="C37" s="35"/>
      <c r="D37" s="35"/>
      <c r="E37" s="27"/>
      <c r="F37" s="231">
        <f t="shared" si="7"/>
        <v>1</v>
      </c>
      <c r="G37" s="289"/>
      <c r="H37" s="290"/>
      <c r="I37" s="481"/>
      <c r="J37" s="481"/>
      <c r="K37" s="482">
        <f t="shared" si="5"/>
        <v>0</v>
      </c>
      <c r="L37" s="232"/>
      <c r="M37" s="290"/>
      <c r="N37" s="481"/>
      <c r="O37" s="481"/>
      <c r="P37" s="482">
        <f t="shared" si="6"/>
        <v>0</v>
      </c>
      <c r="Q37" s="233">
        <f t="shared" si="0"/>
        <v>0</v>
      </c>
      <c r="R37" s="208">
        <f>Q37*係数!$H$30</f>
        <v>0</v>
      </c>
      <c r="S37" s="35"/>
      <c r="T37" s="27"/>
      <c r="U37" s="289"/>
      <c r="V37" s="290"/>
      <c r="W37" s="234">
        <f t="shared" si="1"/>
        <v>0</v>
      </c>
      <c r="X37" s="235"/>
      <c r="Y37" s="290"/>
      <c r="Z37" s="236">
        <f t="shared" si="2"/>
        <v>0</v>
      </c>
      <c r="AA37" s="233">
        <f t="shared" si="3"/>
        <v>0</v>
      </c>
      <c r="AB37" s="237">
        <f>AA37*係数!$H$30</f>
        <v>0</v>
      </c>
      <c r="AC37" s="233">
        <f t="shared" si="4"/>
        <v>0</v>
      </c>
      <c r="AD37" s="483">
        <f t="shared" si="4"/>
        <v>0</v>
      </c>
    </row>
    <row r="38" spans="2:30" x14ac:dyDescent="0.4">
      <c r="B38" s="194" t="s">
        <v>135</v>
      </c>
      <c r="C38" s="35"/>
      <c r="D38" s="35"/>
      <c r="E38" s="27"/>
      <c r="F38" s="231">
        <f t="shared" si="7"/>
        <v>1</v>
      </c>
      <c r="G38" s="289"/>
      <c r="H38" s="290"/>
      <c r="I38" s="481"/>
      <c r="J38" s="481"/>
      <c r="K38" s="482">
        <f t="shared" si="5"/>
        <v>0</v>
      </c>
      <c r="L38" s="232"/>
      <c r="M38" s="290"/>
      <c r="N38" s="481"/>
      <c r="O38" s="481"/>
      <c r="P38" s="482">
        <f t="shared" si="6"/>
        <v>0</v>
      </c>
      <c r="Q38" s="233">
        <f t="shared" si="0"/>
        <v>0</v>
      </c>
      <c r="R38" s="208">
        <f>Q38*係数!$H$30</f>
        <v>0</v>
      </c>
      <c r="S38" s="35"/>
      <c r="T38" s="27"/>
      <c r="U38" s="289"/>
      <c r="V38" s="290"/>
      <c r="W38" s="234">
        <f t="shared" si="1"/>
        <v>0</v>
      </c>
      <c r="X38" s="235"/>
      <c r="Y38" s="290"/>
      <c r="Z38" s="236">
        <f t="shared" si="2"/>
        <v>0</v>
      </c>
      <c r="AA38" s="233">
        <f t="shared" si="3"/>
        <v>0</v>
      </c>
      <c r="AB38" s="237">
        <f>AA38*係数!$H$30</f>
        <v>0</v>
      </c>
      <c r="AC38" s="233">
        <f t="shared" si="4"/>
        <v>0</v>
      </c>
      <c r="AD38" s="483">
        <f t="shared" si="4"/>
        <v>0</v>
      </c>
    </row>
    <row r="39" spans="2:30" x14ac:dyDescent="0.4">
      <c r="B39" s="194" t="s">
        <v>136</v>
      </c>
      <c r="C39" s="35"/>
      <c r="D39" s="35"/>
      <c r="E39" s="27"/>
      <c r="F39" s="231">
        <f t="shared" si="7"/>
        <v>1</v>
      </c>
      <c r="G39" s="289"/>
      <c r="H39" s="290"/>
      <c r="I39" s="481"/>
      <c r="J39" s="481"/>
      <c r="K39" s="482">
        <f t="shared" si="5"/>
        <v>0</v>
      </c>
      <c r="L39" s="232"/>
      <c r="M39" s="290"/>
      <c r="N39" s="481"/>
      <c r="O39" s="481"/>
      <c r="P39" s="482">
        <f t="shared" si="6"/>
        <v>0</v>
      </c>
      <c r="Q39" s="233">
        <f t="shared" si="0"/>
        <v>0</v>
      </c>
      <c r="R39" s="208">
        <f>Q39*係数!$H$30</f>
        <v>0</v>
      </c>
      <c r="S39" s="35"/>
      <c r="T39" s="27"/>
      <c r="U39" s="289"/>
      <c r="V39" s="290"/>
      <c r="W39" s="234">
        <f t="shared" si="1"/>
        <v>0</v>
      </c>
      <c r="X39" s="235"/>
      <c r="Y39" s="290"/>
      <c r="Z39" s="236">
        <f t="shared" si="2"/>
        <v>0</v>
      </c>
      <c r="AA39" s="233">
        <f t="shared" si="3"/>
        <v>0</v>
      </c>
      <c r="AB39" s="237">
        <f>AA39*係数!$H$30</f>
        <v>0</v>
      </c>
      <c r="AC39" s="233">
        <f t="shared" si="4"/>
        <v>0</v>
      </c>
      <c r="AD39" s="483">
        <f t="shared" si="4"/>
        <v>0</v>
      </c>
    </row>
    <row r="40" spans="2:30" x14ac:dyDescent="0.4">
      <c r="G40" s="484"/>
      <c r="H40" s="484"/>
    </row>
  </sheetData>
  <sheetProtection algorithmName="SHA-512" hashValue="Zg7q4YQ+rJScdk0H3AwTQq46tI1kkRDxKVYgZ/zz+3yqFOmltI3zwDiacpLv6sVev5b3yrEcJ+Ux+xx5BvpXhg==" saltValue="xd6a5uWMj9cbp02YyysxjQ==" spinCount="100000" sheet="1" formatCells="0" formatColumns="0" formatRows="0"/>
  <mergeCells count="13">
    <mergeCell ref="AC14:AD15"/>
    <mergeCell ref="D7:E7"/>
    <mergeCell ref="M7:N7"/>
    <mergeCell ref="Q7:V8"/>
    <mergeCell ref="M8:N8"/>
    <mergeCell ref="B14:B16"/>
    <mergeCell ref="M3:V3"/>
    <mergeCell ref="M4:V4"/>
    <mergeCell ref="M6:V6"/>
    <mergeCell ref="D3:E3"/>
    <mergeCell ref="D4:E4"/>
    <mergeCell ref="D5:E5"/>
    <mergeCell ref="D6:E6"/>
  </mergeCells>
  <phoneticPr fontId="5"/>
  <conditionalFormatting sqref="C20:AD39">
    <cfRule type="expression" dxfId="49" priority="1">
      <formula>$F$1="なし"</formula>
    </cfRule>
  </conditionalFormatting>
  <conditionalFormatting sqref="J4:J7 G6:H7 C11:C12">
    <cfRule type="expression" dxfId="48" priority="6">
      <formula>$F$1="なし"</formula>
    </cfRule>
  </conditionalFormatting>
  <conditionalFormatting sqref="Q7">
    <cfRule type="cellIs" dxfId="47" priority="3" operator="notEqual">
      <formula>"ー"</formula>
    </cfRule>
  </conditionalFormatting>
  <conditionalFormatting sqref="U19">
    <cfRule type="cellIs" dxfId="46" priority="5" operator="greaterThan">
      <formula>$G$19</formula>
    </cfRule>
  </conditionalFormatting>
  <conditionalFormatting sqref="X19">
    <cfRule type="cellIs" dxfId="45" priority="4" operator="greaterThan">
      <formula>$L$19</formula>
    </cfRule>
  </conditionalFormatting>
  <dataValidations count="2">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1:C12" xr:uid="{00000000-0002-0000-0400-000000000000}">
      <formula1>0.4</formula1>
    </dataValidation>
    <dataValidation type="whole" allowBlank="1" showInputMessage="1" showErrorMessage="1" sqref="T18" xr:uid="{00000000-0002-0000-0400-000001000000}">
      <formula1>0</formula1>
      <formula2>E18</formula2>
    </dataValidation>
  </dataValidations>
  <pageMargins left="0.70866141732283472" right="0.70866141732283472" top="0.74803149606299213" bottom="0.74803149606299213" header="0.31496062992125984" footer="0.31496062992125984"/>
  <pageSetup paperSize="8" scale="53" orientation="landscape" r:id="rId1"/>
  <colBreaks count="1" manualBreakCount="1">
    <brk id="30" max="1048575" man="1"/>
  </colBreaks>
  <ignoredErrors>
    <ignoredError sqref="Q19:AD19 I6:J6" formula="1"/>
    <ignoredError sqref="K20:K39 P20:P3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3"/>
  <sheetViews>
    <sheetView view="pageBreakPreview" zoomScale="55" zoomScaleNormal="70" zoomScaleSheetLayoutView="55" workbookViewId="0">
      <pane ySplit="1" topLeftCell="A2" activePane="bottomLeft" state="frozen"/>
      <selection activeCell="X35" sqref="X35"/>
      <selection pane="bottomLeft" activeCell="I14" sqref="I14"/>
    </sheetView>
  </sheetViews>
  <sheetFormatPr defaultColWidth="8.875" defaultRowHeight="18.75" x14ac:dyDescent="0.4"/>
  <cols>
    <col min="1" max="1" width="11.125" customWidth="1"/>
    <col min="2" max="2" width="9.125" customWidth="1"/>
    <col min="3" max="15" width="11.375" customWidth="1"/>
    <col min="16" max="16" width="11.125" customWidth="1"/>
    <col min="17" max="20" width="11.375" customWidth="1"/>
    <col min="21" max="21" width="11.125" customWidth="1"/>
    <col min="22" max="28" width="11.375" customWidth="1"/>
    <col min="29" max="43" width="9.125" customWidth="1"/>
  </cols>
  <sheetData>
    <row r="1" spans="1:27" ht="30" x14ac:dyDescent="0.6">
      <c r="A1" s="95" t="s">
        <v>520</v>
      </c>
      <c r="G1" s="184"/>
      <c r="I1" s="185"/>
      <c r="L1" s="186"/>
    </row>
    <row r="3" spans="1:27" ht="20.45" customHeight="1" x14ac:dyDescent="0.4">
      <c r="D3" s="613" t="s">
        <v>139</v>
      </c>
      <c r="E3" s="614"/>
      <c r="F3" s="190" t="s">
        <v>138</v>
      </c>
      <c r="G3" s="187" t="s">
        <v>76</v>
      </c>
      <c r="H3" s="187" t="s">
        <v>86</v>
      </c>
      <c r="I3" s="187" t="s">
        <v>183</v>
      </c>
      <c r="J3" s="188" t="s">
        <v>187</v>
      </c>
      <c r="M3" s="624" t="s">
        <v>500</v>
      </c>
      <c r="N3" s="625"/>
      <c r="O3" s="625"/>
      <c r="P3" s="625"/>
      <c r="Q3" s="625"/>
      <c r="R3" s="625"/>
      <c r="S3" s="625"/>
      <c r="T3" s="625"/>
      <c r="U3" s="626"/>
      <c r="W3" s="613" t="s">
        <v>139</v>
      </c>
      <c r="X3" s="614"/>
      <c r="Y3" s="391" t="s">
        <v>113</v>
      </c>
      <c r="Z3" s="492" t="s">
        <v>521</v>
      </c>
      <c r="AA3" s="493" t="s">
        <v>138</v>
      </c>
    </row>
    <row r="4" spans="1:27" ht="20.45" customHeight="1" x14ac:dyDescent="0.4">
      <c r="D4" s="646" t="s">
        <v>369</v>
      </c>
      <c r="E4" s="647"/>
      <c r="F4" s="190" t="s">
        <v>84</v>
      </c>
      <c r="G4" s="494">
        <f>S22</f>
        <v>0</v>
      </c>
      <c r="H4" s="494">
        <f>AF22</f>
        <v>0</v>
      </c>
      <c r="I4" s="494">
        <f>G4-H4</f>
        <v>0</v>
      </c>
      <c r="J4" s="39">
        <f>IF(OR(G4=0,I4=0),0,I4/G4)</f>
        <v>0</v>
      </c>
      <c r="M4" s="642"/>
      <c r="N4" s="643"/>
      <c r="O4" s="643"/>
      <c r="P4" s="643"/>
      <c r="Q4" s="643"/>
      <c r="R4" s="643"/>
      <c r="S4" s="643"/>
      <c r="T4" s="643"/>
      <c r="U4" s="644"/>
      <c r="W4" s="658" t="s">
        <v>1</v>
      </c>
      <c r="X4" s="391" t="s">
        <v>114</v>
      </c>
      <c r="Y4" s="24">
        <v>11000</v>
      </c>
      <c r="Z4" s="1">
        <f>係数!H25</f>
        <v>2.2440000000000003E-3</v>
      </c>
      <c r="AA4" s="1" t="s">
        <v>372</v>
      </c>
    </row>
    <row r="5" spans="1:27" ht="20.45" customHeight="1" x14ac:dyDescent="0.4">
      <c r="D5" s="613" t="s">
        <v>436</v>
      </c>
      <c r="E5" s="614"/>
      <c r="F5" s="190" t="s">
        <v>110</v>
      </c>
      <c r="G5" s="495">
        <f>T22</f>
        <v>0</v>
      </c>
      <c r="H5" s="495">
        <f>AG22</f>
        <v>0</v>
      </c>
      <c r="I5" s="494">
        <f>G5-H5</f>
        <v>0</v>
      </c>
      <c r="J5" s="39">
        <f>IF(OR(G5=0,I5=0),0,I5/G5)</f>
        <v>0</v>
      </c>
      <c r="M5" s="191"/>
      <c r="W5" s="658"/>
      <c r="X5" s="391" t="s">
        <v>115</v>
      </c>
      <c r="Y5" s="24">
        <v>10000</v>
      </c>
      <c r="Z5" s="1">
        <f>Z4</f>
        <v>2.2440000000000003E-3</v>
      </c>
      <c r="AA5" s="1" t="s">
        <v>372</v>
      </c>
    </row>
    <row r="6" spans="1:27" ht="20.45" customHeight="1" x14ac:dyDescent="0.4">
      <c r="D6" s="646" t="s">
        <v>370</v>
      </c>
      <c r="E6" s="647"/>
      <c r="F6" s="196" t="s">
        <v>62</v>
      </c>
      <c r="G6" s="496">
        <f>U22</f>
        <v>0</v>
      </c>
      <c r="H6" s="496">
        <f>AH22</f>
        <v>0</v>
      </c>
      <c r="I6" s="497">
        <f>G6-H6</f>
        <v>0</v>
      </c>
      <c r="J6" s="39">
        <f>IF(OR(G6=0,I6=0),0,I6/G6)</f>
        <v>0</v>
      </c>
      <c r="M6" s="645" t="s">
        <v>511</v>
      </c>
      <c r="N6" s="645"/>
      <c r="O6" s="645"/>
      <c r="P6" s="645"/>
      <c r="Q6" s="645"/>
      <c r="R6" s="645"/>
      <c r="S6" s="645"/>
      <c r="T6" s="645"/>
      <c r="U6" s="645"/>
      <c r="W6" s="391" t="s">
        <v>522</v>
      </c>
      <c r="X6" s="391" t="s">
        <v>116</v>
      </c>
      <c r="Y6" s="24">
        <v>24000</v>
      </c>
      <c r="Z6" s="1">
        <f>係数!H15</f>
        <v>2.7027000000000002E-3</v>
      </c>
      <c r="AA6" s="1" t="s">
        <v>371</v>
      </c>
    </row>
    <row r="7" spans="1:27" x14ac:dyDescent="0.4">
      <c r="D7" s="646" t="s">
        <v>4</v>
      </c>
      <c r="E7" s="647"/>
      <c r="F7" s="190" t="s">
        <v>89</v>
      </c>
      <c r="G7" s="466" t="str">
        <f>IF(使用量と光熱費!$H$7=0,"ー",G5*使用量と光熱費!$H$6)</f>
        <v>ー</v>
      </c>
      <c r="H7" s="466" t="str">
        <f>IF(使用量と光熱費!$H$7=0,"ー",H5*使用量と光熱費!$H$6)</f>
        <v>ー</v>
      </c>
      <c r="I7" s="456" t="str">
        <f>IF(OR(G7="ー",H7="ー"),"ー",G7-H7)</f>
        <v>ー</v>
      </c>
      <c r="J7" s="467" t="str">
        <f>IF(OR(G7="ー",I7="ー"),"ー",I7/G7)</f>
        <v>ー</v>
      </c>
      <c r="M7" s="613" t="s">
        <v>139</v>
      </c>
      <c r="N7" s="614"/>
      <c r="O7" s="190" t="s">
        <v>357</v>
      </c>
      <c r="P7" s="190" t="s">
        <v>359</v>
      </c>
      <c r="Q7" s="650" t="str">
        <f>IF(OR(OR(O8="",P8=""),AND(O8="なし",P8="なし")),"ー",IF(COUNTIF(O8:P8,"増加")&gt;0,"やむを得ず増加する場合は特記事項欄に理由を記載してください。(要根拠資料提出)","減少する理由を特記事項欄に記載してください。"))</f>
        <v>ー</v>
      </c>
      <c r="R7" s="651"/>
      <c r="S7" s="651"/>
      <c r="T7" s="651"/>
      <c r="U7" s="652"/>
      <c r="W7" s="613" t="s">
        <v>523</v>
      </c>
      <c r="X7" s="614"/>
      <c r="Y7" s="24" t="str">
        <f>IF(E10="","",VLOOKUP($E$10,$X$4:$Z$6,2,FALSE))</f>
        <v/>
      </c>
      <c r="Z7" s="204"/>
      <c r="AA7" s="24" t="s">
        <v>113</v>
      </c>
    </row>
    <row r="8" spans="1:27" x14ac:dyDescent="0.4">
      <c r="D8" s="646" t="s">
        <v>458</v>
      </c>
      <c r="E8" s="647"/>
      <c r="F8" s="190" t="s">
        <v>459</v>
      </c>
      <c r="G8" s="458">
        <f>(G4*係数!$C$30+G5*係数!$C$25)*0.0000258</f>
        <v>0</v>
      </c>
      <c r="H8" s="458">
        <f>(H4*係数!$C$30+H5*係数!$C$25)*0.0000258</f>
        <v>0</v>
      </c>
      <c r="I8" s="497">
        <f>G8-H8</f>
        <v>0</v>
      </c>
      <c r="J8" s="39">
        <f>IF(OR(G8=0,I8=0),0,I8/G8)</f>
        <v>0</v>
      </c>
      <c r="M8" s="656" t="s">
        <v>524</v>
      </c>
      <c r="N8" s="657"/>
      <c r="O8" s="2" t="str">
        <f>IF(OR(G22=0,X22=0),"",IF(G22=X22,"なし",IF(G22&gt;X22,"減少","増加")))</f>
        <v/>
      </c>
      <c r="P8" s="2" t="str">
        <f>IF(OR(M22=0,AB22=0),"",IF(M22=AB22,"なし",IF(M22&gt;AB22,"減少","増加")))</f>
        <v/>
      </c>
      <c r="Q8" s="653"/>
      <c r="R8" s="654"/>
      <c r="S8" s="654"/>
      <c r="T8" s="654"/>
      <c r="U8" s="655"/>
    </row>
    <row r="9" spans="1:27" x14ac:dyDescent="0.4">
      <c r="D9" s="187" t="s">
        <v>141</v>
      </c>
      <c r="E9" s="187" t="s">
        <v>112</v>
      </c>
      <c r="F9" s="498" t="s">
        <v>142</v>
      </c>
      <c r="G9" s="562"/>
      <c r="H9" s="645" t="s">
        <v>439</v>
      </c>
      <c r="I9" s="645"/>
      <c r="J9" s="190" t="s">
        <v>88</v>
      </c>
      <c r="P9" s="191"/>
    </row>
    <row r="10" spans="1:27" x14ac:dyDescent="0.4">
      <c r="D10" s="182"/>
      <c r="E10" s="96"/>
      <c r="F10" s="1" t="str">
        <f>IF(D10="","",VLOOKUP(D10,係数!$B$3:$I$30,7,FALSE))</f>
        <v/>
      </c>
      <c r="G10" s="1" t="str">
        <f>IF(D10="","",VLOOKUP(D10,係数!$B$3:$I$30,8,FALSE))</f>
        <v/>
      </c>
      <c r="H10" s="659" t="str">
        <f>IF(Y7="","",Y7)</f>
        <v/>
      </c>
      <c r="I10" s="659"/>
      <c r="J10" s="1">
        <f>IF(E10="LP",使用量と光熱費!H8,使用量と光熱費!H7)</f>
        <v>0</v>
      </c>
    </row>
    <row r="11" spans="1:27" x14ac:dyDescent="0.4">
      <c r="B11" s="191"/>
      <c r="D11" s="499"/>
      <c r="E11" s="499"/>
      <c r="H11" s="500"/>
      <c r="I11" s="500"/>
    </row>
    <row r="12" spans="1:27" x14ac:dyDescent="0.4">
      <c r="B12" s="192"/>
      <c r="D12" s="499"/>
      <c r="E12" s="499"/>
      <c r="H12" s="500"/>
      <c r="I12" s="500"/>
    </row>
    <row r="13" spans="1:27" x14ac:dyDescent="0.4">
      <c r="B13" s="187"/>
      <c r="C13" s="187" t="s">
        <v>109</v>
      </c>
      <c r="D13" s="499"/>
      <c r="E13" s="499"/>
      <c r="H13" s="500"/>
      <c r="I13" s="500"/>
    </row>
    <row r="14" spans="1:27" ht="20.25" x14ac:dyDescent="0.45">
      <c r="B14" s="194" t="s">
        <v>513</v>
      </c>
      <c r="C14" s="173">
        <v>0.4</v>
      </c>
      <c r="D14" s="499"/>
      <c r="E14" s="499"/>
      <c r="H14" s="500"/>
      <c r="I14" s="500"/>
    </row>
    <row r="15" spans="1:27" ht="20.25" x14ac:dyDescent="0.45">
      <c r="B15" s="194" t="s">
        <v>514</v>
      </c>
      <c r="C15" s="173">
        <v>0.4</v>
      </c>
      <c r="D15" s="499"/>
      <c r="E15" s="499"/>
      <c r="H15" s="500"/>
      <c r="I15" s="500"/>
      <c r="P15" s="191"/>
    </row>
    <row r="16" spans="1:27" x14ac:dyDescent="0.4">
      <c r="A16" t="s">
        <v>137</v>
      </c>
    </row>
    <row r="17" spans="2:37" x14ac:dyDescent="0.4">
      <c r="B17" s="599" t="s">
        <v>139</v>
      </c>
      <c r="C17" s="239" t="s">
        <v>76</v>
      </c>
      <c r="D17" s="220"/>
      <c r="E17" s="220"/>
      <c r="F17" s="220"/>
      <c r="G17" s="220"/>
      <c r="H17" s="220"/>
      <c r="I17" s="220"/>
      <c r="J17" s="220"/>
      <c r="K17" s="220"/>
      <c r="L17" s="220"/>
      <c r="M17" s="220"/>
      <c r="N17" s="220"/>
      <c r="O17" s="220"/>
      <c r="P17" s="220"/>
      <c r="Q17" s="220"/>
      <c r="R17" s="220"/>
      <c r="S17" s="220"/>
      <c r="T17" s="220"/>
      <c r="U17" s="221"/>
      <c r="V17" s="368" t="s">
        <v>361</v>
      </c>
      <c r="W17" s="369"/>
      <c r="X17" s="369"/>
      <c r="Y17" s="220"/>
      <c r="Z17" s="222"/>
      <c r="AA17" s="222"/>
      <c r="AB17" s="222"/>
      <c r="AC17" s="220"/>
      <c r="AD17" s="222"/>
      <c r="AE17" s="222"/>
      <c r="AF17" s="220"/>
      <c r="AG17" s="222"/>
      <c r="AH17" s="221"/>
      <c r="AI17" s="606" t="s">
        <v>93</v>
      </c>
      <c r="AJ17" s="611"/>
      <c r="AK17" s="607"/>
    </row>
    <row r="18" spans="2:37" x14ac:dyDescent="0.4">
      <c r="B18" s="600"/>
      <c r="C18" s="223"/>
      <c r="D18" s="224"/>
      <c r="E18" s="222"/>
      <c r="F18" s="221"/>
      <c r="G18" s="225" t="s">
        <v>357</v>
      </c>
      <c r="H18" s="371"/>
      <c r="I18" s="222"/>
      <c r="J18" s="222"/>
      <c r="K18" s="222"/>
      <c r="L18" s="222"/>
      <c r="M18" s="225" t="s">
        <v>359</v>
      </c>
      <c r="N18" s="371"/>
      <c r="O18" s="222"/>
      <c r="P18" s="222"/>
      <c r="Q18" s="222"/>
      <c r="R18" s="222"/>
      <c r="S18" s="225" t="s">
        <v>360</v>
      </c>
      <c r="T18" s="222"/>
      <c r="U18" s="221"/>
      <c r="V18" s="223"/>
      <c r="W18" s="224"/>
      <c r="X18" s="224"/>
      <c r="Y18" s="225" t="s">
        <v>357</v>
      </c>
      <c r="Z18" s="222"/>
      <c r="AA18" s="222"/>
      <c r="AB18" s="225" t="s">
        <v>359</v>
      </c>
      <c r="AC18" s="371"/>
      <c r="AD18" s="222"/>
      <c r="AE18" s="222"/>
      <c r="AF18" s="225" t="s">
        <v>360</v>
      </c>
      <c r="AG18" s="222"/>
      <c r="AH18" s="222"/>
      <c r="AI18" s="608"/>
      <c r="AJ18" s="612"/>
      <c r="AK18" s="609"/>
    </row>
    <row r="19" spans="2:37" ht="57.75" x14ac:dyDescent="0.4">
      <c r="B19" s="601"/>
      <c r="C19" s="372" t="s">
        <v>890</v>
      </c>
      <c r="D19" s="372" t="s">
        <v>891</v>
      </c>
      <c r="E19" s="372" t="s">
        <v>358</v>
      </c>
      <c r="F19" s="372" t="s">
        <v>525</v>
      </c>
      <c r="G19" s="372" t="s">
        <v>892</v>
      </c>
      <c r="H19" s="372" t="s">
        <v>893</v>
      </c>
      <c r="I19" s="372" t="s">
        <v>899</v>
      </c>
      <c r="J19" s="372" t="s">
        <v>894</v>
      </c>
      <c r="K19" s="372" t="s">
        <v>895</v>
      </c>
      <c r="L19" s="372" t="s">
        <v>896</v>
      </c>
      <c r="M19" s="372" t="s">
        <v>892</v>
      </c>
      <c r="N19" s="372" t="s">
        <v>900</v>
      </c>
      <c r="O19" s="372" t="s">
        <v>901</v>
      </c>
      <c r="P19" s="372" t="s">
        <v>894</v>
      </c>
      <c r="Q19" s="372" t="s">
        <v>895</v>
      </c>
      <c r="R19" s="372" t="s">
        <v>898</v>
      </c>
      <c r="S19" s="372" t="s">
        <v>399</v>
      </c>
      <c r="T19" s="372" t="s">
        <v>435</v>
      </c>
      <c r="U19" s="372" t="s">
        <v>401</v>
      </c>
      <c r="V19" s="372" t="s">
        <v>890</v>
      </c>
      <c r="W19" s="372" t="s">
        <v>362</v>
      </c>
      <c r="X19" s="372" t="s">
        <v>892</v>
      </c>
      <c r="Y19" s="372" t="s">
        <v>902</v>
      </c>
      <c r="Z19" s="372" t="s">
        <v>903</v>
      </c>
      <c r="AA19" s="372" t="s">
        <v>904</v>
      </c>
      <c r="AB19" s="372" t="s">
        <v>892</v>
      </c>
      <c r="AC19" s="372" t="s">
        <v>905</v>
      </c>
      <c r="AD19" s="372" t="s">
        <v>906</v>
      </c>
      <c r="AE19" s="372" t="s">
        <v>907</v>
      </c>
      <c r="AF19" s="372" t="s">
        <v>400</v>
      </c>
      <c r="AG19" s="372" t="s">
        <v>437</v>
      </c>
      <c r="AH19" s="372" t="s">
        <v>438</v>
      </c>
      <c r="AI19" s="345" t="s">
        <v>451</v>
      </c>
      <c r="AJ19" s="372" t="s">
        <v>453</v>
      </c>
      <c r="AK19" s="345" t="s">
        <v>452</v>
      </c>
    </row>
    <row r="20" spans="2:37" x14ac:dyDescent="0.4">
      <c r="B20" s="373" t="s">
        <v>138</v>
      </c>
      <c r="C20" s="194"/>
      <c r="D20" s="194"/>
      <c r="E20" s="190" t="s">
        <v>77</v>
      </c>
      <c r="F20" s="190"/>
      <c r="G20" s="190" t="s">
        <v>94</v>
      </c>
      <c r="H20" s="190" t="s">
        <v>94</v>
      </c>
      <c r="I20" s="190" t="s">
        <v>94</v>
      </c>
      <c r="J20" s="190"/>
      <c r="K20" s="190"/>
      <c r="L20" s="190" t="s">
        <v>82</v>
      </c>
      <c r="M20" s="190" t="s">
        <v>94</v>
      </c>
      <c r="N20" s="190" t="s">
        <v>94</v>
      </c>
      <c r="O20" s="190" t="s">
        <v>94</v>
      </c>
      <c r="P20" s="190"/>
      <c r="Q20" s="190"/>
      <c r="R20" s="190" t="s">
        <v>82</v>
      </c>
      <c r="S20" s="190" t="s">
        <v>84</v>
      </c>
      <c r="T20" s="392" t="s">
        <v>110</v>
      </c>
      <c r="U20" s="196" t="s">
        <v>62</v>
      </c>
      <c r="V20" s="194"/>
      <c r="W20" s="190" t="s">
        <v>77</v>
      </c>
      <c r="X20" s="190" t="s">
        <v>94</v>
      </c>
      <c r="Y20" s="190" t="s">
        <v>94</v>
      </c>
      <c r="Z20" s="190" t="s">
        <v>94</v>
      </c>
      <c r="AA20" s="190" t="s">
        <v>82</v>
      </c>
      <c r="AB20" s="190" t="s">
        <v>94</v>
      </c>
      <c r="AC20" s="190" t="s">
        <v>94</v>
      </c>
      <c r="AD20" s="190" t="s">
        <v>94</v>
      </c>
      <c r="AE20" s="190" t="s">
        <v>82</v>
      </c>
      <c r="AF20" s="190" t="s">
        <v>84</v>
      </c>
      <c r="AG20" s="392" t="s">
        <v>110</v>
      </c>
      <c r="AH20" s="196" t="s">
        <v>62</v>
      </c>
      <c r="AI20" s="190" t="s">
        <v>84</v>
      </c>
      <c r="AJ20" s="392" t="s">
        <v>454</v>
      </c>
      <c r="AK20" s="196" t="s">
        <v>62</v>
      </c>
    </row>
    <row r="21" spans="2:37" x14ac:dyDescent="0.4">
      <c r="B21" s="375" t="s">
        <v>506</v>
      </c>
      <c r="C21" s="197" t="s">
        <v>526</v>
      </c>
      <c r="D21" s="197">
        <v>2006</v>
      </c>
      <c r="E21" s="199">
        <v>2</v>
      </c>
      <c r="F21" s="376">
        <f>IF(D21="",1,MIN(1.5,(2024-D21)*0.05+1))</f>
        <v>1.5</v>
      </c>
      <c r="G21" s="393">
        <v>22.4</v>
      </c>
      <c r="H21" s="394">
        <v>0.82</v>
      </c>
      <c r="I21" s="394">
        <v>16</v>
      </c>
      <c r="J21" s="395">
        <v>10</v>
      </c>
      <c r="K21" s="395">
        <f>30+31+31+30</f>
        <v>122</v>
      </c>
      <c r="L21" s="229">
        <f>J21*K21</f>
        <v>1220</v>
      </c>
      <c r="M21" s="240">
        <v>25</v>
      </c>
      <c r="N21" s="394">
        <v>0.86</v>
      </c>
      <c r="O21" s="394">
        <v>16.3</v>
      </c>
      <c r="P21" s="395">
        <v>10</v>
      </c>
      <c r="Q21" s="395">
        <f>30+31+31+28+31+30</f>
        <v>181</v>
      </c>
      <c r="R21" s="229">
        <f>P21*Q21</f>
        <v>1810</v>
      </c>
      <c r="S21" s="229">
        <f>F21*E21*(H21*L21*$C$14+N21*R21*$C$15)</f>
        <v>3068.3999999999996</v>
      </c>
      <c r="T21" s="396">
        <f>F21*E21*(I21*L21*$C$14+O21*R21*$C$15)*860/11000</f>
        <v>4599.2487272727276</v>
      </c>
      <c r="U21" s="348">
        <f>S21*係数!$H$30+T21*係数!$H$25</f>
        <v>11.719904544000002</v>
      </c>
      <c r="V21" s="197" t="s">
        <v>527</v>
      </c>
      <c r="W21" s="199">
        <v>2</v>
      </c>
      <c r="X21" s="393">
        <v>22.4</v>
      </c>
      <c r="Y21" s="397">
        <v>0.378</v>
      </c>
      <c r="Z21" s="394">
        <v>19.100000000000001</v>
      </c>
      <c r="AA21" s="229">
        <f>IF(L21="","",L21)</f>
        <v>1220</v>
      </c>
      <c r="AB21" s="240">
        <v>25</v>
      </c>
      <c r="AC21" s="397">
        <v>0.46600000000000003</v>
      </c>
      <c r="AD21" s="394">
        <v>18.600000000000001</v>
      </c>
      <c r="AE21" s="229">
        <f>IF(R21="","",R21)</f>
        <v>1810</v>
      </c>
      <c r="AF21" s="229">
        <f>W21*(Y21*AA21*$C$14+AC21*AE21*$C$15)</f>
        <v>1043.6960000000001</v>
      </c>
      <c r="AG21" s="398">
        <f>W21*(Z21*AA21*$C$14+AD21*AE21*$C$15)*860/11000</f>
        <v>3563.0894545454553</v>
      </c>
      <c r="AH21" s="348">
        <f>AF21*係数!$H$30+AG21*係数!$H$25</f>
        <v>8.4714981120000026</v>
      </c>
      <c r="AI21" s="399">
        <f>S21-AF21</f>
        <v>2024.7039999999995</v>
      </c>
      <c r="AJ21" s="400">
        <f>T21-AG21</f>
        <v>1036.1592727272723</v>
      </c>
      <c r="AK21" s="401">
        <f>U21-AH21</f>
        <v>3.2484064319999995</v>
      </c>
    </row>
    <row r="22" spans="2:37" x14ac:dyDescent="0.4">
      <c r="B22" s="471" t="s">
        <v>60</v>
      </c>
      <c r="C22" s="472"/>
      <c r="D22" s="472"/>
      <c r="E22" s="473">
        <f>SUM(E23:E42)</f>
        <v>0</v>
      </c>
      <c r="F22" s="472"/>
      <c r="G22" s="501">
        <f>SUMPRODUCT($E23:$E$42*G$23:G$42)</f>
        <v>0</v>
      </c>
      <c r="H22" s="502">
        <f>SUMPRODUCT($E23:$E$42*H$23:H$42)</f>
        <v>0</v>
      </c>
      <c r="I22" s="502">
        <f>SUMPRODUCT($E23:$E$42*I$23:I$42)</f>
        <v>0</v>
      </c>
      <c r="J22" s="503"/>
      <c r="K22" s="503"/>
      <c r="L22" s="477"/>
      <c r="M22" s="496">
        <f>SUMPRODUCT($E23:$E$42*M$23:M$42)</f>
        <v>0</v>
      </c>
      <c r="N22" s="502">
        <f>SUMPRODUCT($E23:$E$42*N$23:N$42)</f>
        <v>0</v>
      </c>
      <c r="O22" s="502">
        <f>SUMPRODUCT($E23:$E$42*O$23:O$42)</f>
        <v>0</v>
      </c>
      <c r="P22" s="503"/>
      <c r="Q22" s="503"/>
      <c r="R22" s="477"/>
      <c r="S22" s="479">
        <f>SUM(S23:S42)</f>
        <v>0</v>
      </c>
      <c r="T22" s="504">
        <f>SUM(T23:T42)</f>
        <v>0</v>
      </c>
      <c r="U22" s="464">
        <f>SUM(U23:U42)</f>
        <v>0</v>
      </c>
      <c r="V22" s="472"/>
      <c r="W22" s="473">
        <f>SUM(W23:W42)</f>
        <v>0</v>
      </c>
      <c r="X22" s="501">
        <f>SUMPRODUCT($W23:$W$42*X$23:X$42)</f>
        <v>0</v>
      </c>
      <c r="Y22" s="505">
        <f>SUMPRODUCT($W23:$W$42*Y$23:Y$42)</f>
        <v>0</v>
      </c>
      <c r="Z22" s="502">
        <f>SUMPRODUCT($W23:$W$42*Z$23:Z$42)</f>
        <v>0</v>
      </c>
      <c r="AA22" s="476"/>
      <c r="AB22" s="496">
        <f>SUMPRODUCT($W23:$W$42*AB$23:AB$42)</f>
        <v>0</v>
      </c>
      <c r="AC22" s="505">
        <f>SUMPRODUCT($W23:$W$42*AC$23:AC$42)</f>
        <v>0</v>
      </c>
      <c r="AD22" s="502">
        <f>SUMPRODUCT($W23:$W$42*AD$23:AD$42)</f>
        <v>0</v>
      </c>
      <c r="AE22" s="477"/>
      <c r="AF22" s="479">
        <f t="shared" ref="AF22:AK22" si="0">SUM(AF23:AF42)</f>
        <v>0</v>
      </c>
      <c r="AG22" s="464">
        <f>SUM(AG23:AG42)</f>
        <v>0</v>
      </c>
      <c r="AH22" s="464">
        <f t="shared" si="0"/>
        <v>0</v>
      </c>
      <c r="AI22" s="506">
        <f t="shared" si="0"/>
        <v>0</v>
      </c>
      <c r="AJ22" s="507">
        <f>SUM(AJ23:AJ42)</f>
        <v>0</v>
      </c>
      <c r="AK22" s="501">
        <f t="shared" si="0"/>
        <v>0</v>
      </c>
    </row>
    <row r="23" spans="2:37" x14ac:dyDescent="0.4">
      <c r="B23" s="373" t="s">
        <v>117</v>
      </c>
      <c r="C23" s="35"/>
      <c r="D23" s="35"/>
      <c r="E23" s="27"/>
      <c r="F23" s="231">
        <f>IF(D23="",1,MIN(1.5,(2024-D23)*0.05+1))</f>
        <v>1</v>
      </c>
      <c r="G23" s="285"/>
      <c r="H23" s="286"/>
      <c r="I23" s="286"/>
      <c r="J23" s="282"/>
      <c r="K23" s="282"/>
      <c r="L23" s="508">
        <f t="shared" ref="L23:L42" si="1">J23*K23</f>
        <v>0</v>
      </c>
      <c r="M23" s="241"/>
      <c r="N23" s="286"/>
      <c r="O23" s="286"/>
      <c r="P23" s="282"/>
      <c r="Q23" s="282"/>
      <c r="R23" s="508">
        <f t="shared" ref="R23:R42" si="2">P23*Q23</f>
        <v>0</v>
      </c>
      <c r="S23" s="20">
        <f t="shared" ref="S23:S42" si="3">F23*E23*(H23*L23*$C$14+N23*R23*$C$15)</f>
        <v>0</v>
      </c>
      <c r="T23" s="287">
        <f t="shared" ref="T23:T42" si="4">IF($H$10="",0,F23*E23*(I23*L23*$C$14+O23*R23*$C$15)*860/$H$10)</f>
        <v>0</v>
      </c>
      <c r="U23" s="237">
        <f>S23*係数!$H$30+T23*係数!$H$25</f>
        <v>0</v>
      </c>
      <c r="V23" s="35"/>
      <c r="W23" s="27"/>
      <c r="X23" s="285"/>
      <c r="Y23" s="288"/>
      <c r="Z23" s="286"/>
      <c r="AA23" s="234">
        <f t="shared" ref="AA23:AA42" si="5">IF(L23="","",L23)</f>
        <v>0</v>
      </c>
      <c r="AB23" s="285"/>
      <c r="AC23" s="288"/>
      <c r="AD23" s="286"/>
      <c r="AE23" s="234">
        <f>IF(R23="","",R23)</f>
        <v>0</v>
      </c>
      <c r="AF23" s="20">
        <f>IFERROR(W23*(Y23*AA23*$C$14+AC23*AE23*$C$15),0)</f>
        <v>0</v>
      </c>
      <c r="AG23" s="237">
        <f>IF($H$10="",0,IFERROR(W23*(Z23*AA23*$C$14+AD23*AE23*$C$15)*860/$H$10,0))</f>
        <v>0</v>
      </c>
      <c r="AH23" s="237">
        <f>AF23*係数!$H$30+AG23*係数!$H$25</f>
        <v>0</v>
      </c>
      <c r="AI23" s="242">
        <f t="shared" ref="AI23:AJ38" si="6">S23-AF23</f>
        <v>0</v>
      </c>
      <c r="AJ23" s="509">
        <f>T23-AG23</f>
        <v>0</v>
      </c>
      <c r="AK23" s="510">
        <f t="shared" ref="AK23:AK42" si="7">U23-AH23</f>
        <v>0</v>
      </c>
    </row>
    <row r="24" spans="2:37" x14ac:dyDescent="0.4">
      <c r="B24" s="194" t="s">
        <v>118</v>
      </c>
      <c r="C24" s="35"/>
      <c r="D24" s="35"/>
      <c r="E24" s="27"/>
      <c r="F24" s="231">
        <f t="shared" ref="F24:F42" si="8">IF(D24="",1,MIN(1.5,(2024-D24)*0.05+1))</f>
        <v>1</v>
      </c>
      <c r="G24" s="285"/>
      <c r="H24" s="286"/>
      <c r="I24" s="286"/>
      <c r="J24" s="282"/>
      <c r="K24" s="282"/>
      <c r="L24" s="508">
        <f t="shared" si="1"/>
        <v>0</v>
      </c>
      <c r="M24" s="241"/>
      <c r="N24" s="286"/>
      <c r="O24" s="286"/>
      <c r="P24" s="282"/>
      <c r="Q24" s="282"/>
      <c r="R24" s="508">
        <f t="shared" si="2"/>
        <v>0</v>
      </c>
      <c r="S24" s="20">
        <f t="shared" si="3"/>
        <v>0</v>
      </c>
      <c r="T24" s="287">
        <f t="shared" si="4"/>
        <v>0</v>
      </c>
      <c r="U24" s="237">
        <f>S24*係数!$H$30+T24*係数!$H$25</f>
        <v>0</v>
      </c>
      <c r="V24" s="35"/>
      <c r="W24" s="27"/>
      <c r="X24" s="285"/>
      <c r="Y24" s="288"/>
      <c r="Z24" s="286"/>
      <c r="AA24" s="234">
        <f t="shared" si="5"/>
        <v>0</v>
      </c>
      <c r="AB24" s="285"/>
      <c r="AC24" s="288"/>
      <c r="AD24" s="286"/>
      <c r="AE24" s="234">
        <f t="shared" ref="AE24:AE42" si="9">IF(R24="","",R24)</f>
        <v>0</v>
      </c>
      <c r="AF24" s="20">
        <f t="shared" ref="AF24:AF42" si="10">IFERROR(W24*(Y24*AA24*$C$14+AC24*AE24*$C$15),0)</f>
        <v>0</v>
      </c>
      <c r="AG24" s="237">
        <f>IF($H$10="",0,IFERROR(W24*(Z24*AA24*$C$14+AD24*AE24*$C$15)*860/$H$10,0))</f>
        <v>0</v>
      </c>
      <c r="AH24" s="237">
        <f>AF24*係数!$H$30+AG24*係数!$H$25</f>
        <v>0</v>
      </c>
      <c r="AI24" s="242">
        <f t="shared" si="6"/>
        <v>0</v>
      </c>
      <c r="AJ24" s="509">
        <f t="shared" si="6"/>
        <v>0</v>
      </c>
      <c r="AK24" s="510">
        <f t="shared" si="7"/>
        <v>0</v>
      </c>
    </row>
    <row r="25" spans="2:37" x14ac:dyDescent="0.4">
      <c r="B25" s="194" t="s">
        <v>119</v>
      </c>
      <c r="C25" s="35"/>
      <c r="D25" s="35"/>
      <c r="E25" s="27"/>
      <c r="F25" s="231">
        <f t="shared" si="8"/>
        <v>1</v>
      </c>
      <c r="G25" s="285"/>
      <c r="H25" s="286"/>
      <c r="I25" s="286"/>
      <c r="J25" s="282"/>
      <c r="K25" s="282"/>
      <c r="L25" s="508">
        <f t="shared" si="1"/>
        <v>0</v>
      </c>
      <c r="M25" s="241"/>
      <c r="N25" s="286"/>
      <c r="O25" s="286"/>
      <c r="P25" s="282"/>
      <c r="Q25" s="282"/>
      <c r="R25" s="508">
        <f t="shared" si="2"/>
        <v>0</v>
      </c>
      <c r="S25" s="20">
        <f t="shared" si="3"/>
        <v>0</v>
      </c>
      <c r="T25" s="287">
        <f t="shared" si="4"/>
        <v>0</v>
      </c>
      <c r="U25" s="237">
        <f>S25*係数!$H$30+T25*係数!$H$25</f>
        <v>0</v>
      </c>
      <c r="V25" s="35"/>
      <c r="W25" s="27"/>
      <c r="X25" s="285"/>
      <c r="Y25" s="288"/>
      <c r="Z25" s="286"/>
      <c r="AA25" s="234">
        <f t="shared" si="5"/>
        <v>0</v>
      </c>
      <c r="AB25" s="285"/>
      <c r="AC25" s="288"/>
      <c r="AD25" s="286"/>
      <c r="AE25" s="234">
        <f t="shared" si="9"/>
        <v>0</v>
      </c>
      <c r="AF25" s="20">
        <f t="shared" si="10"/>
        <v>0</v>
      </c>
      <c r="AG25" s="237">
        <f>IF($H$10="",0,IFERROR(W25*(Z25*AA25*$C$14+AD25*AE25*$C$15)*860/$H$10,0))</f>
        <v>0</v>
      </c>
      <c r="AH25" s="237">
        <f>AF25*係数!$H$30+AG25*係数!$H$25</f>
        <v>0</v>
      </c>
      <c r="AI25" s="242">
        <f t="shared" si="6"/>
        <v>0</v>
      </c>
      <c r="AJ25" s="509">
        <f t="shared" si="6"/>
        <v>0</v>
      </c>
      <c r="AK25" s="510">
        <f t="shared" si="7"/>
        <v>0</v>
      </c>
    </row>
    <row r="26" spans="2:37" x14ac:dyDescent="0.4">
      <c r="B26" s="194" t="s">
        <v>120</v>
      </c>
      <c r="C26" s="35"/>
      <c r="D26" s="35"/>
      <c r="E26" s="27"/>
      <c r="F26" s="231">
        <f t="shared" si="8"/>
        <v>1</v>
      </c>
      <c r="G26" s="285"/>
      <c r="H26" s="286"/>
      <c r="I26" s="286"/>
      <c r="J26" s="282"/>
      <c r="K26" s="282"/>
      <c r="L26" s="511">
        <f t="shared" si="1"/>
        <v>0</v>
      </c>
      <c r="M26" s="285"/>
      <c r="N26" s="286"/>
      <c r="O26" s="286"/>
      <c r="P26" s="282"/>
      <c r="Q26" s="282"/>
      <c r="R26" s="511">
        <f t="shared" si="2"/>
        <v>0</v>
      </c>
      <c r="S26" s="20">
        <f t="shared" si="3"/>
        <v>0</v>
      </c>
      <c r="T26" s="287">
        <f t="shared" si="4"/>
        <v>0</v>
      </c>
      <c r="U26" s="237">
        <f>S26*係数!$H$30+T26*係数!$H$25</f>
        <v>0</v>
      </c>
      <c r="V26" s="35"/>
      <c r="W26" s="27"/>
      <c r="X26" s="285"/>
      <c r="Y26" s="288"/>
      <c r="Z26" s="286"/>
      <c r="AA26" s="234">
        <f t="shared" si="5"/>
        <v>0</v>
      </c>
      <c r="AB26" s="285"/>
      <c r="AC26" s="288"/>
      <c r="AD26" s="286"/>
      <c r="AE26" s="1">
        <f t="shared" si="9"/>
        <v>0</v>
      </c>
      <c r="AF26" s="1">
        <f t="shared" si="10"/>
        <v>0</v>
      </c>
      <c r="AG26" s="237">
        <f>IF($H$10="",0,IFERROR(W26*(Z26*AA26*$C$14+AD26*AE26*$C$15)*860/$H$10,0))</f>
        <v>0</v>
      </c>
      <c r="AH26" s="237">
        <f>AF26*係数!$H$30+AG26*係数!$H$25</f>
        <v>0</v>
      </c>
      <c r="AI26" s="242">
        <f t="shared" si="6"/>
        <v>0</v>
      </c>
      <c r="AJ26" s="509">
        <f t="shared" si="6"/>
        <v>0</v>
      </c>
      <c r="AK26" s="510">
        <f t="shared" si="7"/>
        <v>0</v>
      </c>
    </row>
    <row r="27" spans="2:37" x14ac:dyDescent="0.4">
      <c r="B27" s="194" t="s">
        <v>121</v>
      </c>
      <c r="C27" s="35"/>
      <c r="D27" s="35"/>
      <c r="E27" s="27"/>
      <c r="F27" s="231">
        <f t="shared" si="8"/>
        <v>1</v>
      </c>
      <c r="G27" s="285"/>
      <c r="H27" s="286"/>
      <c r="I27" s="286"/>
      <c r="J27" s="282"/>
      <c r="K27" s="282"/>
      <c r="L27" s="511">
        <f t="shared" si="1"/>
        <v>0</v>
      </c>
      <c r="M27" s="285"/>
      <c r="N27" s="286"/>
      <c r="O27" s="286"/>
      <c r="P27" s="282"/>
      <c r="Q27" s="282"/>
      <c r="R27" s="511">
        <f t="shared" si="2"/>
        <v>0</v>
      </c>
      <c r="S27" s="20">
        <f t="shared" si="3"/>
        <v>0</v>
      </c>
      <c r="T27" s="287">
        <f t="shared" si="4"/>
        <v>0</v>
      </c>
      <c r="U27" s="237">
        <f>S27*係数!$H$30+T27*係数!$H$25</f>
        <v>0</v>
      </c>
      <c r="V27" s="35"/>
      <c r="W27" s="27"/>
      <c r="X27" s="285"/>
      <c r="Y27" s="288"/>
      <c r="Z27" s="286"/>
      <c r="AA27" s="234">
        <f t="shared" si="5"/>
        <v>0</v>
      </c>
      <c r="AB27" s="285"/>
      <c r="AC27" s="288"/>
      <c r="AD27" s="286"/>
      <c r="AE27" s="1">
        <f t="shared" si="9"/>
        <v>0</v>
      </c>
      <c r="AF27" s="1">
        <f t="shared" si="10"/>
        <v>0</v>
      </c>
      <c r="AG27" s="237">
        <f>IF($H$10="",0,IFERROR(W27*(Z27*AA27*$C$14+AD27*AE27*$C$15)*860/$H$10,0))</f>
        <v>0</v>
      </c>
      <c r="AH27" s="237">
        <f>AF27*係数!$H$30+AG27*係数!$H$25</f>
        <v>0</v>
      </c>
      <c r="AI27" s="242">
        <f t="shared" si="6"/>
        <v>0</v>
      </c>
      <c r="AJ27" s="509">
        <f t="shared" si="6"/>
        <v>0</v>
      </c>
      <c r="AK27" s="510">
        <f t="shared" si="7"/>
        <v>0</v>
      </c>
    </row>
    <row r="28" spans="2:37" x14ac:dyDescent="0.4">
      <c r="B28" s="194" t="s">
        <v>122</v>
      </c>
      <c r="C28" s="35"/>
      <c r="D28" s="35"/>
      <c r="E28" s="27"/>
      <c r="F28" s="231">
        <f t="shared" si="8"/>
        <v>1</v>
      </c>
      <c r="G28" s="285"/>
      <c r="H28" s="286"/>
      <c r="I28" s="286"/>
      <c r="J28" s="282"/>
      <c r="K28" s="282"/>
      <c r="L28" s="511">
        <f t="shared" si="1"/>
        <v>0</v>
      </c>
      <c r="M28" s="285"/>
      <c r="N28" s="286"/>
      <c r="O28" s="286"/>
      <c r="P28" s="282"/>
      <c r="Q28" s="282"/>
      <c r="R28" s="511">
        <f t="shared" si="2"/>
        <v>0</v>
      </c>
      <c r="S28" s="20">
        <f t="shared" si="3"/>
        <v>0</v>
      </c>
      <c r="T28" s="287">
        <f t="shared" si="4"/>
        <v>0</v>
      </c>
      <c r="U28" s="237">
        <f>S28*係数!$H$30+T28*係数!$H$25</f>
        <v>0</v>
      </c>
      <c r="V28" s="35"/>
      <c r="W28" s="27"/>
      <c r="X28" s="285"/>
      <c r="Y28" s="288"/>
      <c r="Z28" s="286"/>
      <c r="AA28" s="234">
        <f t="shared" si="5"/>
        <v>0</v>
      </c>
      <c r="AB28" s="285"/>
      <c r="AC28" s="288"/>
      <c r="AD28" s="286"/>
      <c r="AE28" s="1">
        <f t="shared" si="9"/>
        <v>0</v>
      </c>
      <c r="AF28" s="1">
        <f t="shared" si="10"/>
        <v>0</v>
      </c>
      <c r="AG28" s="237">
        <f t="shared" ref="AG28:AG42" si="11">IF($H$10="",0,IFERROR(W28*(Z28*AA28*$C$14+AD28*AE28*$C$15)*860/$H$10,0))</f>
        <v>0</v>
      </c>
      <c r="AH28" s="237">
        <f>AF28*係数!$H$30+AG28*係数!$H$25</f>
        <v>0</v>
      </c>
      <c r="AI28" s="242">
        <f t="shared" si="6"/>
        <v>0</v>
      </c>
      <c r="AJ28" s="509">
        <f t="shared" si="6"/>
        <v>0</v>
      </c>
      <c r="AK28" s="510">
        <f t="shared" si="7"/>
        <v>0</v>
      </c>
    </row>
    <row r="29" spans="2:37" x14ac:dyDescent="0.4">
      <c r="B29" s="194" t="s">
        <v>123</v>
      </c>
      <c r="C29" s="35"/>
      <c r="D29" s="35"/>
      <c r="E29" s="27"/>
      <c r="F29" s="231">
        <f t="shared" si="8"/>
        <v>1</v>
      </c>
      <c r="G29" s="285"/>
      <c r="H29" s="286"/>
      <c r="I29" s="286"/>
      <c r="J29" s="282"/>
      <c r="K29" s="282"/>
      <c r="L29" s="511">
        <f t="shared" si="1"/>
        <v>0</v>
      </c>
      <c r="M29" s="285"/>
      <c r="N29" s="286"/>
      <c r="O29" s="286"/>
      <c r="P29" s="282"/>
      <c r="Q29" s="282"/>
      <c r="R29" s="511">
        <f t="shared" si="2"/>
        <v>0</v>
      </c>
      <c r="S29" s="20">
        <f t="shared" si="3"/>
        <v>0</v>
      </c>
      <c r="T29" s="287">
        <f t="shared" si="4"/>
        <v>0</v>
      </c>
      <c r="U29" s="237"/>
      <c r="V29" s="35"/>
      <c r="W29" s="27"/>
      <c r="X29" s="285"/>
      <c r="Y29" s="288"/>
      <c r="Z29" s="286"/>
      <c r="AA29" s="234">
        <f t="shared" si="5"/>
        <v>0</v>
      </c>
      <c r="AB29" s="285"/>
      <c r="AC29" s="288"/>
      <c r="AD29" s="286"/>
      <c r="AE29" s="1">
        <f t="shared" si="9"/>
        <v>0</v>
      </c>
      <c r="AF29" s="1">
        <f t="shared" si="10"/>
        <v>0</v>
      </c>
      <c r="AG29" s="237">
        <f t="shared" si="11"/>
        <v>0</v>
      </c>
      <c r="AH29" s="237">
        <f>AF29*係数!$H$30+AG29*係数!$H$25</f>
        <v>0</v>
      </c>
      <c r="AI29" s="242">
        <f t="shared" si="6"/>
        <v>0</v>
      </c>
      <c r="AJ29" s="509">
        <f t="shared" si="6"/>
        <v>0</v>
      </c>
      <c r="AK29" s="510">
        <f t="shared" si="7"/>
        <v>0</v>
      </c>
    </row>
    <row r="30" spans="2:37" x14ac:dyDescent="0.4">
      <c r="B30" s="194" t="s">
        <v>124</v>
      </c>
      <c r="C30" s="35"/>
      <c r="D30" s="35"/>
      <c r="E30" s="27"/>
      <c r="F30" s="231">
        <f t="shared" si="8"/>
        <v>1</v>
      </c>
      <c r="G30" s="285"/>
      <c r="H30" s="286"/>
      <c r="I30" s="286"/>
      <c r="J30" s="282"/>
      <c r="K30" s="282"/>
      <c r="L30" s="511">
        <f t="shared" si="1"/>
        <v>0</v>
      </c>
      <c r="M30" s="285"/>
      <c r="N30" s="286"/>
      <c r="O30" s="286"/>
      <c r="P30" s="282"/>
      <c r="Q30" s="282"/>
      <c r="R30" s="511">
        <f t="shared" si="2"/>
        <v>0</v>
      </c>
      <c r="S30" s="20">
        <f t="shared" si="3"/>
        <v>0</v>
      </c>
      <c r="T30" s="287">
        <f t="shared" si="4"/>
        <v>0</v>
      </c>
      <c r="U30" s="237">
        <f>S30*係数!$H$30+T30*係数!$H$25</f>
        <v>0</v>
      </c>
      <c r="V30" s="35"/>
      <c r="W30" s="27"/>
      <c r="X30" s="285"/>
      <c r="Y30" s="288"/>
      <c r="Z30" s="286"/>
      <c r="AA30" s="234">
        <f t="shared" si="5"/>
        <v>0</v>
      </c>
      <c r="AB30" s="285"/>
      <c r="AC30" s="288"/>
      <c r="AD30" s="286"/>
      <c r="AE30" s="1">
        <f t="shared" si="9"/>
        <v>0</v>
      </c>
      <c r="AF30" s="1">
        <f t="shared" si="10"/>
        <v>0</v>
      </c>
      <c r="AG30" s="237">
        <f t="shared" si="11"/>
        <v>0</v>
      </c>
      <c r="AH30" s="237">
        <f>AF30*係数!$H$30+AG30*係数!$H$25</f>
        <v>0</v>
      </c>
      <c r="AI30" s="242">
        <f t="shared" si="6"/>
        <v>0</v>
      </c>
      <c r="AJ30" s="509">
        <f t="shared" si="6"/>
        <v>0</v>
      </c>
      <c r="AK30" s="510">
        <f t="shared" si="7"/>
        <v>0</v>
      </c>
    </row>
    <row r="31" spans="2:37" x14ac:dyDescent="0.4">
      <c r="B31" s="194" t="s">
        <v>125</v>
      </c>
      <c r="C31" s="35"/>
      <c r="D31" s="35"/>
      <c r="E31" s="27"/>
      <c r="F31" s="231">
        <f t="shared" si="8"/>
        <v>1</v>
      </c>
      <c r="G31" s="285"/>
      <c r="H31" s="286"/>
      <c r="I31" s="286"/>
      <c r="J31" s="282"/>
      <c r="K31" s="282"/>
      <c r="L31" s="511">
        <f t="shared" si="1"/>
        <v>0</v>
      </c>
      <c r="M31" s="285"/>
      <c r="N31" s="286"/>
      <c r="O31" s="286"/>
      <c r="P31" s="282"/>
      <c r="Q31" s="282"/>
      <c r="R31" s="511">
        <f t="shared" si="2"/>
        <v>0</v>
      </c>
      <c r="S31" s="20">
        <f t="shared" si="3"/>
        <v>0</v>
      </c>
      <c r="T31" s="287">
        <f t="shared" si="4"/>
        <v>0</v>
      </c>
      <c r="U31" s="237">
        <f>S31*係数!$H$30+T31*係数!$H$25</f>
        <v>0</v>
      </c>
      <c r="V31" s="35"/>
      <c r="W31" s="27"/>
      <c r="X31" s="285"/>
      <c r="Y31" s="288"/>
      <c r="Z31" s="286"/>
      <c r="AA31" s="234">
        <f t="shared" si="5"/>
        <v>0</v>
      </c>
      <c r="AB31" s="285"/>
      <c r="AC31" s="288"/>
      <c r="AD31" s="286"/>
      <c r="AE31" s="1">
        <f t="shared" si="9"/>
        <v>0</v>
      </c>
      <c r="AF31" s="1">
        <f t="shared" si="10"/>
        <v>0</v>
      </c>
      <c r="AG31" s="237">
        <f t="shared" si="11"/>
        <v>0</v>
      </c>
      <c r="AH31" s="237">
        <f>AF31*係数!$H$30+AG31*係数!$H$25</f>
        <v>0</v>
      </c>
      <c r="AI31" s="242">
        <f t="shared" si="6"/>
        <v>0</v>
      </c>
      <c r="AJ31" s="509">
        <f t="shared" si="6"/>
        <v>0</v>
      </c>
      <c r="AK31" s="510">
        <f t="shared" si="7"/>
        <v>0</v>
      </c>
    </row>
    <row r="32" spans="2:37" x14ac:dyDescent="0.4">
      <c r="B32" s="194" t="s">
        <v>126</v>
      </c>
      <c r="C32" s="35"/>
      <c r="D32" s="35"/>
      <c r="E32" s="27"/>
      <c r="F32" s="231">
        <f t="shared" si="8"/>
        <v>1</v>
      </c>
      <c r="G32" s="285"/>
      <c r="H32" s="286"/>
      <c r="I32" s="286"/>
      <c r="J32" s="282"/>
      <c r="K32" s="282"/>
      <c r="L32" s="511">
        <f t="shared" si="1"/>
        <v>0</v>
      </c>
      <c r="M32" s="285"/>
      <c r="N32" s="286"/>
      <c r="O32" s="286"/>
      <c r="P32" s="282"/>
      <c r="Q32" s="282"/>
      <c r="R32" s="511">
        <f t="shared" si="2"/>
        <v>0</v>
      </c>
      <c r="S32" s="20">
        <f t="shared" si="3"/>
        <v>0</v>
      </c>
      <c r="T32" s="287">
        <f t="shared" si="4"/>
        <v>0</v>
      </c>
      <c r="U32" s="237">
        <f>S32*係数!$H$30+T32*係数!$H$25</f>
        <v>0</v>
      </c>
      <c r="V32" s="35"/>
      <c r="W32" s="27"/>
      <c r="X32" s="285"/>
      <c r="Y32" s="288"/>
      <c r="Z32" s="286"/>
      <c r="AA32" s="234">
        <f t="shared" si="5"/>
        <v>0</v>
      </c>
      <c r="AB32" s="285"/>
      <c r="AC32" s="288"/>
      <c r="AD32" s="286"/>
      <c r="AE32" s="1">
        <f t="shared" si="9"/>
        <v>0</v>
      </c>
      <c r="AF32" s="1">
        <f t="shared" si="10"/>
        <v>0</v>
      </c>
      <c r="AG32" s="237">
        <f t="shared" si="11"/>
        <v>0</v>
      </c>
      <c r="AH32" s="237">
        <f>AF32*係数!$H$30+AG32*係数!$H$25</f>
        <v>0</v>
      </c>
      <c r="AI32" s="242">
        <f t="shared" si="6"/>
        <v>0</v>
      </c>
      <c r="AJ32" s="509">
        <f t="shared" si="6"/>
        <v>0</v>
      </c>
      <c r="AK32" s="510">
        <f t="shared" si="7"/>
        <v>0</v>
      </c>
    </row>
    <row r="33" spans="2:37" x14ac:dyDescent="0.4">
      <c r="B33" s="194" t="s">
        <v>127</v>
      </c>
      <c r="C33" s="35"/>
      <c r="D33" s="35"/>
      <c r="E33" s="27"/>
      <c r="F33" s="231">
        <f t="shared" si="8"/>
        <v>1</v>
      </c>
      <c r="G33" s="285"/>
      <c r="H33" s="286"/>
      <c r="I33" s="286"/>
      <c r="J33" s="282"/>
      <c r="K33" s="282"/>
      <c r="L33" s="511">
        <f t="shared" si="1"/>
        <v>0</v>
      </c>
      <c r="M33" s="285"/>
      <c r="N33" s="286"/>
      <c r="O33" s="286"/>
      <c r="P33" s="282"/>
      <c r="Q33" s="282"/>
      <c r="R33" s="511">
        <f t="shared" si="2"/>
        <v>0</v>
      </c>
      <c r="S33" s="20">
        <f t="shared" si="3"/>
        <v>0</v>
      </c>
      <c r="T33" s="287">
        <f t="shared" si="4"/>
        <v>0</v>
      </c>
      <c r="U33" s="237">
        <f>S33*係数!$H$30+T33*係数!$H$25</f>
        <v>0</v>
      </c>
      <c r="V33" s="35"/>
      <c r="W33" s="27"/>
      <c r="X33" s="285"/>
      <c r="Y33" s="288"/>
      <c r="Z33" s="286"/>
      <c r="AA33" s="234">
        <f t="shared" si="5"/>
        <v>0</v>
      </c>
      <c r="AB33" s="285"/>
      <c r="AC33" s="288"/>
      <c r="AD33" s="286"/>
      <c r="AE33" s="1">
        <f t="shared" si="9"/>
        <v>0</v>
      </c>
      <c r="AF33" s="1">
        <f t="shared" si="10"/>
        <v>0</v>
      </c>
      <c r="AG33" s="237">
        <f t="shared" si="11"/>
        <v>0</v>
      </c>
      <c r="AH33" s="237">
        <f>AF33*係数!$H$30+AG33*係数!$H$25</f>
        <v>0</v>
      </c>
      <c r="AI33" s="242">
        <f t="shared" si="6"/>
        <v>0</v>
      </c>
      <c r="AJ33" s="509">
        <f t="shared" si="6"/>
        <v>0</v>
      </c>
      <c r="AK33" s="510">
        <f t="shared" si="7"/>
        <v>0</v>
      </c>
    </row>
    <row r="34" spans="2:37" x14ac:dyDescent="0.4">
      <c r="B34" s="194" t="s">
        <v>128</v>
      </c>
      <c r="C34" s="35"/>
      <c r="D34" s="35"/>
      <c r="E34" s="27"/>
      <c r="F34" s="231">
        <f t="shared" si="8"/>
        <v>1</v>
      </c>
      <c r="G34" s="285"/>
      <c r="H34" s="286"/>
      <c r="I34" s="286"/>
      <c r="J34" s="282"/>
      <c r="K34" s="282"/>
      <c r="L34" s="511">
        <f t="shared" si="1"/>
        <v>0</v>
      </c>
      <c r="M34" s="285"/>
      <c r="N34" s="286"/>
      <c r="O34" s="286"/>
      <c r="P34" s="282"/>
      <c r="Q34" s="282"/>
      <c r="R34" s="511">
        <f t="shared" si="2"/>
        <v>0</v>
      </c>
      <c r="S34" s="20">
        <f t="shared" si="3"/>
        <v>0</v>
      </c>
      <c r="T34" s="287">
        <f t="shared" si="4"/>
        <v>0</v>
      </c>
      <c r="U34" s="237">
        <f>S34*係数!$H$30+T34*係数!$H$25</f>
        <v>0</v>
      </c>
      <c r="V34" s="35"/>
      <c r="W34" s="27"/>
      <c r="X34" s="285"/>
      <c r="Y34" s="288"/>
      <c r="Z34" s="286"/>
      <c r="AA34" s="234">
        <f t="shared" si="5"/>
        <v>0</v>
      </c>
      <c r="AB34" s="285"/>
      <c r="AC34" s="288"/>
      <c r="AD34" s="286"/>
      <c r="AE34" s="1">
        <f t="shared" si="9"/>
        <v>0</v>
      </c>
      <c r="AF34" s="1">
        <f t="shared" si="10"/>
        <v>0</v>
      </c>
      <c r="AG34" s="237">
        <f t="shared" si="11"/>
        <v>0</v>
      </c>
      <c r="AH34" s="237">
        <f>AF34*係数!$H$30+AG34*係数!$H$25</f>
        <v>0</v>
      </c>
      <c r="AI34" s="242">
        <f t="shared" si="6"/>
        <v>0</v>
      </c>
      <c r="AJ34" s="509">
        <f t="shared" si="6"/>
        <v>0</v>
      </c>
      <c r="AK34" s="510">
        <f t="shared" si="7"/>
        <v>0</v>
      </c>
    </row>
    <row r="35" spans="2:37" x14ac:dyDescent="0.4">
      <c r="B35" s="194" t="s">
        <v>129</v>
      </c>
      <c r="C35" s="35"/>
      <c r="D35" s="35"/>
      <c r="E35" s="27"/>
      <c r="F35" s="231">
        <f t="shared" si="8"/>
        <v>1</v>
      </c>
      <c r="G35" s="285"/>
      <c r="H35" s="286"/>
      <c r="I35" s="286"/>
      <c r="J35" s="282"/>
      <c r="K35" s="282"/>
      <c r="L35" s="511">
        <f t="shared" si="1"/>
        <v>0</v>
      </c>
      <c r="M35" s="285"/>
      <c r="N35" s="286"/>
      <c r="O35" s="286"/>
      <c r="P35" s="282"/>
      <c r="Q35" s="282"/>
      <c r="R35" s="511">
        <f t="shared" si="2"/>
        <v>0</v>
      </c>
      <c r="S35" s="20">
        <f t="shared" si="3"/>
        <v>0</v>
      </c>
      <c r="T35" s="287">
        <f t="shared" si="4"/>
        <v>0</v>
      </c>
      <c r="U35" s="237">
        <f>S35*係数!$H$30+T35*係数!$H$25</f>
        <v>0</v>
      </c>
      <c r="V35" s="35"/>
      <c r="W35" s="27"/>
      <c r="X35" s="285"/>
      <c r="Y35" s="288"/>
      <c r="Z35" s="286"/>
      <c r="AA35" s="234">
        <f t="shared" si="5"/>
        <v>0</v>
      </c>
      <c r="AB35" s="285"/>
      <c r="AC35" s="288"/>
      <c r="AD35" s="286"/>
      <c r="AE35" s="1">
        <f t="shared" si="9"/>
        <v>0</v>
      </c>
      <c r="AF35" s="1">
        <f t="shared" si="10"/>
        <v>0</v>
      </c>
      <c r="AG35" s="237">
        <f t="shared" si="11"/>
        <v>0</v>
      </c>
      <c r="AH35" s="237">
        <f>AF35*係数!$H$30+AG35*係数!$H$25</f>
        <v>0</v>
      </c>
      <c r="AI35" s="242">
        <f t="shared" si="6"/>
        <v>0</v>
      </c>
      <c r="AJ35" s="509">
        <f t="shared" si="6"/>
        <v>0</v>
      </c>
      <c r="AK35" s="510">
        <f t="shared" si="7"/>
        <v>0</v>
      </c>
    </row>
    <row r="36" spans="2:37" x14ac:dyDescent="0.4">
      <c r="B36" s="194" t="s">
        <v>130</v>
      </c>
      <c r="C36" s="35"/>
      <c r="D36" s="35"/>
      <c r="E36" s="27"/>
      <c r="F36" s="231">
        <f t="shared" si="8"/>
        <v>1</v>
      </c>
      <c r="G36" s="285"/>
      <c r="H36" s="286"/>
      <c r="I36" s="286"/>
      <c r="J36" s="282"/>
      <c r="K36" s="282"/>
      <c r="L36" s="511">
        <f t="shared" si="1"/>
        <v>0</v>
      </c>
      <c r="M36" s="285"/>
      <c r="N36" s="286"/>
      <c r="O36" s="286"/>
      <c r="P36" s="282"/>
      <c r="Q36" s="282"/>
      <c r="R36" s="511">
        <f t="shared" si="2"/>
        <v>0</v>
      </c>
      <c r="S36" s="20">
        <f t="shared" si="3"/>
        <v>0</v>
      </c>
      <c r="T36" s="287">
        <f t="shared" si="4"/>
        <v>0</v>
      </c>
      <c r="U36" s="237">
        <f>S36*係数!$H$30+T36*係数!$H$25</f>
        <v>0</v>
      </c>
      <c r="V36" s="35"/>
      <c r="W36" s="27"/>
      <c r="X36" s="285"/>
      <c r="Y36" s="288"/>
      <c r="Z36" s="286"/>
      <c r="AA36" s="234">
        <f t="shared" si="5"/>
        <v>0</v>
      </c>
      <c r="AB36" s="285"/>
      <c r="AC36" s="288"/>
      <c r="AD36" s="286"/>
      <c r="AE36" s="1">
        <f t="shared" si="9"/>
        <v>0</v>
      </c>
      <c r="AF36" s="1">
        <f t="shared" si="10"/>
        <v>0</v>
      </c>
      <c r="AG36" s="237">
        <f t="shared" si="11"/>
        <v>0</v>
      </c>
      <c r="AH36" s="237">
        <f>AF36*係数!$H$30+AG36*係数!$H$25</f>
        <v>0</v>
      </c>
      <c r="AI36" s="242">
        <f t="shared" si="6"/>
        <v>0</v>
      </c>
      <c r="AJ36" s="509">
        <f t="shared" si="6"/>
        <v>0</v>
      </c>
      <c r="AK36" s="510">
        <f t="shared" si="7"/>
        <v>0</v>
      </c>
    </row>
    <row r="37" spans="2:37" x14ac:dyDescent="0.4">
      <c r="B37" s="194" t="s">
        <v>131</v>
      </c>
      <c r="C37" s="35"/>
      <c r="D37" s="35"/>
      <c r="E37" s="27"/>
      <c r="F37" s="231">
        <f t="shared" si="8"/>
        <v>1</v>
      </c>
      <c r="G37" s="285"/>
      <c r="H37" s="286"/>
      <c r="I37" s="286"/>
      <c r="J37" s="282"/>
      <c r="K37" s="282"/>
      <c r="L37" s="511">
        <f t="shared" si="1"/>
        <v>0</v>
      </c>
      <c r="M37" s="285"/>
      <c r="N37" s="286"/>
      <c r="O37" s="286"/>
      <c r="P37" s="282"/>
      <c r="Q37" s="282"/>
      <c r="R37" s="511">
        <f t="shared" si="2"/>
        <v>0</v>
      </c>
      <c r="S37" s="20">
        <f t="shared" si="3"/>
        <v>0</v>
      </c>
      <c r="T37" s="287">
        <f t="shared" si="4"/>
        <v>0</v>
      </c>
      <c r="U37" s="237">
        <f>S37*係数!$H$30+T37*係数!$H$25</f>
        <v>0</v>
      </c>
      <c r="V37" s="35"/>
      <c r="W37" s="27"/>
      <c r="X37" s="285"/>
      <c r="Y37" s="288"/>
      <c r="Z37" s="286"/>
      <c r="AA37" s="234">
        <f t="shared" si="5"/>
        <v>0</v>
      </c>
      <c r="AB37" s="285"/>
      <c r="AC37" s="288"/>
      <c r="AD37" s="286"/>
      <c r="AE37" s="1">
        <f t="shared" si="9"/>
        <v>0</v>
      </c>
      <c r="AF37" s="1">
        <f t="shared" si="10"/>
        <v>0</v>
      </c>
      <c r="AG37" s="237">
        <f t="shared" si="11"/>
        <v>0</v>
      </c>
      <c r="AH37" s="237">
        <f>AF37*係数!$H$30+AG37*係数!$H$25</f>
        <v>0</v>
      </c>
      <c r="AI37" s="242">
        <f t="shared" si="6"/>
        <v>0</v>
      </c>
      <c r="AJ37" s="509">
        <f t="shared" si="6"/>
        <v>0</v>
      </c>
      <c r="AK37" s="510">
        <f t="shared" si="7"/>
        <v>0</v>
      </c>
    </row>
    <row r="38" spans="2:37" x14ac:dyDescent="0.4">
      <c r="B38" s="194" t="s">
        <v>132</v>
      </c>
      <c r="C38" s="35"/>
      <c r="D38" s="35"/>
      <c r="E38" s="27"/>
      <c r="F38" s="231">
        <f t="shared" si="8"/>
        <v>1</v>
      </c>
      <c r="G38" s="285"/>
      <c r="H38" s="286"/>
      <c r="I38" s="286"/>
      <c r="J38" s="282"/>
      <c r="K38" s="282"/>
      <c r="L38" s="511">
        <f t="shared" si="1"/>
        <v>0</v>
      </c>
      <c r="M38" s="285"/>
      <c r="N38" s="286"/>
      <c r="O38" s="286"/>
      <c r="P38" s="282"/>
      <c r="Q38" s="282"/>
      <c r="R38" s="511">
        <f t="shared" si="2"/>
        <v>0</v>
      </c>
      <c r="S38" s="20">
        <f t="shared" si="3"/>
        <v>0</v>
      </c>
      <c r="T38" s="287">
        <f t="shared" si="4"/>
        <v>0</v>
      </c>
      <c r="U38" s="237">
        <f>S38*係数!$H$30+T38*係数!$H$25</f>
        <v>0</v>
      </c>
      <c r="V38" s="35"/>
      <c r="W38" s="27"/>
      <c r="X38" s="285"/>
      <c r="Y38" s="288"/>
      <c r="Z38" s="286"/>
      <c r="AA38" s="234">
        <f t="shared" si="5"/>
        <v>0</v>
      </c>
      <c r="AB38" s="285"/>
      <c r="AC38" s="288"/>
      <c r="AD38" s="286"/>
      <c r="AE38" s="1">
        <f t="shared" si="9"/>
        <v>0</v>
      </c>
      <c r="AF38" s="1">
        <f t="shared" si="10"/>
        <v>0</v>
      </c>
      <c r="AG38" s="237">
        <f t="shared" si="11"/>
        <v>0</v>
      </c>
      <c r="AH38" s="237">
        <f>AF38*係数!$H$30+AG38*係数!$H$25</f>
        <v>0</v>
      </c>
      <c r="AI38" s="242">
        <f t="shared" si="6"/>
        <v>0</v>
      </c>
      <c r="AJ38" s="509">
        <f t="shared" si="6"/>
        <v>0</v>
      </c>
      <c r="AK38" s="510">
        <f t="shared" si="7"/>
        <v>0</v>
      </c>
    </row>
    <row r="39" spans="2:37" x14ac:dyDescent="0.4">
      <c r="B39" s="194" t="s">
        <v>133</v>
      </c>
      <c r="C39" s="35"/>
      <c r="D39" s="35"/>
      <c r="E39" s="27"/>
      <c r="F39" s="231">
        <f t="shared" si="8"/>
        <v>1</v>
      </c>
      <c r="G39" s="285"/>
      <c r="H39" s="286"/>
      <c r="I39" s="286"/>
      <c r="J39" s="282"/>
      <c r="K39" s="282"/>
      <c r="L39" s="511">
        <f t="shared" si="1"/>
        <v>0</v>
      </c>
      <c r="M39" s="285"/>
      <c r="N39" s="286"/>
      <c r="O39" s="286"/>
      <c r="P39" s="282"/>
      <c r="Q39" s="282"/>
      <c r="R39" s="511">
        <f t="shared" si="2"/>
        <v>0</v>
      </c>
      <c r="S39" s="20">
        <f t="shared" si="3"/>
        <v>0</v>
      </c>
      <c r="T39" s="287">
        <f t="shared" si="4"/>
        <v>0</v>
      </c>
      <c r="U39" s="237">
        <f>S39*係数!$H$30+T39*係数!$H$25</f>
        <v>0</v>
      </c>
      <c r="V39" s="35"/>
      <c r="W39" s="27"/>
      <c r="X39" s="285"/>
      <c r="Y39" s="288"/>
      <c r="Z39" s="286"/>
      <c r="AA39" s="234">
        <f t="shared" si="5"/>
        <v>0</v>
      </c>
      <c r="AB39" s="285"/>
      <c r="AC39" s="288"/>
      <c r="AD39" s="286"/>
      <c r="AE39" s="1">
        <f t="shared" si="9"/>
        <v>0</v>
      </c>
      <c r="AF39" s="1">
        <f t="shared" si="10"/>
        <v>0</v>
      </c>
      <c r="AG39" s="237">
        <f t="shared" si="11"/>
        <v>0</v>
      </c>
      <c r="AH39" s="237">
        <f>AF39*係数!$H$30+AG39*係数!$H$25</f>
        <v>0</v>
      </c>
      <c r="AI39" s="242">
        <f t="shared" ref="AI39:AJ42" si="12">S39-AF39</f>
        <v>0</v>
      </c>
      <c r="AJ39" s="509">
        <f t="shared" si="12"/>
        <v>0</v>
      </c>
      <c r="AK39" s="510">
        <f t="shared" si="7"/>
        <v>0</v>
      </c>
    </row>
    <row r="40" spans="2:37" x14ac:dyDescent="0.4">
      <c r="B40" s="194" t="s">
        <v>134</v>
      </c>
      <c r="C40" s="35"/>
      <c r="D40" s="35"/>
      <c r="E40" s="27"/>
      <c r="F40" s="231">
        <f t="shared" si="8"/>
        <v>1</v>
      </c>
      <c r="G40" s="285"/>
      <c r="H40" s="286"/>
      <c r="I40" s="286"/>
      <c r="J40" s="282"/>
      <c r="K40" s="282"/>
      <c r="L40" s="511">
        <f t="shared" si="1"/>
        <v>0</v>
      </c>
      <c r="M40" s="285"/>
      <c r="N40" s="286"/>
      <c r="O40" s="286"/>
      <c r="P40" s="282"/>
      <c r="Q40" s="282"/>
      <c r="R40" s="511">
        <f t="shared" si="2"/>
        <v>0</v>
      </c>
      <c r="S40" s="20">
        <f t="shared" si="3"/>
        <v>0</v>
      </c>
      <c r="T40" s="287">
        <f t="shared" si="4"/>
        <v>0</v>
      </c>
      <c r="U40" s="237">
        <f>S40*係数!$H$30+T40*係数!$H$25</f>
        <v>0</v>
      </c>
      <c r="V40" s="35"/>
      <c r="W40" s="27"/>
      <c r="X40" s="285"/>
      <c r="Y40" s="288"/>
      <c r="Z40" s="286"/>
      <c r="AA40" s="234">
        <f t="shared" si="5"/>
        <v>0</v>
      </c>
      <c r="AB40" s="285"/>
      <c r="AC40" s="288"/>
      <c r="AD40" s="286"/>
      <c r="AE40" s="1">
        <f t="shared" si="9"/>
        <v>0</v>
      </c>
      <c r="AF40" s="1">
        <f t="shared" si="10"/>
        <v>0</v>
      </c>
      <c r="AG40" s="237">
        <f t="shared" si="11"/>
        <v>0</v>
      </c>
      <c r="AH40" s="237">
        <f>AF40*係数!$H$30+AG40*係数!$H$25</f>
        <v>0</v>
      </c>
      <c r="AI40" s="242">
        <f t="shared" si="12"/>
        <v>0</v>
      </c>
      <c r="AJ40" s="509">
        <f t="shared" si="12"/>
        <v>0</v>
      </c>
      <c r="AK40" s="510">
        <f t="shared" si="7"/>
        <v>0</v>
      </c>
    </row>
    <row r="41" spans="2:37" x14ac:dyDescent="0.4">
      <c r="B41" s="194" t="s">
        <v>135</v>
      </c>
      <c r="C41" s="35"/>
      <c r="D41" s="35"/>
      <c r="E41" s="27"/>
      <c r="F41" s="231">
        <f t="shared" si="8"/>
        <v>1</v>
      </c>
      <c r="G41" s="285"/>
      <c r="H41" s="286"/>
      <c r="I41" s="286"/>
      <c r="J41" s="282"/>
      <c r="K41" s="282"/>
      <c r="L41" s="511">
        <f t="shared" si="1"/>
        <v>0</v>
      </c>
      <c r="M41" s="285"/>
      <c r="N41" s="286"/>
      <c r="O41" s="286"/>
      <c r="P41" s="282"/>
      <c r="Q41" s="282"/>
      <c r="R41" s="511">
        <f t="shared" si="2"/>
        <v>0</v>
      </c>
      <c r="S41" s="20">
        <f t="shared" si="3"/>
        <v>0</v>
      </c>
      <c r="T41" s="287">
        <f t="shared" si="4"/>
        <v>0</v>
      </c>
      <c r="U41" s="237">
        <f>S41*係数!$H$30+T41*係数!$H$25</f>
        <v>0</v>
      </c>
      <c r="V41" s="35"/>
      <c r="W41" s="27"/>
      <c r="X41" s="285"/>
      <c r="Y41" s="288"/>
      <c r="Z41" s="286"/>
      <c r="AA41" s="234">
        <f t="shared" si="5"/>
        <v>0</v>
      </c>
      <c r="AB41" s="285"/>
      <c r="AC41" s="288"/>
      <c r="AD41" s="286"/>
      <c r="AE41" s="1">
        <f t="shared" si="9"/>
        <v>0</v>
      </c>
      <c r="AF41" s="1">
        <f t="shared" si="10"/>
        <v>0</v>
      </c>
      <c r="AG41" s="237">
        <f t="shared" si="11"/>
        <v>0</v>
      </c>
      <c r="AH41" s="237">
        <f>AF41*係数!$H$30+AG41*係数!$H$25</f>
        <v>0</v>
      </c>
      <c r="AI41" s="242">
        <f t="shared" si="12"/>
        <v>0</v>
      </c>
      <c r="AJ41" s="509">
        <f t="shared" si="12"/>
        <v>0</v>
      </c>
      <c r="AK41" s="510">
        <f t="shared" si="7"/>
        <v>0</v>
      </c>
    </row>
    <row r="42" spans="2:37" x14ac:dyDescent="0.4">
      <c r="B42" s="194" t="s">
        <v>136</v>
      </c>
      <c r="C42" s="35"/>
      <c r="D42" s="35"/>
      <c r="E42" s="27"/>
      <c r="F42" s="231">
        <f t="shared" si="8"/>
        <v>1</v>
      </c>
      <c r="G42" s="285"/>
      <c r="H42" s="286"/>
      <c r="I42" s="286"/>
      <c r="J42" s="282"/>
      <c r="K42" s="282"/>
      <c r="L42" s="511">
        <f t="shared" si="1"/>
        <v>0</v>
      </c>
      <c r="M42" s="285"/>
      <c r="N42" s="286"/>
      <c r="O42" s="286"/>
      <c r="P42" s="282"/>
      <c r="Q42" s="282"/>
      <c r="R42" s="511">
        <f t="shared" si="2"/>
        <v>0</v>
      </c>
      <c r="S42" s="20">
        <f t="shared" si="3"/>
        <v>0</v>
      </c>
      <c r="T42" s="287">
        <f t="shared" si="4"/>
        <v>0</v>
      </c>
      <c r="U42" s="237">
        <f>S42*係数!$H$30+T42*係数!$H$25</f>
        <v>0</v>
      </c>
      <c r="V42" s="35"/>
      <c r="W42" s="27"/>
      <c r="X42" s="285"/>
      <c r="Y42" s="288"/>
      <c r="Z42" s="286"/>
      <c r="AA42" s="234">
        <f t="shared" si="5"/>
        <v>0</v>
      </c>
      <c r="AB42" s="285"/>
      <c r="AC42" s="288"/>
      <c r="AD42" s="286"/>
      <c r="AE42" s="1">
        <f t="shared" si="9"/>
        <v>0</v>
      </c>
      <c r="AF42" s="1">
        <f t="shared" si="10"/>
        <v>0</v>
      </c>
      <c r="AG42" s="237">
        <f t="shared" si="11"/>
        <v>0</v>
      </c>
      <c r="AH42" s="237">
        <f>AF42*係数!$H$30+AG42*係数!$H$25</f>
        <v>0</v>
      </c>
      <c r="AI42" s="242">
        <f t="shared" si="12"/>
        <v>0</v>
      </c>
      <c r="AJ42" s="509">
        <f t="shared" si="12"/>
        <v>0</v>
      </c>
      <c r="AK42" s="510">
        <f t="shared" si="7"/>
        <v>0</v>
      </c>
    </row>
    <row r="43" spans="2:37" x14ac:dyDescent="0.4">
      <c r="L43" s="512"/>
      <c r="M43" s="512"/>
    </row>
  </sheetData>
  <sheetProtection algorithmName="SHA-512" hashValue="SfQBAxzI+RBQoSa3sXtG4fYun4A8kAlOmw2ALtC4mVdsvhW7kw462o3BXvZXKvBESyExmTPRiEs49sjQxVVlzw==" saltValue="yblrQK5fXyiSFyIWFR/4jg==" spinCount="100000" sheet="1" objects="1" scenarios="1" formatCells="0" formatColumns="0" formatRows="0"/>
  <mergeCells count="19">
    <mergeCell ref="B17:B19"/>
    <mergeCell ref="AI17:AK18"/>
    <mergeCell ref="H10:I10"/>
    <mergeCell ref="H9:I9"/>
    <mergeCell ref="D8:E8"/>
    <mergeCell ref="M7:N7"/>
    <mergeCell ref="Q7:U8"/>
    <mergeCell ref="W7:X7"/>
    <mergeCell ref="M8:N8"/>
    <mergeCell ref="D3:E3"/>
    <mergeCell ref="D4:E4"/>
    <mergeCell ref="D5:E5"/>
    <mergeCell ref="D6:E6"/>
    <mergeCell ref="D7:E7"/>
    <mergeCell ref="M3:U3"/>
    <mergeCell ref="W3:X3"/>
    <mergeCell ref="M4:U4"/>
    <mergeCell ref="W4:W5"/>
    <mergeCell ref="M6:U6"/>
  </mergeCells>
  <phoneticPr fontId="5"/>
  <conditionalFormatting sqref="D10:D15">
    <cfRule type="expression" dxfId="44" priority="5">
      <formula>$D$1="なし"</formula>
    </cfRule>
  </conditionalFormatting>
  <conditionalFormatting sqref="J4:J8 G7:H8 E10:E15 C14:C15 C23:AI42 AK23:AK42">
    <cfRule type="expression" dxfId="43" priority="6">
      <formula>$F$1="なし"</formula>
    </cfRule>
  </conditionalFormatting>
  <conditionalFormatting sqref="Q7:U8">
    <cfRule type="cellIs" dxfId="42" priority="1" operator="notEqual">
      <formula>"ー"</formula>
    </cfRule>
  </conditionalFormatting>
  <conditionalFormatting sqref="X22">
    <cfRule type="cellIs" dxfId="41" priority="3" operator="greaterThan">
      <formula>$G$22</formula>
    </cfRule>
  </conditionalFormatting>
  <conditionalFormatting sqref="AB22">
    <cfRule type="cellIs" dxfId="40" priority="2" operator="greaterThan">
      <formula>$M$22</formula>
    </cfRule>
  </conditionalFormatting>
  <conditionalFormatting sqref="AJ23:AJ42">
    <cfRule type="expression" dxfId="39" priority="4">
      <formula>$D$1="なし"</formula>
    </cfRule>
  </conditionalFormatting>
  <dataValidations count="4">
    <dataValidation type="whole" errorStyle="warning" allowBlank="1" showInputMessage="1" showErrorMessage="1" errorTitle="台数の増減" sqref="W21" xr:uid="{00000000-0002-0000-0500-000000000000}">
      <formula1>0</formula1>
      <formula2>E21</formula2>
    </dataValidation>
    <dataValidation type="list" allowBlank="1" showInputMessage="1" showErrorMessage="1" sqref="E10" xr:uid="{00000000-0002-0000-0500-000001000000}">
      <formula1>"13A,12A,LP"</formula1>
    </dataValidation>
    <dataValidation type="list" allowBlank="1" showInputMessage="1" showErrorMessage="1" sqref="D10" xr:uid="{00000000-0002-0000-0500-000002000000}">
      <formula1>"都市ガス,液化石油ガス（LPG）"</formula1>
    </dataValidation>
    <dataValidation type="decimal" errorStyle="warning" operator="equal" allowBlank="1" showInputMessage="1" showErrorMessage="1" errorTitle="負荷率の変更について" error="負荷率を変更する場合は、値の根拠となる資料（省エネ診断報告書等）を別途提出してください。" sqref="C14:C15" xr:uid="{00000000-0002-0000-0500-000003000000}">
      <formula1>0.4</formula1>
    </dataValidation>
  </dataValidations>
  <pageMargins left="0.70866141732283472" right="0.70866141732283472" top="0.74803149606299213" bottom="0.74803149606299213" header="0.31496062992125984" footer="0.31496062992125984"/>
  <pageSetup paperSize="8" scale="43" orientation="landscape" r:id="rId1"/>
  <ignoredErrors>
    <ignoredError sqref="I7:J7"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34"/>
  <sheetViews>
    <sheetView view="pageBreakPreview" zoomScale="55" zoomScaleNormal="70" zoomScaleSheetLayoutView="55" workbookViewId="0">
      <pane ySplit="1" topLeftCell="A2" activePane="bottomLeft" state="frozen"/>
      <selection activeCell="X35" sqref="X35"/>
      <selection pane="bottomLeft" activeCell="AA18" sqref="AA18"/>
    </sheetView>
  </sheetViews>
  <sheetFormatPr defaultColWidth="8.875" defaultRowHeight="18.75" x14ac:dyDescent="0.4"/>
  <cols>
    <col min="1" max="1" width="7.375" customWidth="1"/>
    <col min="2" max="2" width="6.875" customWidth="1"/>
    <col min="3" max="8" width="9.5" customWidth="1"/>
    <col min="9" max="9" width="11.125" customWidth="1"/>
    <col min="10" max="16" width="9.5" customWidth="1"/>
    <col min="17" max="18" width="10.875" customWidth="1"/>
    <col min="19" max="19" width="7" bestFit="1" customWidth="1"/>
    <col min="20" max="23" width="9.5" customWidth="1"/>
    <col min="24" max="24" width="9.625" customWidth="1"/>
    <col min="25" max="31" width="9.5" customWidth="1"/>
    <col min="32" max="32" width="10.875" customWidth="1"/>
    <col min="33" max="33" width="10.75" customWidth="1"/>
    <col min="34" max="34" width="7" bestFit="1" customWidth="1"/>
    <col min="35" max="35" width="9.125" bestFit="1" customWidth="1"/>
    <col min="36" max="36" width="7" bestFit="1" customWidth="1"/>
    <col min="37" max="37" width="10" bestFit="1" customWidth="1"/>
  </cols>
  <sheetData>
    <row r="1" spans="1:40" ht="30" x14ac:dyDescent="0.6">
      <c r="A1" s="95" t="s">
        <v>528</v>
      </c>
      <c r="F1" s="470"/>
      <c r="G1" s="184"/>
      <c r="I1" s="185"/>
      <c r="L1" s="186"/>
    </row>
    <row r="2" spans="1:40" x14ac:dyDescent="0.4">
      <c r="A2" t="s">
        <v>489</v>
      </c>
    </row>
    <row r="3" spans="1:40" x14ac:dyDescent="0.4">
      <c r="D3" s="613" t="s">
        <v>139</v>
      </c>
      <c r="E3" s="614"/>
      <c r="F3" s="190" t="s">
        <v>138</v>
      </c>
      <c r="G3" s="187" t="s">
        <v>76</v>
      </c>
      <c r="H3" s="187" t="s">
        <v>86</v>
      </c>
      <c r="I3" s="187" t="s">
        <v>183</v>
      </c>
      <c r="J3" s="188" t="s">
        <v>187</v>
      </c>
      <c r="L3" s="21"/>
      <c r="M3" s="624" t="s">
        <v>500</v>
      </c>
      <c r="N3" s="625"/>
      <c r="O3" s="625"/>
      <c r="P3" s="625"/>
      <c r="Q3" s="625"/>
      <c r="R3" s="625"/>
      <c r="S3" s="625"/>
      <c r="T3" s="625"/>
      <c r="U3" s="626"/>
    </row>
    <row r="4" spans="1:40" x14ac:dyDescent="0.4">
      <c r="D4" s="646" t="s">
        <v>370</v>
      </c>
      <c r="E4" s="647"/>
      <c r="F4" s="196" t="s">
        <v>62</v>
      </c>
      <c r="G4" s="453">
        <f>V19</f>
        <v>0</v>
      </c>
      <c r="H4" s="453">
        <f>AJ19</f>
        <v>0</v>
      </c>
      <c r="I4" s="514">
        <f>G4-H4</f>
        <v>0</v>
      </c>
      <c r="J4" s="39">
        <f>IF(OR(G4=0,I4=0),0,I4/G4)</f>
        <v>0</v>
      </c>
      <c r="L4" s="499"/>
      <c r="M4" s="642"/>
      <c r="N4" s="643"/>
      <c r="O4" s="643"/>
      <c r="P4" s="643"/>
      <c r="Q4" s="643"/>
      <c r="R4" s="643"/>
      <c r="S4" s="643"/>
      <c r="T4" s="643"/>
      <c r="U4" s="644"/>
    </row>
    <row r="5" spans="1:40" x14ac:dyDescent="0.4">
      <c r="D5" s="646" t="s">
        <v>4</v>
      </c>
      <c r="E5" s="647"/>
      <c r="F5" s="190" t="s">
        <v>89</v>
      </c>
      <c r="G5" s="515" t="str">
        <f>W19</f>
        <v>ー</v>
      </c>
      <c r="H5" s="516" t="str">
        <f>AK19</f>
        <v>ー</v>
      </c>
      <c r="I5" s="515" t="str">
        <f>IF(OR(G5="ー",H5="ー"),"ー",G5-H5)</f>
        <v>ー</v>
      </c>
      <c r="J5" s="467" t="str">
        <f>IF(OR(G5="ー",I5="ー"),"ー",I5/G5)</f>
        <v>ー</v>
      </c>
    </row>
    <row r="6" spans="1:40" x14ac:dyDescent="0.4">
      <c r="D6" s="646" t="s">
        <v>488</v>
      </c>
      <c r="E6" s="647"/>
      <c r="F6" s="190" t="s">
        <v>459</v>
      </c>
      <c r="G6" s="468">
        <f>X19</f>
        <v>0</v>
      </c>
      <c r="H6" s="468">
        <f>AL19</f>
        <v>0</v>
      </c>
      <c r="I6" s="469">
        <f>G6-H6</f>
        <v>0</v>
      </c>
      <c r="J6" s="39">
        <f>IF(OR(G6=0,I6=0),0,I6/G6)</f>
        <v>0</v>
      </c>
      <c r="M6" s="613" t="s">
        <v>529</v>
      </c>
      <c r="N6" s="619"/>
      <c r="O6" s="619"/>
      <c r="P6" s="619"/>
      <c r="Q6" s="619"/>
      <c r="R6" s="619"/>
      <c r="S6" s="619"/>
      <c r="T6" s="619"/>
      <c r="U6" s="614"/>
    </row>
    <row r="7" spans="1:40" ht="18" customHeight="1" x14ac:dyDescent="0.4">
      <c r="M7" s="660" t="s">
        <v>139</v>
      </c>
      <c r="N7" s="661"/>
      <c r="O7" s="613" t="s">
        <v>530</v>
      </c>
      <c r="P7" s="614"/>
      <c r="Q7" s="613" t="s">
        <v>86</v>
      </c>
      <c r="R7" s="614"/>
      <c r="S7" s="650" t="str">
        <f>IF(OR(O9&lt;Q9,P9&lt;R9),"やむを得ず増加する場合は特記事項欄に理由を記載してください。(要根拠資料提出)",IF(OR(O9&gt;Q9,P9&gt;R9),"減少する理由を特記事項欄に記載してください。","ー"))</f>
        <v>ー</v>
      </c>
      <c r="T7" s="651"/>
      <c r="U7" s="652"/>
    </row>
    <row r="8" spans="1:40" x14ac:dyDescent="0.4">
      <c r="M8" s="662"/>
      <c r="N8" s="663"/>
      <c r="O8" s="190" t="s">
        <v>531</v>
      </c>
      <c r="P8" s="190" t="s">
        <v>189</v>
      </c>
      <c r="Q8" s="190" t="s">
        <v>531</v>
      </c>
      <c r="R8" s="190" t="s">
        <v>189</v>
      </c>
      <c r="S8" s="664"/>
      <c r="T8" s="665"/>
      <c r="U8" s="666"/>
    </row>
    <row r="9" spans="1:40" x14ac:dyDescent="0.4">
      <c r="D9" s="21"/>
      <c r="E9" s="41"/>
      <c r="M9" s="648" t="s">
        <v>524</v>
      </c>
      <c r="N9" s="649"/>
      <c r="O9" s="1">
        <f>SUMPRODUCT(($L$20:$L$34=O8)*($L$20:$L$34=O8),$K$20:$K$34*$F$20:$F$34)</f>
        <v>0</v>
      </c>
      <c r="P9" s="1">
        <f>SUMPRODUCT(($L$20:$L$34=P8)*($L$20:$L$34=P8),$K$20:$K$34*$F$20:$F$34)</f>
        <v>0</v>
      </c>
      <c r="Q9" s="1">
        <f>SUMPRODUCT(($AC$20:$AC$34=Q8)*($AC$20:$AC$34=Q8),$AB$20:$AB$34*$Z$20:$Z$34)</f>
        <v>0</v>
      </c>
      <c r="R9" s="1">
        <f>SUMPRODUCT(($AC$20:$AC$34=R8)*($AC$20:$AC$34=R8),$AB$20:$AB$34*$Z$20:$Z$34)</f>
        <v>0</v>
      </c>
      <c r="S9" s="653"/>
      <c r="T9" s="654"/>
      <c r="U9" s="655"/>
    </row>
    <row r="10" spans="1:40" x14ac:dyDescent="0.4">
      <c r="A10" s="21"/>
      <c r="D10" s="499"/>
    </row>
    <row r="11" spans="1:40" x14ac:dyDescent="0.4">
      <c r="A11" s="21"/>
      <c r="B11" s="191"/>
      <c r="C11" s="499"/>
    </row>
    <row r="12" spans="1:40" x14ac:dyDescent="0.4">
      <c r="A12" s="21"/>
      <c r="B12" s="192"/>
      <c r="C12" s="499"/>
      <c r="R12" s="499"/>
    </row>
    <row r="13" spans="1:40" x14ac:dyDescent="0.4">
      <c r="B13" s="192"/>
    </row>
    <row r="14" spans="1:40" x14ac:dyDescent="0.4">
      <c r="A14" t="s">
        <v>137</v>
      </c>
    </row>
    <row r="15" spans="1:40" x14ac:dyDescent="0.4">
      <c r="B15" s="596" t="s">
        <v>139</v>
      </c>
      <c r="C15" s="225" t="s">
        <v>76</v>
      </c>
      <c r="D15" s="222"/>
      <c r="E15" s="222"/>
      <c r="F15" s="222"/>
      <c r="G15" s="222"/>
      <c r="H15" s="222"/>
      <c r="I15" s="222"/>
      <c r="J15" s="222"/>
      <c r="K15" s="222"/>
      <c r="L15" s="222"/>
      <c r="M15" s="222"/>
      <c r="N15" s="222"/>
      <c r="O15" s="222"/>
      <c r="P15" s="222"/>
      <c r="Q15" s="222"/>
      <c r="R15" s="222"/>
      <c r="S15" s="222"/>
      <c r="T15" s="222"/>
      <c r="U15" s="222"/>
      <c r="V15" s="222"/>
      <c r="W15" s="222"/>
      <c r="X15" s="221"/>
      <c r="Y15" s="225" t="s">
        <v>86</v>
      </c>
      <c r="Z15" s="222"/>
      <c r="AA15" s="222"/>
      <c r="AB15" s="222"/>
      <c r="AC15" s="222"/>
      <c r="AD15" s="222"/>
      <c r="AE15" s="222"/>
      <c r="AF15" s="222"/>
      <c r="AG15" s="222"/>
      <c r="AH15" s="222"/>
      <c r="AI15" s="222"/>
      <c r="AJ15" s="222"/>
      <c r="AK15" s="222"/>
      <c r="AL15" s="221"/>
      <c r="AM15" s="225" t="s">
        <v>93</v>
      </c>
      <c r="AN15" s="221"/>
    </row>
    <row r="16" spans="1:40" ht="56.25" x14ac:dyDescent="0.4">
      <c r="B16" s="597"/>
      <c r="C16" s="189" t="s">
        <v>532</v>
      </c>
      <c r="D16" s="189" t="s">
        <v>533</v>
      </c>
      <c r="E16" s="189" t="s">
        <v>534</v>
      </c>
      <c r="F16" s="189" t="s">
        <v>85</v>
      </c>
      <c r="G16" s="187" t="s">
        <v>141</v>
      </c>
      <c r="H16" s="187" t="s">
        <v>466</v>
      </c>
      <c r="I16" s="416" t="s">
        <v>535</v>
      </c>
      <c r="J16" s="189" t="s">
        <v>536</v>
      </c>
      <c r="K16" s="189" t="s">
        <v>537</v>
      </c>
      <c r="L16" s="189" t="s">
        <v>538</v>
      </c>
      <c r="M16" s="189" t="s">
        <v>462</v>
      </c>
      <c r="N16" s="189" t="s">
        <v>539</v>
      </c>
      <c r="O16" s="189" t="s">
        <v>466</v>
      </c>
      <c r="P16" s="189" t="s">
        <v>908</v>
      </c>
      <c r="Q16" s="189" t="s">
        <v>80</v>
      </c>
      <c r="R16" s="189" t="s">
        <v>909</v>
      </c>
      <c r="S16" s="189" t="s">
        <v>109</v>
      </c>
      <c r="T16" s="189" t="s">
        <v>467</v>
      </c>
      <c r="U16" s="189" t="s">
        <v>445</v>
      </c>
      <c r="V16" s="189" t="s">
        <v>456</v>
      </c>
      <c r="W16" s="189" t="s">
        <v>4</v>
      </c>
      <c r="X16" s="189" t="s">
        <v>490</v>
      </c>
      <c r="Y16" s="189" t="s">
        <v>532</v>
      </c>
      <c r="Z16" s="189" t="s">
        <v>95</v>
      </c>
      <c r="AA16" s="187" t="s">
        <v>141</v>
      </c>
      <c r="AB16" s="189" t="s">
        <v>537</v>
      </c>
      <c r="AC16" s="189" t="s">
        <v>538</v>
      </c>
      <c r="AD16" s="189" t="s">
        <v>462</v>
      </c>
      <c r="AE16" s="189" t="s">
        <v>392</v>
      </c>
      <c r="AF16" s="189" t="s">
        <v>466</v>
      </c>
      <c r="AG16" s="189" t="s">
        <v>910</v>
      </c>
      <c r="AH16" s="189" t="s">
        <v>109</v>
      </c>
      <c r="AI16" s="189" t="s">
        <v>455</v>
      </c>
      <c r="AJ16" s="189" t="s">
        <v>443</v>
      </c>
      <c r="AK16" s="189" t="s">
        <v>4</v>
      </c>
      <c r="AL16" s="189" t="s">
        <v>490</v>
      </c>
      <c r="AM16" s="189" t="s">
        <v>457</v>
      </c>
      <c r="AN16" s="226" t="s">
        <v>4</v>
      </c>
    </row>
    <row r="17" spans="2:53" ht="18" customHeight="1" x14ac:dyDescent="0.4">
      <c r="B17" s="194" t="s">
        <v>138</v>
      </c>
      <c r="C17" s="194"/>
      <c r="D17" s="194"/>
      <c r="E17" s="194"/>
      <c r="F17" s="190" t="s">
        <v>77</v>
      </c>
      <c r="G17" s="194"/>
      <c r="H17" s="194"/>
      <c r="I17" s="371"/>
      <c r="J17" s="371"/>
      <c r="K17" s="371"/>
      <c r="L17" s="371"/>
      <c r="M17" s="190" t="s">
        <v>463</v>
      </c>
      <c r="N17" s="373" t="str">
        <f>"/(台・h)"</f>
        <v>/(台・h)</v>
      </c>
      <c r="O17" s="373"/>
      <c r="P17" s="190" t="s">
        <v>79</v>
      </c>
      <c r="Q17" s="190" t="s">
        <v>81</v>
      </c>
      <c r="R17" s="190" t="s">
        <v>82</v>
      </c>
      <c r="S17" s="190" t="s">
        <v>463</v>
      </c>
      <c r="T17" s="373" t="s">
        <v>468</v>
      </c>
      <c r="U17" s="392" t="str">
        <f>"/年"</f>
        <v>/年</v>
      </c>
      <c r="V17" s="196" t="s">
        <v>62</v>
      </c>
      <c r="W17" s="196" t="s">
        <v>464</v>
      </c>
      <c r="X17" s="190" t="s">
        <v>459</v>
      </c>
      <c r="Y17" s="196"/>
      <c r="Z17" s="190" t="s">
        <v>77</v>
      </c>
      <c r="AA17" s="196"/>
      <c r="AB17" s="371"/>
      <c r="AC17" s="371"/>
      <c r="AD17" s="194" t="s">
        <v>463</v>
      </c>
      <c r="AE17" s="373" t="str">
        <f>"/(台・h)"</f>
        <v>/(台・h)</v>
      </c>
      <c r="AF17" s="373"/>
      <c r="AG17" s="190" t="s">
        <v>82</v>
      </c>
      <c r="AH17" s="190" t="s">
        <v>463</v>
      </c>
      <c r="AI17" s="392" t="str">
        <f>"/年"</f>
        <v>/年</v>
      </c>
      <c r="AJ17" s="196" t="s">
        <v>62</v>
      </c>
      <c r="AK17" s="196" t="s">
        <v>464</v>
      </c>
      <c r="AL17" s="190" t="s">
        <v>459</v>
      </c>
      <c r="AM17" s="196" t="s">
        <v>62</v>
      </c>
      <c r="AN17" s="196" t="s">
        <v>464</v>
      </c>
      <c r="AP17" s="1" t="s">
        <v>76</v>
      </c>
      <c r="AQ17" s="1"/>
      <c r="AR17" s="1"/>
      <c r="AS17" s="1" t="s">
        <v>4</v>
      </c>
      <c r="AT17" s="1"/>
      <c r="AU17" s="1"/>
      <c r="AV17" s="1" t="s">
        <v>86</v>
      </c>
      <c r="AW17" s="1"/>
      <c r="AX17" s="1"/>
      <c r="AY17" s="1" t="s">
        <v>4</v>
      </c>
      <c r="AZ17" s="1"/>
      <c r="BA17" s="1"/>
    </row>
    <row r="18" spans="2:53" x14ac:dyDescent="0.4">
      <c r="B18" s="243" t="s">
        <v>506</v>
      </c>
      <c r="C18" s="417" t="s">
        <v>540</v>
      </c>
      <c r="D18" s="417" t="s">
        <v>541</v>
      </c>
      <c r="E18" s="417">
        <v>2008</v>
      </c>
      <c r="F18" s="199">
        <v>2</v>
      </c>
      <c r="G18" s="418" t="s">
        <v>0</v>
      </c>
      <c r="H18" s="419" t="str">
        <f>AR18</f>
        <v>kWh</v>
      </c>
      <c r="I18" s="420">
        <f>IF(D18="給湯器（HP）",IF(E18="",1,MIN(1.5,(2024-E18)*0.05+1)),"ー")</f>
        <v>1.5</v>
      </c>
      <c r="J18" s="420" t="str">
        <f>IF(OR(D18="",D18="給湯器（HP）"),"ー",0.1)</f>
        <v>ー</v>
      </c>
      <c r="K18" s="421">
        <v>40</v>
      </c>
      <c r="L18" s="243" t="s">
        <v>542</v>
      </c>
      <c r="M18" s="244">
        <f>40/9.43</f>
        <v>4.2417815482502652</v>
      </c>
      <c r="N18" s="199">
        <v>9.43</v>
      </c>
      <c r="O18" s="422" t="str">
        <f>AR18</f>
        <v>kWh</v>
      </c>
      <c r="P18" s="199">
        <v>10</v>
      </c>
      <c r="Q18" s="199">
        <v>365</v>
      </c>
      <c r="R18" s="229">
        <f>P18*Q18</f>
        <v>3650</v>
      </c>
      <c r="S18" s="423">
        <v>0.4</v>
      </c>
      <c r="T18" s="424">
        <f>IF(M18&gt;0,N18*M18*S18*AT18,0)</f>
        <v>159.52000000000001</v>
      </c>
      <c r="U18" s="425">
        <f>IF(R18=0,0,IF(D18="給湯器（HP）",N18*F18*R18*S18*I18,N18*F18*R18*S18/(1-J18)))</f>
        <v>41303.4</v>
      </c>
      <c r="V18" s="348">
        <f>U18*AP18</f>
        <v>18.834350400000002</v>
      </c>
      <c r="W18" s="245" t="str">
        <f>IF($AS18=0,"ー",U18*$AS18)</f>
        <v>ー</v>
      </c>
      <c r="X18" s="396">
        <f>(U18*$AT18)*0.0000258</f>
        <v>10.624308368400001</v>
      </c>
      <c r="Y18" s="426" t="s">
        <v>543</v>
      </c>
      <c r="Z18" s="199">
        <v>2</v>
      </c>
      <c r="AA18" s="418" t="s">
        <v>0</v>
      </c>
      <c r="AB18" s="421">
        <v>40</v>
      </c>
      <c r="AC18" s="243" t="s">
        <v>542</v>
      </c>
      <c r="AD18" s="244">
        <f>40/9.43</f>
        <v>4.2417815482502652</v>
      </c>
      <c r="AE18" s="427">
        <f>IF(AD18&gt;0,T18/AZ18/AD18/AH18,0)</f>
        <v>9.43</v>
      </c>
      <c r="AF18" s="422" t="str">
        <f>AX18</f>
        <v>kWh</v>
      </c>
      <c r="AG18" s="229">
        <f>R18</f>
        <v>3650</v>
      </c>
      <c r="AH18" s="428">
        <f>IF(S18="",0,S18*(K18*F18)/(AB18*Z18))</f>
        <v>0.4</v>
      </c>
      <c r="AI18" s="229">
        <f>AE18*Z18*AG18*AH18</f>
        <v>27535.600000000002</v>
      </c>
      <c r="AJ18" s="348">
        <f>AI18*AV18</f>
        <v>12.556233600000002</v>
      </c>
      <c r="AK18" s="245" t="str">
        <f>IF($AY18=0,"ー",AI18*$AY18)</f>
        <v>ー</v>
      </c>
      <c r="AL18" s="396">
        <f>(AI18*$AZ18)*0.0000258</f>
        <v>7.0828722456000008</v>
      </c>
      <c r="AM18" s="401">
        <f>V18-AJ18</f>
        <v>6.2781167999999994</v>
      </c>
      <c r="AN18" s="245" t="str">
        <f>IF(OR(W18="ー",AK18="ー"),"ー",W18-AK18)</f>
        <v>ー</v>
      </c>
      <c r="AP18" s="1">
        <f>IFERROR(VLOOKUP(G18,係数!$B$3:$I$30,7,FALSE),0)</f>
        <v>4.5600000000000003E-4</v>
      </c>
      <c r="AQ18" s="1" t="str">
        <f>IFERROR(VLOOKUP(G18,係数!$B$3:$I$30,8,FALSE),"")</f>
        <v>tCO2/kWh</v>
      </c>
      <c r="AR18" s="517" t="str">
        <f>IFERROR(VLOOKUP(G18,係数!$B$3:$I$30,4,FALSE),"")</f>
        <v>kWh</v>
      </c>
      <c r="AS18" s="1">
        <f>IFERROR(VLOOKUP(G18,使用量と光熱費!$C$6:$H$10,6,FALSE),0)</f>
        <v>0</v>
      </c>
      <c r="AT18" s="1">
        <f>IFERROR(VLOOKUP(G18,係数!$B$3:$I$30,2,FALSE),0)</f>
        <v>9.9700000000000006</v>
      </c>
      <c r="AU18" s="1">
        <f>IF(G18="電気",3.6,AT18)</f>
        <v>3.6</v>
      </c>
      <c r="AV18" s="1">
        <f>IFERROR(VLOOKUP(AA18,係数!$B$3:$I$30,7,FALSE),0)</f>
        <v>4.5600000000000003E-4</v>
      </c>
      <c r="AW18" s="1" t="str">
        <f>IFERROR(VLOOKUP(AA18,係数!$B$3:$I$30,8,FALSE),"")</f>
        <v>tCO2/kWh</v>
      </c>
      <c r="AX18" s="1" t="str">
        <f>IFERROR(VLOOKUP(AA18,係数!$B$3:$I$30,4,FALSE),"")</f>
        <v>kWh</v>
      </c>
      <c r="AY18" s="1">
        <f>IFERROR(VLOOKUP(AA18,使用量と光熱費!$C$6:$H$10,6,FALSE),0)</f>
        <v>0</v>
      </c>
      <c r="AZ18" s="1">
        <f>IFERROR(VLOOKUP(AA18,係数!$B$3:$I$30,2,FALSE),0)</f>
        <v>9.9700000000000006</v>
      </c>
      <c r="BA18" s="1">
        <f>IF(AA18="電気",3.6,AZ18)</f>
        <v>3.6</v>
      </c>
    </row>
    <row r="19" spans="2:53" x14ac:dyDescent="0.4">
      <c r="B19" s="518" t="s">
        <v>60</v>
      </c>
      <c r="C19" s="519"/>
      <c r="D19" s="519"/>
      <c r="E19" s="519"/>
      <c r="F19" s="180">
        <f>SUM(F20:F34)</f>
        <v>0</v>
      </c>
      <c r="G19" s="519"/>
      <c r="H19" s="519"/>
      <c r="I19" s="520"/>
      <c r="J19" s="519"/>
      <c r="K19" s="519"/>
      <c r="L19" s="246"/>
      <c r="M19" s="519"/>
      <c r="N19" s="521"/>
      <c r="O19" s="520"/>
      <c r="P19" s="520"/>
      <c r="Q19" s="520"/>
      <c r="R19" s="246"/>
      <c r="S19" s="522"/>
      <c r="T19" s="279">
        <f>SUM(T20:T34)</f>
        <v>0</v>
      </c>
      <c r="U19" s="180">
        <f t="shared" ref="U19" si="0">IF(R19=0,0,IF(D19="給湯器（HP）",N19*F19*R19*I19,N19*F19*R19/(1-J19)))</f>
        <v>0</v>
      </c>
      <c r="V19" s="523">
        <f>SUM(V20:V34)</f>
        <v>0</v>
      </c>
      <c r="W19" s="247" t="str">
        <f>IF(SUM(W20:W34)=0,"ー",SUM(W20:W34))</f>
        <v>ー</v>
      </c>
      <c r="X19" s="180">
        <f>SUM(X20:X34)</f>
        <v>0</v>
      </c>
      <c r="Y19" s="520"/>
      <c r="Z19" s="180">
        <f>SUM(Z20:Z34)</f>
        <v>0</v>
      </c>
      <c r="AA19" s="520"/>
      <c r="AB19" s="519"/>
      <c r="AC19" s="246"/>
      <c r="AD19" s="519"/>
      <c r="AE19" s="524"/>
      <c r="AF19" s="520"/>
      <c r="AG19" s="246"/>
      <c r="AH19" s="522"/>
      <c r="AI19" s="180">
        <f t="shared" ref="AI19:AL19" si="1">SUM(AI20:AI34)</f>
        <v>0</v>
      </c>
      <c r="AJ19" s="523">
        <f t="shared" si="1"/>
        <v>0</v>
      </c>
      <c r="AK19" s="247" t="str">
        <f>IF(SUM(AK20:AK34)=0,"ー",SUM(AK20:AK34))</f>
        <v>ー</v>
      </c>
      <c r="AL19" s="180">
        <f t="shared" si="1"/>
        <v>0</v>
      </c>
      <c r="AM19" s="525">
        <f>SUM(AM20:AM34)</f>
        <v>0</v>
      </c>
      <c r="AN19" s="247" t="str">
        <f>IF(SUM(AN20:AN34)=0,"ー",SUM(AN20:AN34))</f>
        <v>ー</v>
      </c>
      <c r="AP19" s="2" t="s">
        <v>142</v>
      </c>
      <c r="AQ19" s="1"/>
      <c r="AR19" s="1" t="s">
        <v>143</v>
      </c>
      <c r="AS19" s="1" t="s">
        <v>88</v>
      </c>
      <c r="AT19" s="1" t="s">
        <v>460</v>
      </c>
      <c r="AU19" s="1" t="s">
        <v>465</v>
      </c>
      <c r="AV19" s="2" t="s">
        <v>142</v>
      </c>
      <c r="AW19" s="1"/>
      <c r="AX19" s="1" t="s">
        <v>143</v>
      </c>
      <c r="AY19" s="1" t="s">
        <v>88</v>
      </c>
      <c r="AZ19" s="1" t="s">
        <v>460</v>
      </c>
      <c r="BA19" s="1" t="s">
        <v>465</v>
      </c>
    </row>
    <row r="20" spans="2:53" x14ac:dyDescent="0.4">
      <c r="B20" s="194" t="s">
        <v>168</v>
      </c>
      <c r="C20" s="28"/>
      <c r="D20" s="60"/>
      <c r="E20" s="28"/>
      <c r="F20" s="28"/>
      <c r="G20" s="182"/>
      <c r="H20" s="526" t="str">
        <f>AR20</f>
        <v/>
      </c>
      <c r="I20" s="527" t="str">
        <f>IF(D20="給湯器（HP）",IF(E20="",1,MIN(1.5,(2024-E20)*0.05+1)),"ー")</f>
        <v>ー</v>
      </c>
      <c r="J20" s="527" t="str">
        <f>IF(OR(D20="",D20="給湯器（HP）"),"ー",0.1)</f>
        <v>ー</v>
      </c>
      <c r="K20" s="528"/>
      <c r="L20" s="529"/>
      <c r="M20" s="183"/>
      <c r="N20" s="28"/>
      <c r="O20" s="3" t="str">
        <f t="shared" ref="O20:O34" si="2">AR20</f>
        <v/>
      </c>
      <c r="P20" s="28"/>
      <c r="Q20" s="28"/>
      <c r="R20" s="181">
        <f>P20*Q20</f>
        <v>0</v>
      </c>
      <c r="S20" s="183"/>
      <c r="T20" s="530">
        <f>IF(M20&gt;0,N20*M20*S20*AT20,0)</f>
        <v>0</v>
      </c>
      <c r="U20" s="181">
        <f t="shared" ref="U20:U34" si="3">IF(R20=0,0,IF(D20="給湯器（HP）",N20*F20*R20*S20*I20,N20*F20*R20*S20/(1-J20)))</f>
        <v>0</v>
      </c>
      <c r="V20" s="531">
        <f t="shared" ref="V20:V34" si="4">U20*AP20</f>
        <v>0</v>
      </c>
      <c r="W20" s="247" t="str">
        <f t="shared" ref="W20:W34" si="5">IF($AS20=0,"ー",U20*$AS20)</f>
        <v>ー</v>
      </c>
      <c r="X20" s="181">
        <f t="shared" ref="X20:X34" si="6">(U20*$AT20)*0.0000258</f>
        <v>0</v>
      </c>
      <c r="Y20" s="28"/>
      <c r="Z20" s="28"/>
      <c r="AA20" s="182"/>
      <c r="AB20" s="528"/>
      <c r="AC20" s="529"/>
      <c r="AD20" s="183"/>
      <c r="AE20" s="57">
        <f t="shared" ref="AE20:AE34" si="7">IF(AD20&gt;0,T20/AZ20/AD20/AH20,0)</f>
        <v>0</v>
      </c>
      <c r="AF20" s="3" t="str">
        <f>AX20</f>
        <v/>
      </c>
      <c r="AG20" s="181">
        <f>R20</f>
        <v>0</v>
      </c>
      <c r="AH20" s="532">
        <f t="shared" ref="AH20:AH34" si="8">IF(S20="",0,S20*(K20*F20)/(AB20*Z20))</f>
        <v>0</v>
      </c>
      <c r="AI20" s="181">
        <f t="shared" ref="AI20:AI34" si="9">AE20*Z20*AG20*AH20</f>
        <v>0</v>
      </c>
      <c r="AJ20" s="531">
        <f>AI20*AV20</f>
        <v>0</v>
      </c>
      <c r="AK20" s="247" t="str">
        <f>IF($AY20=0,"ー",AI20*$AY20)</f>
        <v>ー</v>
      </c>
      <c r="AL20" s="181">
        <f>(AI20*$AZ20)*0.0000258</f>
        <v>0</v>
      </c>
      <c r="AM20" s="533">
        <f t="shared" ref="AM20:AM34" si="10">V20-AJ20</f>
        <v>0</v>
      </c>
      <c r="AN20" s="247" t="str">
        <f t="shared" ref="AN20:AN34" si="11">IF(OR(W20="ー",AK20="ー"),"ー",W20-AK20)</f>
        <v>ー</v>
      </c>
      <c r="AP20" s="1">
        <f>IFERROR(VLOOKUP(G20,係数!$B$3:$I$30,7,FALSE),0)</f>
        <v>0</v>
      </c>
      <c r="AQ20" s="1" t="str">
        <f>IFERROR(VLOOKUP(G20,係数!$B$3:$I$30,8,FALSE),"")</f>
        <v/>
      </c>
      <c r="AR20" s="1" t="str">
        <f>IFERROR(VLOOKUP(G20,係数!$B$3:$I$30,4,FALSE),"")</f>
        <v/>
      </c>
      <c r="AS20" s="1">
        <f>IFERROR(VLOOKUP(G20,使用量と光熱費!$C$6:$H$10,6,FALSE),0)</f>
        <v>0</v>
      </c>
      <c r="AT20" s="1">
        <f>IFERROR(VLOOKUP(G20,係数!$B$3:$I$30,2,FALSE),0)</f>
        <v>0</v>
      </c>
      <c r="AU20" s="1">
        <f t="shared" ref="AU20:AU34" si="12">IF(G20="電気",3.6,AT20)</f>
        <v>0</v>
      </c>
      <c r="AV20" s="1">
        <f>IFERROR(VLOOKUP(AA20,係数!$B$3:$I$30,7,FALSE),0)</f>
        <v>0</v>
      </c>
      <c r="AW20" s="1" t="str">
        <f>IFERROR(VLOOKUP(AA20,係数!$B$3:$I$30,8,FALSE),"")</f>
        <v/>
      </c>
      <c r="AX20" s="1" t="str">
        <f>IFERROR(VLOOKUP(AA20,係数!$B$3:$I$30,4,FALSE),"")</f>
        <v/>
      </c>
      <c r="AY20" s="1">
        <f>IFERROR(VLOOKUP(AA20,使用量と光熱費!$C$6:$H$10,6,FALSE),0)</f>
        <v>0</v>
      </c>
      <c r="AZ20" s="1">
        <f>IFERROR(VLOOKUP(AA20,係数!$B$3:$I$30,2,FALSE),0)</f>
        <v>0</v>
      </c>
      <c r="BA20" s="1">
        <f t="shared" ref="BA20:BA34" si="13">IF(AA20="電気",3.6,AZ20)</f>
        <v>0</v>
      </c>
    </row>
    <row r="21" spans="2:53" x14ac:dyDescent="0.4">
      <c r="B21" s="194" t="s">
        <v>169</v>
      </c>
      <c r="C21" s="28"/>
      <c r="D21" s="60"/>
      <c r="E21" s="28"/>
      <c r="F21" s="28"/>
      <c r="G21" s="182"/>
      <c r="H21" s="526" t="str">
        <f>AR21</f>
        <v/>
      </c>
      <c r="I21" s="527" t="str">
        <f t="shared" ref="I21:I34" si="14">IF(D21="給湯器（HP）",IF(E21="",1,MIN(1.5,(2024-E21)*0.05+1)),"ー")</f>
        <v>ー</v>
      </c>
      <c r="J21" s="527" t="str">
        <f t="shared" ref="J21:J34" si="15">IF(OR(D21="",D21="給湯器（HP）"),"ー",0.1)</f>
        <v>ー</v>
      </c>
      <c r="K21" s="528"/>
      <c r="L21" s="529"/>
      <c r="M21" s="183"/>
      <c r="N21" s="28"/>
      <c r="O21" s="3" t="str">
        <f t="shared" si="2"/>
        <v/>
      </c>
      <c r="P21" s="28"/>
      <c r="Q21" s="28"/>
      <c r="R21" s="181">
        <f t="shared" ref="R21:R34" si="16">P21*Q21</f>
        <v>0</v>
      </c>
      <c r="S21" s="183"/>
      <c r="T21" s="530">
        <f>IF(M21&gt;0,N21*M21*S21*AT21,0)</f>
        <v>0</v>
      </c>
      <c r="U21" s="181">
        <f t="shared" si="3"/>
        <v>0</v>
      </c>
      <c r="V21" s="531">
        <f t="shared" si="4"/>
        <v>0</v>
      </c>
      <c r="W21" s="247" t="str">
        <f t="shared" si="5"/>
        <v>ー</v>
      </c>
      <c r="X21" s="181">
        <f t="shared" si="6"/>
        <v>0</v>
      </c>
      <c r="Y21" s="28"/>
      <c r="Z21" s="28"/>
      <c r="AA21" s="182"/>
      <c r="AB21" s="528"/>
      <c r="AC21" s="529"/>
      <c r="AD21" s="183"/>
      <c r="AE21" s="57">
        <f t="shared" si="7"/>
        <v>0</v>
      </c>
      <c r="AF21" s="3" t="str">
        <f t="shared" ref="AF21:AF34" si="17">AX21</f>
        <v/>
      </c>
      <c r="AG21" s="181">
        <f t="shared" ref="AG21:AG34" si="18">R21</f>
        <v>0</v>
      </c>
      <c r="AH21" s="532">
        <f t="shared" si="8"/>
        <v>0</v>
      </c>
      <c r="AI21" s="181">
        <f t="shared" si="9"/>
        <v>0</v>
      </c>
      <c r="AJ21" s="531">
        <f t="shared" ref="AJ21:AJ34" si="19">AI21*AV21</f>
        <v>0</v>
      </c>
      <c r="AK21" s="247" t="str">
        <f t="shared" ref="AK21:AK34" si="20">IF($AY21=0,"ー",AI21*$AY21)</f>
        <v>ー</v>
      </c>
      <c r="AL21" s="181">
        <f t="shared" ref="AL21:AL34" si="21">(AI21*$AZ21)*0.0000258</f>
        <v>0</v>
      </c>
      <c r="AM21" s="533">
        <f t="shared" si="10"/>
        <v>0</v>
      </c>
      <c r="AN21" s="247" t="str">
        <f t="shared" si="11"/>
        <v>ー</v>
      </c>
      <c r="AP21" s="1">
        <f>IFERROR(VLOOKUP(G21,係数!$B$3:$I$30,7,FALSE),0)</f>
        <v>0</v>
      </c>
      <c r="AQ21" s="1" t="str">
        <f>IFERROR(VLOOKUP(G21,係数!$B$3:$I$30,8,FALSE),"")</f>
        <v/>
      </c>
      <c r="AR21" s="1" t="str">
        <f>IFERROR(VLOOKUP(G21,係数!$B$3:$I$30,4,FALSE),"")</f>
        <v/>
      </c>
      <c r="AS21" s="1">
        <f>IFERROR(VLOOKUP(G21,使用量と光熱費!$C$6:$H$10,6,FALSE),0)</f>
        <v>0</v>
      </c>
      <c r="AT21" s="1">
        <f>IFERROR(VLOOKUP(G21,係数!$B$3:$I$30,2,FALSE),0)</f>
        <v>0</v>
      </c>
      <c r="AU21" s="1">
        <f t="shared" si="12"/>
        <v>0</v>
      </c>
      <c r="AV21" s="1">
        <f>IFERROR(VLOOKUP(AA21,係数!$B$3:$I$30,7,FALSE),0)</f>
        <v>0</v>
      </c>
      <c r="AW21" s="1" t="str">
        <f>IFERROR(VLOOKUP(AA21,係数!$B$3:$I$30,8,FALSE),"")</f>
        <v/>
      </c>
      <c r="AX21" s="1" t="str">
        <f>IFERROR(VLOOKUP(AA21,係数!$B$3:$I$30,4,FALSE),"")</f>
        <v/>
      </c>
      <c r="AY21" s="1">
        <f>IFERROR(VLOOKUP(AA21,使用量と光熱費!$C$6:$H$10,6,FALSE),0)</f>
        <v>0</v>
      </c>
      <c r="AZ21" s="1">
        <f>IFERROR(VLOOKUP(AA21,係数!$B$3:$I$30,2,FALSE),0)</f>
        <v>0</v>
      </c>
      <c r="BA21" s="1">
        <f t="shared" si="13"/>
        <v>0</v>
      </c>
    </row>
    <row r="22" spans="2:53" x14ac:dyDescent="0.4">
      <c r="B22" s="194" t="s">
        <v>170</v>
      </c>
      <c r="C22" s="28"/>
      <c r="D22" s="60"/>
      <c r="E22" s="28"/>
      <c r="F22" s="28"/>
      <c r="G22" s="182"/>
      <c r="H22" s="526" t="str">
        <f t="shared" ref="H22:H34" si="22">AR22</f>
        <v/>
      </c>
      <c r="I22" s="527" t="str">
        <f t="shared" si="14"/>
        <v>ー</v>
      </c>
      <c r="J22" s="527" t="str">
        <f t="shared" si="15"/>
        <v>ー</v>
      </c>
      <c r="K22" s="528"/>
      <c r="L22" s="529"/>
      <c r="M22" s="183"/>
      <c r="N22" s="28"/>
      <c r="O22" s="3" t="str">
        <f t="shared" si="2"/>
        <v/>
      </c>
      <c r="P22" s="28"/>
      <c r="Q22" s="28"/>
      <c r="R22" s="181">
        <f t="shared" si="16"/>
        <v>0</v>
      </c>
      <c r="S22" s="183"/>
      <c r="T22" s="530">
        <f t="shared" ref="T22:T34" si="23">IF(M22&gt;0,N22*M22*S22*AT22,0)</f>
        <v>0</v>
      </c>
      <c r="U22" s="181">
        <f t="shared" si="3"/>
        <v>0</v>
      </c>
      <c r="V22" s="531">
        <f t="shared" si="4"/>
        <v>0</v>
      </c>
      <c r="W22" s="247" t="str">
        <f t="shared" si="5"/>
        <v>ー</v>
      </c>
      <c r="X22" s="181">
        <f t="shared" si="6"/>
        <v>0</v>
      </c>
      <c r="Y22" s="28"/>
      <c r="Z22" s="28"/>
      <c r="AA22" s="182"/>
      <c r="AB22" s="528"/>
      <c r="AC22" s="529"/>
      <c r="AD22" s="183"/>
      <c r="AE22" s="57">
        <f t="shared" si="7"/>
        <v>0</v>
      </c>
      <c r="AF22" s="3" t="str">
        <f t="shared" si="17"/>
        <v/>
      </c>
      <c r="AG22" s="181">
        <f t="shared" si="18"/>
        <v>0</v>
      </c>
      <c r="AH22" s="532">
        <f t="shared" si="8"/>
        <v>0</v>
      </c>
      <c r="AI22" s="181">
        <f t="shared" si="9"/>
        <v>0</v>
      </c>
      <c r="AJ22" s="531">
        <f t="shared" si="19"/>
        <v>0</v>
      </c>
      <c r="AK22" s="247" t="str">
        <f t="shared" si="20"/>
        <v>ー</v>
      </c>
      <c r="AL22" s="181">
        <f t="shared" si="21"/>
        <v>0</v>
      </c>
      <c r="AM22" s="533">
        <f t="shared" si="10"/>
        <v>0</v>
      </c>
      <c r="AN22" s="247" t="str">
        <f t="shared" si="11"/>
        <v>ー</v>
      </c>
      <c r="AP22" s="1">
        <f>IFERROR(VLOOKUP(G22,係数!$B$3:$I$30,7,FALSE),0)</f>
        <v>0</v>
      </c>
      <c r="AQ22" s="1" t="str">
        <f>IFERROR(VLOOKUP(G22,係数!$B$3:$I$30,8,FALSE),"")</f>
        <v/>
      </c>
      <c r="AR22" s="1" t="str">
        <f>IFERROR(VLOOKUP(G22,係数!$B$3:$I$30,4,FALSE),"")</f>
        <v/>
      </c>
      <c r="AS22" s="1">
        <f>IFERROR(VLOOKUP(G22,使用量と光熱費!$C$6:$H$10,6,FALSE),0)</f>
        <v>0</v>
      </c>
      <c r="AT22" s="1">
        <f>IFERROR(VLOOKUP(G22,係数!$B$3:$I$30,2,FALSE),0)</f>
        <v>0</v>
      </c>
      <c r="AU22" s="1">
        <f t="shared" si="12"/>
        <v>0</v>
      </c>
      <c r="AV22" s="1">
        <f>IFERROR(VLOOKUP(AA22,係数!$B$3:$I$30,7,FALSE),0)</f>
        <v>0</v>
      </c>
      <c r="AW22" s="1" t="str">
        <f>IFERROR(VLOOKUP(AA22,係数!$B$3:$I$30,8,FALSE),"")</f>
        <v/>
      </c>
      <c r="AX22" s="1" t="str">
        <f>IFERROR(VLOOKUP(AA22,係数!$B$3:$I$30,4,FALSE),"")</f>
        <v/>
      </c>
      <c r="AY22" s="1">
        <f>IFERROR(VLOOKUP(AA22,使用量と光熱費!$C$6:$H$10,6,FALSE),0)</f>
        <v>0</v>
      </c>
      <c r="AZ22" s="1">
        <f>IFERROR(VLOOKUP(AA22,係数!$B$3:$I$30,2,FALSE),0)</f>
        <v>0</v>
      </c>
      <c r="BA22" s="1">
        <f t="shared" si="13"/>
        <v>0</v>
      </c>
    </row>
    <row r="23" spans="2:53" x14ac:dyDescent="0.4">
      <c r="B23" s="194" t="s">
        <v>171</v>
      </c>
      <c r="C23" s="28"/>
      <c r="D23" s="60"/>
      <c r="E23" s="28"/>
      <c r="F23" s="28"/>
      <c r="G23" s="182"/>
      <c r="H23" s="526" t="str">
        <f t="shared" si="22"/>
        <v/>
      </c>
      <c r="I23" s="527" t="str">
        <f t="shared" si="14"/>
        <v>ー</v>
      </c>
      <c r="J23" s="527" t="str">
        <f t="shared" si="15"/>
        <v>ー</v>
      </c>
      <c r="K23" s="528"/>
      <c r="L23" s="529"/>
      <c r="M23" s="183"/>
      <c r="N23" s="28"/>
      <c r="O23" s="3" t="str">
        <f t="shared" si="2"/>
        <v/>
      </c>
      <c r="P23" s="28"/>
      <c r="Q23" s="28"/>
      <c r="R23" s="181">
        <f t="shared" si="16"/>
        <v>0</v>
      </c>
      <c r="S23" s="183"/>
      <c r="T23" s="530">
        <f t="shared" si="23"/>
        <v>0</v>
      </c>
      <c r="U23" s="181">
        <f t="shared" si="3"/>
        <v>0</v>
      </c>
      <c r="V23" s="531">
        <f t="shared" si="4"/>
        <v>0</v>
      </c>
      <c r="W23" s="247" t="str">
        <f t="shared" si="5"/>
        <v>ー</v>
      </c>
      <c r="X23" s="181">
        <f t="shared" si="6"/>
        <v>0</v>
      </c>
      <c r="Y23" s="28"/>
      <c r="Z23" s="28"/>
      <c r="AA23" s="182"/>
      <c r="AB23" s="528"/>
      <c r="AC23" s="529"/>
      <c r="AD23" s="183"/>
      <c r="AE23" s="57">
        <f t="shared" si="7"/>
        <v>0</v>
      </c>
      <c r="AF23" s="3" t="str">
        <f t="shared" si="17"/>
        <v/>
      </c>
      <c r="AG23" s="181">
        <f t="shared" si="18"/>
        <v>0</v>
      </c>
      <c r="AH23" s="532">
        <f t="shared" si="8"/>
        <v>0</v>
      </c>
      <c r="AI23" s="181">
        <f t="shared" si="9"/>
        <v>0</v>
      </c>
      <c r="AJ23" s="531">
        <f t="shared" si="19"/>
        <v>0</v>
      </c>
      <c r="AK23" s="247" t="str">
        <f t="shared" si="20"/>
        <v>ー</v>
      </c>
      <c r="AL23" s="181">
        <f t="shared" si="21"/>
        <v>0</v>
      </c>
      <c r="AM23" s="533">
        <f t="shared" si="10"/>
        <v>0</v>
      </c>
      <c r="AN23" s="247" t="str">
        <f t="shared" si="11"/>
        <v>ー</v>
      </c>
      <c r="AP23" s="1">
        <f>IFERROR(VLOOKUP(G23,係数!$B$3:$I$30,7,FALSE),0)</f>
        <v>0</v>
      </c>
      <c r="AQ23" s="1" t="str">
        <f>IFERROR(VLOOKUP(G23,係数!$B$3:$I$30,8,FALSE),"")</f>
        <v/>
      </c>
      <c r="AR23" s="1" t="str">
        <f>IFERROR(VLOOKUP(G23,係数!$B$3:$I$30,4,FALSE),"")</f>
        <v/>
      </c>
      <c r="AS23" s="1">
        <f>IFERROR(VLOOKUP(G23,使用量と光熱費!$C$6:$H$10,6,FALSE),0)</f>
        <v>0</v>
      </c>
      <c r="AT23" s="1">
        <f>IFERROR(VLOOKUP(G23,係数!$B$3:$I$30,2,FALSE),0)</f>
        <v>0</v>
      </c>
      <c r="AU23" s="1">
        <f t="shared" si="12"/>
        <v>0</v>
      </c>
      <c r="AV23" s="1">
        <f>IFERROR(VLOOKUP(AA23,係数!$B$3:$I$30,7,FALSE),0)</f>
        <v>0</v>
      </c>
      <c r="AW23" s="1" t="str">
        <f>IFERROR(VLOOKUP(AA23,係数!$B$3:$I$30,8,FALSE),"")</f>
        <v/>
      </c>
      <c r="AX23" s="1" t="str">
        <f>IFERROR(VLOOKUP(AA23,係数!$B$3:$I$30,4,FALSE),"")</f>
        <v/>
      </c>
      <c r="AY23" s="1">
        <f>IFERROR(VLOOKUP(AA23,使用量と光熱費!$C$6:$H$10,6,FALSE),0)</f>
        <v>0</v>
      </c>
      <c r="AZ23" s="1">
        <f>IFERROR(VLOOKUP(AA23,係数!$B$3:$I$30,2,FALSE),0)</f>
        <v>0</v>
      </c>
      <c r="BA23" s="1">
        <f t="shared" si="13"/>
        <v>0</v>
      </c>
    </row>
    <row r="24" spans="2:53" x14ac:dyDescent="0.4">
      <c r="B24" s="194" t="s">
        <v>172</v>
      </c>
      <c r="C24" s="28"/>
      <c r="D24" s="60"/>
      <c r="E24" s="28"/>
      <c r="F24" s="28"/>
      <c r="G24" s="182"/>
      <c r="H24" s="526" t="str">
        <f t="shared" si="22"/>
        <v/>
      </c>
      <c r="I24" s="527" t="str">
        <f t="shared" si="14"/>
        <v>ー</v>
      </c>
      <c r="J24" s="527" t="str">
        <f t="shared" si="15"/>
        <v>ー</v>
      </c>
      <c r="K24" s="528"/>
      <c r="L24" s="529"/>
      <c r="M24" s="183"/>
      <c r="N24" s="28"/>
      <c r="O24" s="3" t="str">
        <f t="shared" si="2"/>
        <v/>
      </c>
      <c r="P24" s="28"/>
      <c r="Q24" s="28"/>
      <c r="R24" s="181">
        <f t="shared" si="16"/>
        <v>0</v>
      </c>
      <c r="S24" s="183"/>
      <c r="T24" s="530">
        <f t="shared" si="23"/>
        <v>0</v>
      </c>
      <c r="U24" s="181">
        <f t="shared" si="3"/>
        <v>0</v>
      </c>
      <c r="V24" s="531">
        <f t="shared" si="4"/>
        <v>0</v>
      </c>
      <c r="W24" s="247" t="str">
        <f t="shared" si="5"/>
        <v>ー</v>
      </c>
      <c r="X24" s="181">
        <f t="shared" si="6"/>
        <v>0</v>
      </c>
      <c r="Y24" s="28"/>
      <c r="Z24" s="28"/>
      <c r="AA24" s="182"/>
      <c r="AB24" s="528"/>
      <c r="AC24" s="529"/>
      <c r="AD24" s="183"/>
      <c r="AE24" s="57">
        <f t="shared" si="7"/>
        <v>0</v>
      </c>
      <c r="AF24" s="3" t="str">
        <f t="shared" si="17"/>
        <v/>
      </c>
      <c r="AG24" s="181">
        <f t="shared" si="18"/>
        <v>0</v>
      </c>
      <c r="AH24" s="532">
        <f t="shared" si="8"/>
        <v>0</v>
      </c>
      <c r="AI24" s="181">
        <f t="shared" si="9"/>
        <v>0</v>
      </c>
      <c r="AJ24" s="531">
        <f t="shared" si="19"/>
        <v>0</v>
      </c>
      <c r="AK24" s="247" t="str">
        <f t="shared" si="20"/>
        <v>ー</v>
      </c>
      <c r="AL24" s="181">
        <f t="shared" si="21"/>
        <v>0</v>
      </c>
      <c r="AM24" s="533">
        <f t="shared" si="10"/>
        <v>0</v>
      </c>
      <c r="AN24" s="247" t="str">
        <f t="shared" si="11"/>
        <v>ー</v>
      </c>
      <c r="AP24" s="1">
        <f>IFERROR(VLOOKUP(G24,係数!$B$3:$I$30,7,FALSE),0)</f>
        <v>0</v>
      </c>
      <c r="AQ24" s="1" t="str">
        <f>IFERROR(VLOOKUP(G24,係数!$B$3:$I$30,8,FALSE),"")</f>
        <v/>
      </c>
      <c r="AR24" s="1" t="str">
        <f>IFERROR(VLOOKUP(G24,係数!$B$3:$I$30,4,FALSE),"")</f>
        <v/>
      </c>
      <c r="AS24" s="1">
        <f>IFERROR(VLOOKUP(G24,使用量と光熱費!$C$6:$H$10,6,FALSE),0)</f>
        <v>0</v>
      </c>
      <c r="AT24" s="1">
        <f>IFERROR(VLOOKUP(G24,係数!$B$3:$I$30,2,FALSE),0)</f>
        <v>0</v>
      </c>
      <c r="AU24" s="1">
        <f t="shared" si="12"/>
        <v>0</v>
      </c>
      <c r="AV24" s="1">
        <f>IFERROR(VLOOKUP(AA24,係数!$B$3:$I$30,7,FALSE),0)</f>
        <v>0</v>
      </c>
      <c r="AW24" s="1" t="str">
        <f>IFERROR(VLOOKUP(AA24,係数!$B$3:$I$30,8,FALSE),"")</f>
        <v/>
      </c>
      <c r="AX24" s="1" t="str">
        <f>IFERROR(VLOOKUP(AA24,係数!$B$3:$I$30,4,FALSE),"")</f>
        <v/>
      </c>
      <c r="AY24" s="1">
        <f>IFERROR(VLOOKUP(AA24,使用量と光熱費!$C$6:$H$10,6,FALSE),0)</f>
        <v>0</v>
      </c>
      <c r="AZ24" s="1">
        <f>IFERROR(VLOOKUP(AA24,係数!$B$3:$I$30,2,FALSE),0)</f>
        <v>0</v>
      </c>
      <c r="BA24" s="1">
        <f t="shared" si="13"/>
        <v>0</v>
      </c>
    </row>
    <row r="25" spans="2:53" x14ac:dyDescent="0.4">
      <c r="B25" s="194" t="s">
        <v>173</v>
      </c>
      <c r="C25" s="28"/>
      <c r="D25" s="60"/>
      <c r="E25" s="28"/>
      <c r="F25" s="28"/>
      <c r="G25" s="182"/>
      <c r="H25" s="526" t="str">
        <f t="shared" si="22"/>
        <v/>
      </c>
      <c r="I25" s="527" t="str">
        <f t="shared" si="14"/>
        <v>ー</v>
      </c>
      <c r="J25" s="527" t="str">
        <f t="shared" si="15"/>
        <v>ー</v>
      </c>
      <c r="K25" s="528"/>
      <c r="L25" s="529"/>
      <c r="M25" s="183"/>
      <c r="N25" s="28"/>
      <c r="O25" s="3" t="str">
        <f t="shared" si="2"/>
        <v/>
      </c>
      <c r="P25" s="28"/>
      <c r="Q25" s="28"/>
      <c r="R25" s="181">
        <f t="shared" si="16"/>
        <v>0</v>
      </c>
      <c r="S25" s="183"/>
      <c r="T25" s="530">
        <f t="shared" si="23"/>
        <v>0</v>
      </c>
      <c r="U25" s="181">
        <f t="shared" si="3"/>
        <v>0</v>
      </c>
      <c r="V25" s="531">
        <f t="shared" si="4"/>
        <v>0</v>
      </c>
      <c r="W25" s="247" t="str">
        <f t="shared" si="5"/>
        <v>ー</v>
      </c>
      <c r="X25" s="181">
        <f t="shared" si="6"/>
        <v>0</v>
      </c>
      <c r="Y25" s="28"/>
      <c r="Z25" s="28"/>
      <c r="AA25" s="182"/>
      <c r="AB25" s="528"/>
      <c r="AC25" s="529"/>
      <c r="AD25" s="183"/>
      <c r="AE25" s="57">
        <f t="shared" si="7"/>
        <v>0</v>
      </c>
      <c r="AF25" s="3" t="str">
        <f t="shared" si="17"/>
        <v/>
      </c>
      <c r="AG25" s="181">
        <f t="shared" si="18"/>
        <v>0</v>
      </c>
      <c r="AH25" s="532">
        <f t="shared" si="8"/>
        <v>0</v>
      </c>
      <c r="AI25" s="181">
        <f t="shared" si="9"/>
        <v>0</v>
      </c>
      <c r="AJ25" s="531">
        <f t="shared" si="19"/>
        <v>0</v>
      </c>
      <c r="AK25" s="247" t="str">
        <f t="shared" si="20"/>
        <v>ー</v>
      </c>
      <c r="AL25" s="181">
        <f t="shared" si="21"/>
        <v>0</v>
      </c>
      <c r="AM25" s="533">
        <f t="shared" si="10"/>
        <v>0</v>
      </c>
      <c r="AN25" s="247" t="str">
        <f t="shared" si="11"/>
        <v>ー</v>
      </c>
      <c r="AP25" s="1">
        <f>IFERROR(VLOOKUP(G25,係数!$B$3:$I$30,7,FALSE),0)</f>
        <v>0</v>
      </c>
      <c r="AQ25" s="1" t="str">
        <f>IFERROR(VLOOKUP(G25,係数!$B$3:$I$30,8,FALSE),"")</f>
        <v/>
      </c>
      <c r="AR25" s="1" t="str">
        <f>IFERROR(VLOOKUP(G25,係数!$B$3:$I$30,4,FALSE),"")</f>
        <v/>
      </c>
      <c r="AS25" s="1">
        <f>IFERROR(VLOOKUP(G25,使用量と光熱費!$C$6:$H$10,6,FALSE),0)</f>
        <v>0</v>
      </c>
      <c r="AT25" s="1">
        <f>IFERROR(VLOOKUP(G25,係数!$B$3:$I$30,2,FALSE),0)</f>
        <v>0</v>
      </c>
      <c r="AU25" s="1">
        <f t="shared" si="12"/>
        <v>0</v>
      </c>
      <c r="AV25" s="1">
        <f>IFERROR(VLOOKUP(AA25,係数!$B$3:$I$30,7,FALSE),0)</f>
        <v>0</v>
      </c>
      <c r="AW25" s="1" t="str">
        <f>IFERROR(VLOOKUP(AA25,係数!$B$3:$I$30,8,FALSE),"")</f>
        <v/>
      </c>
      <c r="AX25" s="1" t="str">
        <f>IFERROR(VLOOKUP(AA25,係数!$B$3:$I$30,4,FALSE),"")</f>
        <v/>
      </c>
      <c r="AY25" s="1">
        <f>IFERROR(VLOOKUP(AA25,使用量と光熱費!$C$6:$H$10,6,FALSE),0)</f>
        <v>0</v>
      </c>
      <c r="AZ25" s="1">
        <f>IFERROR(VLOOKUP(AA25,係数!$B$3:$I$30,2,FALSE),0)</f>
        <v>0</v>
      </c>
      <c r="BA25" s="1">
        <f t="shared" si="13"/>
        <v>0</v>
      </c>
    </row>
    <row r="26" spans="2:53" x14ac:dyDescent="0.4">
      <c r="B26" s="194" t="s">
        <v>174</v>
      </c>
      <c r="C26" s="28"/>
      <c r="D26" s="60"/>
      <c r="E26" s="28"/>
      <c r="F26" s="28"/>
      <c r="G26" s="182"/>
      <c r="H26" s="526" t="str">
        <f t="shared" si="22"/>
        <v/>
      </c>
      <c r="I26" s="527" t="str">
        <f t="shared" si="14"/>
        <v>ー</v>
      </c>
      <c r="J26" s="527" t="str">
        <f t="shared" si="15"/>
        <v>ー</v>
      </c>
      <c r="K26" s="528"/>
      <c r="L26" s="529"/>
      <c r="M26" s="183"/>
      <c r="N26" s="28"/>
      <c r="O26" s="3" t="str">
        <f t="shared" si="2"/>
        <v/>
      </c>
      <c r="P26" s="28"/>
      <c r="Q26" s="28"/>
      <c r="R26" s="181">
        <f t="shared" si="16"/>
        <v>0</v>
      </c>
      <c r="S26" s="183"/>
      <c r="T26" s="530">
        <f t="shared" si="23"/>
        <v>0</v>
      </c>
      <c r="U26" s="181">
        <f t="shared" si="3"/>
        <v>0</v>
      </c>
      <c r="V26" s="531">
        <f t="shared" si="4"/>
        <v>0</v>
      </c>
      <c r="W26" s="247" t="str">
        <f t="shared" si="5"/>
        <v>ー</v>
      </c>
      <c r="X26" s="181">
        <f t="shared" si="6"/>
        <v>0</v>
      </c>
      <c r="Y26" s="28"/>
      <c r="Z26" s="28"/>
      <c r="AA26" s="182"/>
      <c r="AB26" s="528"/>
      <c r="AC26" s="529"/>
      <c r="AD26" s="183"/>
      <c r="AE26" s="57">
        <f t="shared" si="7"/>
        <v>0</v>
      </c>
      <c r="AF26" s="3" t="str">
        <f t="shared" si="17"/>
        <v/>
      </c>
      <c r="AG26" s="181">
        <f t="shared" si="18"/>
        <v>0</v>
      </c>
      <c r="AH26" s="532">
        <f t="shared" si="8"/>
        <v>0</v>
      </c>
      <c r="AI26" s="181">
        <f t="shared" si="9"/>
        <v>0</v>
      </c>
      <c r="AJ26" s="531">
        <f t="shared" si="19"/>
        <v>0</v>
      </c>
      <c r="AK26" s="247" t="str">
        <f t="shared" si="20"/>
        <v>ー</v>
      </c>
      <c r="AL26" s="181">
        <f t="shared" si="21"/>
        <v>0</v>
      </c>
      <c r="AM26" s="533">
        <f t="shared" si="10"/>
        <v>0</v>
      </c>
      <c r="AN26" s="247" t="str">
        <f t="shared" si="11"/>
        <v>ー</v>
      </c>
      <c r="AP26" s="1">
        <f>IFERROR(VLOOKUP(G26,係数!$B$3:$I$30,7,FALSE),0)</f>
        <v>0</v>
      </c>
      <c r="AQ26" s="1" t="str">
        <f>IFERROR(VLOOKUP(G26,係数!$B$3:$I$30,8,FALSE),"")</f>
        <v/>
      </c>
      <c r="AR26" s="1" t="str">
        <f>IFERROR(VLOOKUP(G26,係数!$B$3:$I$30,4,FALSE),"")</f>
        <v/>
      </c>
      <c r="AS26" s="1">
        <f>IFERROR(VLOOKUP(G26,使用量と光熱費!$C$6:$H$10,6,FALSE),0)</f>
        <v>0</v>
      </c>
      <c r="AT26" s="1">
        <f>IFERROR(VLOOKUP(G26,係数!$B$3:$I$30,2,FALSE),0)</f>
        <v>0</v>
      </c>
      <c r="AU26" s="1">
        <f t="shared" si="12"/>
        <v>0</v>
      </c>
      <c r="AV26" s="1">
        <f>IFERROR(VLOOKUP(AA26,係数!$B$3:$I$30,7,FALSE),0)</f>
        <v>0</v>
      </c>
      <c r="AW26" s="1" t="str">
        <f>IFERROR(VLOOKUP(AA26,係数!$B$3:$I$30,8,FALSE),"")</f>
        <v/>
      </c>
      <c r="AX26" s="1" t="str">
        <f>IFERROR(VLOOKUP(AA26,係数!$B$3:$I$30,4,FALSE),"")</f>
        <v/>
      </c>
      <c r="AY26" s="1">
        <f>IFERROR(VLOOKUP(AA26,使用量と光熱費!$C$6:$H$10,6,FALSE),0)</f>
        <v>0</v>
      </c>
      <c r="AZ26" s="1">
        <f>IFERROR(VLOOKUP(AA26,係数!$B$3:$I$30,2,FALSE),0)</f>
        <v>0</v>
      </c>
      <c r="BA26" s="1">
        <f t="shared" si="13"/>
        <v>0</v>
      </c>
    </row>
    <row r="27" spans="2:53" x14ac:dyDescent="0.4">
      <c r="B27" s="194" t="s">
        <v>175</v>
      </c>
      <c r="C27" s="28"/>
      <c r="D27" s="60"/>
      <c r="E27" s="28"/>
      <c r="F27" s="28"/>
      <c r="G27" s="182"/>
      <c r="H27" s="526" t="str">
        <f t="shared" si="22"/>
        <v/>
      </c>
      <c r="I27" s="527" t="str">
        <f t="shared" si="14"/>
        <v>ー</v>
      </c>
      <c r="J27" s="527" t="str">
        <f t="shared" si="15"/>
        <v>ー</v>
      </c>
      <c r="K27" s="528"/>
      <c r="L27" s="529"/>
      <c r="M27" s="183"/>
      <c r="N27" s="28"/>
      <c r="O27" s="3" t="str">
        <f t="shared" si="2"/>
        <v/>
      </c>
      <c r="P27" s="28"/>
      <c r="Q27" s="28"/>
      <c r="R27" s="181">
        <f t="shared" si="16"/>
        <v>0</v>
      </c>
      <c r="S27" s="183"/>
      <c r="T27" s="530">
        <f t="shared" si="23"/>
        <v>0</v>
      </c>
      <c r="U27" s="181">
        <f t="shared" si="3"/>
        <v>0</v>
      </c>
      <c r="V27" s="531">
        <f t="shared" si="4"/>
        <v>0</v>
      </c>
      <c r="W27" s="247" t="str">
        <f t="shared" si="5"/>
        <v>ー</v>
      </c>
      <c r="X27" s="181">
        <f t="shared" si="6"/>
        <v>0</v>
      </c>
      <c r="Y27" s="28"/>
      <c r="Z27" s="28"/>
      <c r="AA27" s="182"/>
      <c r="AB27" s="528"/>
      <c r="AC27" s="529"/>
      <c r="AD27" s="183"/>
      <c r="AE27" s="57">
        <f t="shared" si="7"/>
        <v>0</v>
      </c>
      <c r="AF27" s="3" t="str">
        <f t="shared" si="17"/>
        <v/>
      </c>
      <c r="AG27" s="181">
        <f t="shared" si="18"/>
        <v>0</v>
      </c>
      <c r="AH27" s="532">
        <f t="shared" si="8"/>
        <v>0</v>
      </c>
      <c r="AI27" s="181">
        <f t="shared" si="9"/>
        <v>0</v>
      </c>
      <c r="AJ27" s="531">
        <f t="shared" si="19"/>
        <v>0</v>
      </c>
      <c r="AK27" s="247" t="str">
        <f t="shared" si="20"/>
        <v>ー</v>
      </c>
      <c r="AL27" s="181">
        <f t="shared" si="21"/>
        <v>0</v>
      </c>
      <c r="AM27" s="533">
        <f t="shared" si="10"/>
        <v>0</v>
      </c>
      <c r="AN27" s="247" t="str">
        <f t="shared" si="11"/>
        <v>ー</v>
      </c>
      <c r="AP27" s="1">
        <f>IFERROR(VLOOKUP(G27,係数!$B$3:$I$30,7,FALSE),0)</f>
        <v>0</v>
      </c>
      <c r="AQ27" s="1" t="str">
        <f>IFERROR(VLOOKUP(G27,係数!$B$3:$I$30,8,FALSE),"")</f>
        <v/>
      </c>
      <c r="AR27" s="1" t="str">
        <f>IFERROR(VLOOKUP(G27,係数!$B$3:$I$30,4,FALSE),"")</f>
        <v/>
      </c>
      <c r="AS27" s="1">
        <f>IFERROR(VLOOKUP(G27,使用量と光熱費!$C$6:$H$10,6,FALSE),0)</f>
        <v>0</v>
      </c>
      <c r="AT27" s="1">
        <f>IFERROR(VLOOKUP(G27,係数!$B$3:$I$30,2,FALSE),0)</f>
        <v>0</v>
      </c>
      <c r="AU27" s="1">
        <f t="shared" si="12"/>
        <v>0</v>
      </c>
      <c r="AV27" s="1">
        <f>IFERROR(VLOOKUP(AA27,係数!$B$3:$I$30,7,FALSE),0)</f>
        <v>0</v>
      </c>
      <c r="AW27" s="1" t="str">
        <f>IFERROR(VLOOKUP(AA27,係数!$B$3:$I$30,8,FALSE),"")</f>
        <v/>
      </c>
      <c r="AX27" s="1" t="str">
        <f>IFERROR(VLOOKUP(AA27,係数!$B$3:$I$30,4,FALSE),"")</f>
        <v/>
      </c>
      <c r="AY27" s="1">
        <f>IFERROR(VLOOKUP(AA27,使用量と光熱費!$C$6:$H$10,6,FALSE),0)</f>
        <v>0</v>
      </c>
      <c r="AZ27" s="1">
        <f>IFERROR(VLOOKUP(AA27,係数!$B$3:$I$30,2,FALSE),0)</f>
        <v>0</v>
      </c>
      <c r="BA27" s="1">
        <f t="shared" si="13"/>
        <v>0</v>
      </c>
    </row>
    <row r="28" spans="2:53" x14ac:dyDescent="0.4">
      <c r="B28" s="194" t="s">
        <v>176</v>
      </c>
      <c r="C28" s="28"/>
      <c r="D28" s="60"/>
      <c r="E28" s="28"/>
      <c r="F28" s="28"/>
      <c r="G28" s="182"/>
      <c r="H28" s="526" t="str">
        <f t="shared" si="22"/>
        <v/>
      </c>
      <c r="I28" s="527" t="str">
        <f t="shared" si="14"/>
        <v>ー</v>
      </c>
      <c r="J28" s="527" t="str">
        <f t="shared" si="15"/>
        <v>ー</v>
      </c>
      <c r="K28" s="528"/>
      <c r="L28" s="529"/>
      <c r="M28" s="183"/>
      <c r="N28" s="28"/>
      <c r="O28" s="3" t="str">
        <f t="shared" si="2"/>
        <v/>
      </c>
      <c r="P28" s="28"/>
      <c r="Q28" s="28"/>
      <c r="R28" s="181">
        <f t="shared" si="16"/>
        <v>0</v>
      </c>
      <c r="S28" s="183"/>
      <c r="T28" s="530">
        <f t="shared" si="23"/>
        <v>0</v>
      </c>
      <c r="U28" s="181">
        <f t="shared" si="3"/>
        <v>0</v>
      </c>
      <c r="V28" s="531">
        <f t="shared" si="4"/>
        <v>0</v>
      </c>
      <c r="W28" s="247" t="str">
        <f t="shared" si="5"/>
        <v>ー</v>
      </c>
      <c r="X28" s="181">
        <f t="shared" si="6"/>
        <v>0</v>
      </c>
      <c r="Y28" s="28"/>
      <c r="Z28" s="28"/>
      <c r="AA28" s="182"/>
      <c r="AB28" s="528"/>
      <c r="AC28" s="529"/>
      <c r="AD28" s="183"/>
      <c r="AE28" s="57">
        <f t="shared" si="7"/>
        <v>0</v>
      </c>
      <c r="AF28" s="3" t="str">
        <f t="shared" si="17"/>
        <v/>
      </c>
      <c r="AG28" s="181">
        <f t="shared" si="18"/>
        <v>0</v>
      </c>
      <c r="AH28" s="532">
        <f t="shared" si="8"/>
        <v>0</v>
      </c>
      <c r="AI28" s="181">
        <f t="shared" si="9"/>
        <v>0</v>
      </c>
      <c r="AJ28" s="531">
        <f t="shared" si="19"/>
        <v>0</v>
      </c>
      <c r="AK28" s="247" t="str">
        <f t="shared" si="20"/>
        <v>ー</v>
      </c>
      <c r="AL28" s="181">
        <f t="shared" si="21"/>
        <v>0</v>
      </c>
      <c r="AM28" s="533">
        <f t="shared" si="10"/>
        <v>0</v>
      </c>
      <c r="AN28" s="247" t="str">
        <f t="shared" si="11"/>
        <v>ー</v>
      </c>
      <c r="AP28" s="1">
        <f>IFERROR(VLOOKUP(G28,係数!$B$3:$I$30,7,FALSE),0)</f>
        <v>0</v>
      </c>
      <c r="AQ28" s="1" t="str">
        <f>IFERROR(VLOOKUP(G28,係数!$B$3:$I$30,8,FALSE),"")</f>
        <v/>
      </c>
      <c r="AR28" s="1" t="str">
        <f>IFERROR(VLOOKUP(G28,係数!$B$3:$I$30,4,FALSE),"")</f>
        <v/>
      </c>
      <c r="AS28" s="1">
        <f>IFERROR(VLOOKUP(G28,使用量と光熱費!$C$6:$H$10,6,FALSE),0)</f>
        <v>0</v>
      </c>
      <c r="AT28" s="1">
        <f>IFERROR(VLOOKUP(G28,係数!$B$3:$I$30,2,FALSE),0)</f>
        <v>0</v>
      </c>
      <c r="AU28" s="1">
        <f t="shared" si="12"/>
        <v>0</v>
      </c>
      <c r="AV28" s="1">
        <f>IFERROR(VLOOKUP(AA28,係数!$B$3:$I$30,7,FALSE),0)</f>
        <v>0</v>
      </c>
      <c r="AW28" s="1" t="str">
        <f>IFERROR(VLOOKUP(AA28,係数!$B$3:$I$30,8,FALSE),"")</f>
        <v/>
      </c>
      <c r="AX28" s="1" t="str">
        <f>IFERROR(VLOOKUP(AA28,係数!$B$3:$I$30,4,FALSE),"")</f>
        <v/>
      </c>
      <c r="AY28" s="1">
        <f>IFERROR(VLOOKUP(AA28,使用量と光熱費!$C$6:$H$10,6,FALSE),0)</f>
        <v>0</v>
      </c>
      <c r="AZ28" s="1">
        <f>IFERROR(VLOOKUP(AA28,係数!$B$3:$I$30,2,FALSE),0)</f>
        <v>0</v>
      </c>
      <c r="BA28" s="1">
        <f t="shared" si="13"/>
        <v>0</v>
      </c>
    </row>
    <row r="29" spans="2:53" x14ac:dyDescent="0.4">
      <c r="B29" s="194" t="s">
        <v>177</v>
      </c>
      <c r="C29" s="28"/>
      <c r="D29" s="60"/>
      <c r="E29" s="28"/>
      <c r="F29" s="28"/>
      <c r="G29" s="182"/>
      <c r="H29" s="526" t="str">
        <f t="shared" si="22"/>
        <v/>
      </c>
      <c r="I29" s="527" t="str">
        <f t="shared" si="14"/>
        <v>ー</v>
      </c>
      <c r="J29" s="527" t="str">
        <f t="shared" si="15"/>
        <v>ー</v>
      </c>
      <c r="K29" s="528"/>
      <c r="L29" s="529"/>
      <c r="M29" s="183"/>
      <c r="N29" s="28"/>
      <c r="O29" s="3" t="str">
        <f t="shared" si="2"/>
        <v/>
      </c>
      <c r="P29" s="28"/>
      <c r="Q29" s="28"/>
      <c r="R29" s="181">
        <f t="shared" si="16"/>
        <v>0</v>
      </c>
      <c r="S29" s="183"/>
      <c r="T29" s="530">
        <f t="shared" si="23"/>
        <v>0</v>
      </c>
      <c r="U29" s="181">
        <f t="shared" si="3"/>
        <v>0</v>
      </c>
      <c r="V29" s="531">
        <f t="shared" si="4"/>
        <v>0</v>
      </c>
      <c r="W29" s="247" t="str">
        <f t="shared" si="5"/>
        <v>ー</v>
      </c>
      <c r="X29" s="181">
        <f t="shared" si="6"/>
        <v>0</v>
      </c>
      <c r="Y29" s="28"/>
      <c r="Z29" s="28"/>
      <c r="AA29" s="182"/>
      <c r="AB29" s="528"/>
      <c r="AC29" s="529"/>
      <c r="AD29" s="183"/>
      <c r="AE29" s="57">
        <f t="shared" si="7"/>
        <v>0</v>
      </c>
      <c r="AF29" s="3" t="str">
        <f t="shared" si="17"/>
        <v/>
      </c>
      <c r="AG29" s="181">
        <f t="shared" si="18"/>
        <v>0</v>
      </c>
      <c r="AH29" s="532">
        <f t="shared" si="8"/>
        <v>0</v>
      </c>
      <c r="AI29" s="181">
        <f t="shared" si="9"/>
        <v>0</v>
      </c>
      <c r="AJ29" s="531">
        <f t="shared" si="19"/>
        <v>0</v>
      </c>
      <c r="AK29" s="247" t="str">
        <f t="shared" si="20"/>
        <v>ー</v>
      </c>
      <c r="AL29" s="181">
        <f t="shared" si="21"/>
        <v>0</v>
      </c>
      <c r="AM29" s="533">
        <f t="shared" si="10"/>
        <v>0</v>
      </c>
      <c r="AN29" s="247" t="str">
        <f t="shared" si="11"/>
        <v>ー</v>
      </c>
      <c r="AP29" s="1">
        <f>IFERROR(VLOOKUP(G29,係数!$B$3:$I$30,7,FALSE),0)</f>
        <v>0</v>
      </c>
      <c r="AQ29" s="1" t="str">
        <f>IFERROR(VLOOKUP(G29,係数!$B$3:$I$30,8,FALSE),"")</f>
        <v/>
      </c>
      <c r="AR29" s="1" t="str">
        <f>IFERROR(VLOOKUP(G29,係数!$B$3:$I$30,4,FALSE),"")</f>
        <v/>
      </c>
      <c r="AS29" s="1">
        <f>IFERROR(VLOOKUP(G29,使用量と光熱費!$C$6:$H$10,6,FALSE),0)</f>
        <v>0</v>
      </c>
      <c r="AT29" s="1">
        <f>IFERROR(VLOOKUP(G29,係数!$B$3:$I$30,2,FALSE),0)</f>
        <v>0</v>
      </c>
      <c r="AU29" s="1">
        <f t="shared" si="12"/>
        <v>0</v>
      </c>
      <c r="AV29" s="1">
        <f>IFERROR(VLOOKUP(AA29,係数!$B$3:$I$30,7,FALSE),0)</f>
        <v>0</v>
      </c>
      <c r="AW29" s="1" t="str">
        <f>IFERROR(VLOOKUP(AA29,係数!$B$3:$I$30,8,FALSE),"")</f>
        <v/>
      </c>
      <c r="AX29" s="1" t="str">
        <f>IFERROR(VLOOKUP(AA29,係数!$B$3:$I$30,4,FALSE),"")</f>
        <v/>
      </c>
      <c r="AY29" s="1">
        <f>IFERROR(VLOOKUP(AA29,使用量と光熱費!$C$6:$H$10,6,FALSE),0)</f>
        <v>0</v>
      </c>
      <c r="AZ29" s="1">
        <f>IFERROR(VLOOKUP(AA29,係数!$B$3:$I$30,2,FALSE),0)</f>
        <v>0</v>
      </c>
      <c r="BA29" s="1">
        <f t="shared" si="13"/>
        <v>0</v>
      </c>
    </row>
    <row r="30" spans="2:53" x14ac:dyDescent="0.4">
      <c r="B30" s="194" t="s">
        <v>178</v>
      </c>
      <c r="C30" s="28"/>
      <c r="D30" s="60"/>
      <c r="E30" s="28"/>
      <c r="F30" s="28"/>
      <c r="G30" s="182"/>
      <c r="H30" s="526" t="str">
        <f t="shared" si="22"/>
        <v/>
      </c>
      <c r="I30" s="527" t="str">
        <f t="shared" si="14"/>
        <v>ー</v>
      </c>
      <c r="J30" s="527" t="str">
        <f t="shared" si="15"/>
        <v>ー</v>
      </c>
      <c r="K30" s="528"/>
      <c r="L30" s="529"/>
      <c r="M30" s="183"/>
      <c r="N30" s="28"/>
      <c r="O30" s="3" t="str">
        <f t="shared" si="2"/>
        <v/>
      </c>
      <c r="P30" s="28"/>
      <c r="Q30" s="28"/>
      <c r="R30" s="181">
        <f t="shared" si="16"/>
        <v>0</v>
      </c>
      <c r="S30" s="183"/>
      <c r="T30" s="530">
        <f t="shared" si="23"/>
        <v>0</v>
      </c>
      <c r="U30" s="181">
        <f t="shared" si="3"/>
        <v>0</v>
      </c>
      <c r="V30" s="531">
        <f t="shared" si="4"/>
        <v>0</v>
      </c>
      <c r="W30" s="247" t="str">
        <f t="shared" si="5"/>
        <v>ー</v>
      </c>
      <c r="X30" s="181">
        <f t="shared" si="6"/>
        <v>0</v>
      </c>
      <c r="Y30" s="28"/>
      <c r="Z30" s="28"/>
      <c r="AA30" s="182"/>
      <c r="AB30" s="528"/>
      <c r="AC30" s="529"/>
      <c r="AD30" s="183"/>
      <c r="AE30" s="57">
        <f t="shared" si="7"/>
        <v>0</v>
      </c>
      <c r="AF30" s="3" t="str">
        <f t="shared" si="17"/>
        <v/>
      </c>
      <c r="AG30" s="181">
        <f t="shared" si="18"/>
        <v>0</v>
      </c>
      <c r="AH30" s="532">
        <f t="shared" si="8"/>
        <v>0</v>
      </c>
      <c r="AI30" s="181">
        <f t="shared" si="9"/>
        <v>0</v>
      </c>
      <c r="AJ30" s="531">
        <f t="shared" si="19"/>
        <v>0</v>
      </c>
      <c r="AK30" s="247" t="str">
        <f t="shared" si="20"/>
        <v>ー</v>
      </c>
      <c r="AL30" s="181">
        <f t="shared" si="21"/>
        <v>0</v>
      </c>
      <c r="AM30" s="533">
        <f t="shared" si="10"/>
        <v>0</v>
      </c>
      <c r="AN30" s="247" t="str">
        <f t="shared" si="11"/>
        <v>ー</v>
      </c>
      <c r="AP30" s="1">
        <f>IFERROR(VLOOKUP(G30,係数!$B$3:$I$30,7,FALSE),0)</f>
        <v>0</v>
      </c>
      <c r="AQ30" s="1" t="str">
        <f>IFERROR(VLOOKUP(G30,係数!$B$3:$I$30,8,FALSE),"")</f>
        <v/>
      </c>
      <c r="AR30" s="1" t="str">
        <f>IFERROR(VLOOKUP(G30,係数!$B$3:$I$30,4,FALSE),"")</f>
        <v/>
      </c>
      <c r="AS30" s="1">
        <f>IFERROR(VLOOKUP(G30,使用量と光熱費!$C$6:$H$10,6,FALSE),0)</f>
        <v>0</v>
      </c>
      <c r="AT30" s="1">
        <f>IFERROR(VLOOKUP(G30,係数!$B$3:$I$30,2,FALSE),0)</f>
        <v>0</v>
      </c>
      <c r="AU30" s="1">
        <f t="shared" si="12"/>
        <v>0</v>
      </c>
      <c r="AV30" s="1">
        <f>IFERROR(VLOOKUP(AA30,係数!$B$3:$I$30,7,FALSE),0)</f>
        <v>0</v>
      </c>
      <c r="AW30" s="1" t="str">
        <f>IFERROR(VLOOKUP(AA30,係数!$B$3:$I$30,8,FALSE),"")</f>
        <v/>
      </c>
      <c r="AX30" s="1" t="str">
        <f>IFERROR(VLOOKUP(AA30,係数!$B$3:$I$30,4,FALSE),"")</f>
        <v/>
      </c>
      <c r="AY30" s="1">
        <f>IFERROR(VLOOKUP(AA30,使用量と光熱費!$C$6:$H$10,6,FALSE),0)</f>
        <v>0</v>
      </c>
      <c r="AZ30" s="1">
        <f>IFERROR(VLOOKUP(AA30,係数!$B$3:$I$30,2,FALSE),0)</f>
        <v>0</v>
      </c>
      <c r="BA30" s="1">
        <f t="shared" si="13"/>
        <v>0</v>
      </c>
    </row>
    <row r="31" spans="2:53" x14ac:dyDescent="0.4">
      <c r="B31" s="194" t="s">
        <v>179</v>
      </c>
      <c r="C31" s="28"/>
      <c r="D31" s="60"/>
      <c r="E31" s="28"/>
      <c r="F31" s="28"/>
      <c r="G31" s="182"/>
      <c r="H31" s="526" t="str">
        <f t="shared" si="22"/>
        <v/>
      </c>
      <c r="I31" s="527" t="str">
        <f t="shared" si="14"/>
        <v>ー</v>
      </c>
      <c r="J31" s="527" t="str">
        <f t="shared" si="15"/>
        <v>ー</v>
      </c>
      <c r="K31" s="528"/>
      <c r="L31" s="529"/>
      <c r="M31" s="183"/>
      <c r="N31" s="28"/>
      <c r="O31" s="3" t="str">
        <f t="shared" si="2"/>
        <v/>
      </c>
      <c r="P31" s="28"/>
      <c r="Q31" s="28"/>
      <c r="R31" s="181">
        <f t="shared" si="16"/>
        <v>0</v>
      </c>
      <c r="S31" s="183"/>
      <c r="T31" s="530">
        <f t="shared" si="23"/>
        <v>0</v>
      </c>
      <c r="U31" s="181">
        <f t="shared" si="3"/>
        <v>0</v>
      </c>
      <c r="V31" s="531">
        <f t="shared" si="4"/>
        <v>0</v>
      </c>
      <c r="W31" s="247" t="str">
        <f t="shared" si="5"/>
        <v>ー</v>
      </c>
      <c r="X31" s="181">
        <f t="shared" si="6"/>
        <v>0</v>
      </c>
      <c r="Y31" s="28"/>
      <c r="Z31" s="28"/>
      <c r="AA31" s="182"/>
      <c r="AB31" s="528"/>
      <c r="AC31" s="529"/>
      <c r="AD31" s="183"/>
      <c r="AE31" s="57">
        <f t="shared" si="7"/>
        <v>0</v>
      </c>
      <c r="AF31" s="3" t="str">
        <f t="shared" si="17"/>
        <v/>
      </c>
      <c r="AG31" s="181">
        <f t="shared" si="18"/>
        <v>0</v>
      </c>
      <c r="AH31" s="532">
        <f t="shared" si="8"/>
        <v>0</v>
      </c>
      <c r="AI31" s="181">
        <f t="shared" si="9"/>
        <v>0</v>
      </c>
      <c r="AJ31" s="531">
        <f t="shared" si="19"/>
        <v>0</v>
      </c>
      <c r="AK31" s="247" t="str">
        <f t="shared" si="20"/>
        <v>ー</v>
      </c>
      <c r="AL31" s="181">
        <f t="shared" si="21"/>
        <v>0</v>
      </c>
      <c r="AM31" s="533">
        <f t="shared" si="10"/>
        <v>0</v>
      </c>
      <c r="AN31" s="247" t="str">
        <f t="shared" si="11"/>
        <v>ー</v>
      </c>
      <c r="AP31" s="1">
        <f>IFERROR(VLOOKUP(G31,係数!$B$3:$I$30,7,FALSE),0)</f>
        <v>0</v>
      </c>
      <c r="AQ31" s="1" t="str">
        <f>IFERROR(VLOOKUP(G31,係数!$B$3:$I$30,8,FALSE),"")</f>
        <v/>
      </c>
      <c r="AR31" s="1" t="str">
        <f>IFERROR(VLOOKUP(G31,係数!$B$3:$I$30,4,FALSE),"")</f>
        <v/>
      </c>
      <c r="AS31" s="1">
        <f>IFERROR(VLOOKUP(G31,使用量と光熱費!$C$6:$H$10,6,FALSE),0)</f>
        <v>0</v>
      </c>
      <c r="AT31" s="1">
        <f>IFERROR(VLOOKUP(G31,係数!$B$3:$I$30,2,FALSE),0)</f>
        <v>0</v>
      </c>
      <c r="AU31" s="1">
        <f t="shared" si="12"/>
        <v>0</v>
      </c>
      <c r="AV31" s="1">
        <f>IFERROR(VLOOKUP(AA31,係数!$B$3:$I$30,7,FALSE),0)</f>
        <v>0</v>
      </c>
      <c r="AW31" s="1" t="str">
        <f>IFERROR(VLOOKUP(AA31,係数!$B$3:$I$30,8,FALSE),"")</f>
        <v/>
      </c>
      <c r="AX31" s="1" t="str">
        <f>IFERROR(VLOOKUP(AA31,係数!$B$3:$I$30,4,FALSE),"")</f>
        <v/>
      </c>
      <c r="AY31" s="1">
        <f>IFERROR(VLOOKUP(AA31,使用量と光熱費!$C$6:$H$10,6,FALSE),0)</f>
        <v>0</v>
      </c>
      <c r="AZ31" s="1">
        <f>IFERROR(VLOOKUP(AA31,係数!$B$3:$I$30,2,FALSE),0)</f>
        <v>0</v>
      </c>
      <c r="BA31" s="1">
        <f t="shared" si="13"/>
        <v>0</v>
      </c>
    </row>
    <row r="32" spans="2:53" x14ac:dyDescent="0.4">
      <c r="B32" s="194" t="s">
        <v>180</v>
      </c>
      <c r="C32" s="28"/>
      <c r="D32" s="60"/>
      <c r="E32" s="28"/>
      <c r="F32" s="28"/>
      <c r="G32" s="182"/>
      <c r="H32" s="526" t="str">
        <f t="shared" si="22"/>
        <v/>
      </c>
      <c r="I32" s="527" t="str">
        <f t="shared" si="14"/>
        <v>ー</v>
      </c>
      <c r="J32" s="527" t="str">
        <f t="shared" si="15"/>
        <v>ー</v>
      </c>
      <c r="K32" s="528"/>
      <c r="L32" s="529"/>
      <c r="M32" s="183"/>
      <c r="N32" s="28"/>
      <c r="O32" s="3" t="str">
        <f t="shared" si="2"/>
        <v/>
      </c>
      <c r="P32" s="28"/>
      <c r="Q32" s="28"/>
      <c r="R32" s="181">
        <f t="shared" si="16"/>
        <v>0</v>
      </c>
      <c r="S32" s="183"/>
      <c r="T32" s="530">
        <f t="shared" si="23"/>
        <v>0</v>
      </c>
      <c r="U32" s="181">
        <f t="shared" si="3"/>
        <v>0</v>
      </c>
      <c r="V32" s="531">
        <f t="shared" si="4"/>
        <v>0</v>
      </c>
      <c r="W32" s="247" t="str">
        <f t="shared" si="5"/>
        <v>ー</v>
      </c>
      <c r="X32" s="181">
        <f t="shared" si="6"/>
        <v>0</v>
      </c>
      <c r="Y32" s="28"/>
      <c r="Z32" s="28"/>
      <c r="AA32" s="182"/>
      <c r="AB32" s="528"/>
      <c r="AC32" s="529"/>
      <c r="AD32" s="183"/>
      <c r="AE32" s="57">
        <f t="shared" si="7"/>
        <v>0</v>
      </c>
      <c r="AF32" s="3" t="str">
        <f t="shared" si="17"/>
        <v/>
      </c>
      <c r="AG32" s="181">
        <f t="shared" si="18"/>
        <v>0</v>
      </c>
      <c r="AH32" s="532">
        <f t="shared" si="8"/>
        <v>0</v>
      </c>
      <c r="AI32" s="181">
        <f t="shared" si="9"/>
        <v>0</v>
      </c>
      <c r="AJ32" s="531">
        <f t="shared" si="19"/>
        <v>0</v>
      </c>
      <c r="AK32" s="247" t="str">
        <f t="shared" si="20"/>
        <v>ー</v>
      </c>
      <c r="AL32" s="181">
        <f t="shared" si="21"/>
        <v>0</v>
      </c>
      <c r="AM32" s="533">
        <f t="shared" si="10"/>
        <v>0</v>
      </c>
      <c r="AN32" s="247" t="str">
        <f t="shared" si="11"/>
        <v>ー</v>
      </c>
      <c r="AP32" s="1">
        <f>IFERROR(VLOOKUP(G32,係数!$B$3:$I$30,7,FALSE),0)</f>
        <v>0</v>
      </c>
      <c r="AQ32" s="1" t="str">
        <f>IFERROR(VLOOKUP(G32,係数!$B$3:$I$30,8,FALSE),"")</f>
        <v/>
      </c>
      <c r="AR32" s="1" t="str">
        <f>IFERROR(VLOOKUP(G32,係数!$B$3:$I$30,4,FALSE),"")</f>
        <v/>
      </c>
      <c r="AS32" s="1">
        <f>IFERROR(VLOOKUP(G32,使用量と光熱費!$C$6:$H$10,6,FALSE),0)</f>
        <v>0</v>
      </c>
      <c r="AT32" s="1">
        <f>IFERROR(VLOOKUP(G32,係数!$B$3:$I$30,2,FALSE),0)</f>
        <v>0</v>
      </c>
      <c r="AU32" s="1">
        <f t="shared" si="12"/>
        <v>0</v>
      </c>
      <c r="AV32" s="1">
        <f>IFERROR(VLOOKUP(AA32,係数!$B$3:$I$30,7,FALSE),0)</f>
        <v>0</v>
      </c>
      <c r="AW32" s="1" t="str">
        <f>IFERROR(VLOOKUP(AA32,係数!$B$3:$I$30,8,FALSE),"")</f>
        <v/>
      </c>
      <c r="AX32" s="1" t="str">
        <f>IFERROR(VLOOKUP(AA32,係数!$B$3:$I$30,4,FALSE),"")</f>
        <v/>
      </c>
      <c r="AY32" s="1">
        <f>IFERROR(VLOOKUP(AA32,使用量と光熱費!$C$6:$H$10,6,FALSE),0)</f>
        <v>0</v>
      </c>
      <c r="AZ32" s="1">
        <f>IFERROR(VLOOKUP(AA32,係数!$B$3:$I$30,2,FALSE),0)</f>
        <v>0</v>
      </c>
      <c r="BA32" s="1">
        <f t="shared" si="13"/>
        <v>0</v>
      </c>
    </row>
    <row r="33" spans="2:53" x14ac:dyDescent="0.4">
      <c r="B33" s="194" t="s">
        <v>181</v>
      </c>
      <c r="C33" s="28"/>
      <c r="D33" s="60"/>
      <c r="E33" s="28"/>
      <c r="F33" s="28"/>
      <c r="G33" s="182"/>
      <c r="H33" s="526" t="str">
        <f t="shared" si="22"/>
        <v/>
      </c>
      <c r="I33" s="527" t="str">
        <f t="shared" si="14"/>
        <v>ー</v>
      </c>
      <c r="J33" s="527" t="str">
        <f t="shared" si="15"/>
        <v>ー</v>
      </c>
      <c r="K33" s="528"/>
      <c r="L33" s="529"/>
      <c r="M33" s="183"/>
      <c r="N33" s="28"/>
      <c r="O33" s="3" t="str">
        <f t="shared" si="2"/>
        <v/>
      </c>
      <c r="P33" s="28"/>
      <c r="Q33" s="28"/>
      <c r="R33" s="181">
        <f t="shared" si="16"/>
        <v>0</v>
      </c>
      <c r="S33" s="183"/>
      <c r="T33" s="530">
        <f t="shared" si="23"/>
        <v>0</v>
      </c>
      <c r="U33" s="181">
        <f t="shared" si="3"/>
        <v>0</v>
      </c>
      <c r="V33" s="531">
        <f t="shared" si="4"/>
        <v>0</v>
      </c>
      <c r="W33" s="247" t="str">
        <f t="shared" si="5"/>
        <v>ー</v>
      </c>
      <c r="X33" s="181">
        <f t="shared" si="6"/>
        <v>0</v>
      </c>
      <c r="Y33" s="28"/>
      <c r="Z33" s="28"/>
      <c r="AA33" s="182"/>
      <c r="AB33" s="528"/>
      <c r="AC33" s="529"/>
      <c r="AD33" s="183"/>
      <c r="AE33" s="57">
        <f t="shared" si="7"/>
        <v>0</v>
      </c>
      <c r="AF33" s="3" t="str">
        <f t="shared" si="17"/>
        <v/>
      </c>
      <c r="AG33" s="181">
        <f t="shared" si="18"/>
        <v>0</v>
      </c>
      <c r="AH33" s="532">
        <f t="shared" si="8"/>
        <v>0</v>
      </c>
      <c r="AI33" s="181">
        <f t="shared" si="9"/>
        <v>0</v>
      </c>
      <c r="AJ33" s="531">
        <f t="shared" si="19"/>
        <v>0</v>
      </c>
      <c r="AK33" s="247" t="str">
        <f t="shared" si="20"/>
        <v>ー</v>
      </c>
      <c r="AL33" s="181">
        <f t="shared" si="21"/>
        <v>0</v>
      </c>
      <c r="AM33" s="533">
        <f t="shared" si="10"/>
        <v>0</v>
      </c>
      <c r="AN33" s="247" t="str">
        <f t="shared" si="11"/>
        <v>ー</v>
      </c>
      <c r="AP33" s="1">
        <f>IFERROR(VLOOKUP(G33,係数!$B$3:$I$30,7,FALSE),0)</f>
        <v>0</v>
      </c>
      <c r="AQ33" s="1" t="str">
        <f>IFERROR(VLOOKUP(G33,係数!$B$3:$I$30,8,FALSE),"")</f>
        <v/>
      </c>
      <c r="AR33" s="1" t="str">
        <f>IFERROR(VLOOKUP(G33,係数!$B$3:$I$30,4,FALSE),"")</f>
        <v/>
      </c>
      <c r="AS33" s="1">
        <f>IFERROR(VLOOKUP(G33,使用量と光熱費!$C$6:$H$10,6,FALSE),0)</f>
        <v>0</v>
      </c>
      <c r="AT33" s="1">
        <f>IFERROR(VLOOKUP(G33,係数!$B$3:$I$30,2,FALSE),0)</f>
        <v>0</v>
      </c>
      <c r="AU33" s="1">
        <f t="shared" si="12"/>
        <v>0</v>
      </c>
      <c r="AV33" s="1">
        <f>IFERROR(VLOOKUP(AA33,係数!$B$3:$I$30,7,FALSE),0)</f>
        <v>0</v>
      </c>
      <c r="AW33" s="1" t="str">
        <f>IFERROR(VLOOKUP(AA33,係数!$B$3:$I$30,8,FALSE),"")</f>
        <v/>
      </c>
      <c r="AX33" s="1" t="str">
        <f>IFERROR(VLOOKUP(AA33,係数!$B$3:$I$30,4,FALSE),"")</f>
        <v/>
      </c>
      <c r="AY33" s="1">
        <f>IFERROR(VLOOKUP(AA33,使用量と光熱費!$C$6:$H$10,6,FALSE),0)</f>
        <v>0</v>
      </c>
      <c r="AZ33" s="1">
        <f>IFERROR(VLOOKUP(AA33,係数!$B$3:$I$30,2,FALSE),0)</f>
        <v>0</v>
      </c>
      <c r="BA33" s="1">
        <f t="shared" si="13"/>
        <v>0</v>
      </c>
    </row>
    <row r="34" spans="2:53" x14ac:dyDescent="0.4">
      <c r="B34" s="194" t="s">
        <v>182</v>
      </c>
      <c r="C34" s="28"/>
      <c r="D34" s="60"/>
      <c r="E34" s="28"/>
      <c r="F34" s="28"/>
      <c r="G34" s="182"/>
      <c r="H34" s="526" t="str">
        <f t="shared" si="22"/>
        <v/>
      </c>
      <c r="I34" s="527" t="str">
        <f t="shared" si="14"/>
        <v>ー</v>
      </c>
      <c r="J34" s="527" t="str">
        <f t="shared" si="15"/>
        <v>ー</v>
      </c>
      <c r="K34" s="528"/>
      <c r="L34" s="529"/>
      <c r="M34" s="183"/>
      <c r="N34" s="28"/>
      <c r="O34" s="3" t="str">
        <f t="shared" si="2"/>
        <v/>
      </c>
      <c r="P34" s="28"/>
      <c r="Q34" s="28"/>
      <c r="R34" s="181">
        <f t="shared" si="16"/>
        <v>0</v>
      </c>
      <c r="S34" s="183"/>
      <c r="T34" s="530">
        <f t="shared" si="23"/>
        <v>0</v>
      </c>
      <c r="U34" s="181">
        <f t="shared" si="3"/>
        <v>0</v>
      </c>
      <c r="V34" s="531">
        <f t="shared" si="4"/>
        <v>0</v>
      </c>
      <c r="W34" s="247" t="str">
        <f t="shared" si="5"/>
        <v>ー</v>
      </c>
      <c r="X34" s="181">
        <f t="shared" si="6"/>
        <v>0</v>
      </c>
      <c r="Y34" s="28"/>
      <c r="Z34" s="28"/>
      <c r="AA34" s="182"/>
      <c r="AB34" s="528"/>
      <c r="AC34" s="529"/>
      <c r="AD34" s="183"/>
      <c r="AE34" s="57">
        <f t="shared" si="7"/>
        <v>0</v>
      </c>
      <c r="AF34" s="3" t="str">
        <f t="shared" si="17"/>
        <v/>
      </c>
      <c r="AG34" s="181">
        <f t="shared" si="18"/>
        <v>0</v>
      </c>
      <c r="AH34" s="532">
        <f t="shared" si="8"/>
        <v>0</v>
      </c>
      <c r="AI34" s="181">
        <f t="shared" si="9"/>
        <v>0</v>
      </c>
      <c r="AJ34" s="531">
        <f t="shared" si="19"/>
        <v>0</v>
      </c>
      <c r="AK34" s="247" t="str">
        <f t="shared" si="20"/>
        <v>ー</v>
      </c>
      <c r="AL34" s="181">
        <f t="shared" si="21"/>
        <v>0</v>
      </c>
      <c r="AM34" s="533">
        <f t="shared" si="10"/>
        <v>0</v>
      </c>
      <c r="AN34" s="247" t="str">
        <f t="shared" si="11"/>
        <v>ー</v>
      </c>
      <c r="AP34" s="1">
        <f>IFERROR(VLOOKUP(G34,係数!$B$3:$I$30,7,FALSE),0)</f>
        <v>0</v>
      </c>
      <c r="AQ34" s="1" t="str">
        <f>IFERROR(VLOOKUP(G34,係数!$B$3:$I$30,8,FALSE),"")</f>
        <v/>
      </c>
      <c r="AR34" s="1" t="str">
        <f>IFERROR(VLOOKUP(G34,係数!$B$3:$I$30,4,FALSE),"")</f>
        <v/>
      </c>
      <c r="AS34" s="1">
        <f>IFERROR(VLOOKUP(G34,使用量と光熱費!$C$6:$H$10,6,FALSE),0)</f>
        <v>0</v>
      </c>
      <c r="AT34" s="1">
        <f>IFERROR(VLOOKUP(G34,係数!$B$3:$I$30,2,FALSE),0)</f>
        <v>0</v>
      </c>
      <c r="AU34" s="1">
        <f t="shared" si="12"/>
        <v>0</v>
      </c>
      <c r="AV34" s="1">
        <f>IFERROR(VLOOKUP(AA34,係数!$B$3:$I$30,7,FALSE),0)</f>
        <v>0</v>
      </c>
      <c r="AW34" s="1" t="str">
        <f>IFERROR(VLOOKUP(AA34,係数!$B$3:$I$30,8,FALSE),"")</f>
        <v/>
      </c>
      <c r="AX34" s="1" t="str">
        <f>IFERROR(VLOOKUP(AA34,係数!$B$3:$I$30,4,FALSE),"")</f>
        <v/>
      </c>
      <c r="AY34" s="1">
        <f>IFERROR(VLOOKUP(AA34,使用量と光熱費!$C$6:$H$10,6,FALSE),0)</f>
        <v>0</v>
      </c>
      <c r="AZ34" s="1">
        <f>IFERROR(VLOOKUP(AA34,係数!$B$3:$I$30,2,FALSE),0)</f>
        <v>0</v>
      </c>
      <c r="BA34" s="1">
        <f t="shared" si="13"/>
        <v>0</v>
      </c>
    </row>
  </sheetData>
  <sheetProtection algorithmName="SHA-512" hashValue="KRRuRX0/fLsNb+9Lvpa/dj83adl4vyCwJh/MwYZQo1Wd8qXvW73HK4L4ChabjIY6nOE8d+wF52R6kEAB6M6GdA==" saltValue="HSP3O6E/n2egydNmrfWiGQ==" spinCount="100000" sheet="1" objects="1" scenarios="1" formatCells="0" formatColumns="0" formatRows="0"/>
  <mergeCells count="13">
    <mergeCell ref="B15:B16"/>
    <mergeCell ref="D3:E3"/>
    <mergeCell ref="D4:E4"/>
    <mergeCell ref="M3:U3"/>
    <mergeCell ref="M4:U4"/>
    <mergeCell ref="D5:E5"/>
    <mergeCell ref="D6:E6"/>
    <mergeCell ref="M6:U6"/>
    <mergeCell ref="M7:N8"/>
    <mergeCell ref="S7:U9"/>
    <mergeCell ref="M9:N9"/>
    <mergeCell ref="O7:P7"/>
    <mergeCell ref="Q7:R7"/>
  </mergeCells>
  <phoneticPr fontId="5"/>
  <conditionalFormatting sqref="E20:E34">
    <cfRule type="expression" dxfId="38" priority="1">
      <formula>$D20&lt;&gt;"給湯器（HP）"</formula>
    </cfRule>
  </conditionalFormatting>
  <conditionalFormatting sqref="G6:H6">
    <cfRule type="expression" dxfId="37" priority="12">
      <formula>$E$1="なし"</formula>
    </cfRule>
  </conditionalFormatting>
  <conditionalFormatting sqref="J6">
    <cfRule type="expression" dxfId="36" priority="14">
      <formula>$E$1="なし"</formula>
    </cfRule>
  </conditionalFormatting>
  <conditionalFormatting sqref="Q9">
    <cfRule type="cellIs" dxfId="35" priority="4" operator="greaterThan">
      <formula>$O$9</formula>
    </cfRule>
  </conditionalFormatting>
  <conditionalFormatting sqref="R9">
    <cfRule type="cellIs" dxfId="34" priority="3" operator="greaterThan">
      <formula>$P$9</formula>
    </cfRule>
  </conditionalFormatting>
  <conditionalFormatting sqref="S7">
    <cfRule type="cellIs" dxfId="33" priority="2" operator="notEqual">
      <formula>"ー"</formula>
    </cfRule>
  </conditionalFormatting>
  <conditionalFormatting sqref="AA18">
    <cfRule type="expression" dxfId="32" priority="6">
      <formula>$D$1="なし"</formula>
    </cfRule>
  </conditionalFormatting>
  <conditionalFormatting sqref="AA20:AB34">
    <cfRule type="expression" dxfId="31" priority="5">
      <formula>$D$1="なし"</formula>
    </cfRule>
  </conditionalFormatting>
  <conditionalFormatting sqref="AD20:AD34">
    <cfRule type="expression" dxfId="30" priority="11">
      <formula>$D$1="なし"</formula>
    </cfRule>
  </conditionalFormatting>
  <conditionalFormatting sqref="AF20:AF34">
    <cfRule type="expression" dxfId="29" priority="7">
      <formula>$D$1="なし"</formula>
    </cfRule>
  </conditionalFormatting>
  <conditionalFormatting sqref="AK20:AL34">
    <cfRule type="expression" dxfId="28" priority="8">
      <formula>$D$1="なし"</formula>
    </cfRule>
  </conditionalFormatting>
  <dataValidations count="3">
    <dataValidation type="list" allowBlank="1" showInputMessage="1" showErrorMessage="1" sqref="AC20:AC34 L20:L34" xr:uid="{00000000-0002-0000-0600-000000000000}">
      <formula1>"t/h,kW"</formula1>
    </dataValidation>
    <dataValidation type="list" allowBlank="1" showInputMessage="1" showErrorMessage="1" sqref="D18 D20:D34" xr:uid="{00000000-0002-0000-0600-000001000000}">
      <formula1>"ボイラー,給湯器（加熱式）,給湯器（HP）"</formula1>
    </dataValidation>
    <dataValidation type="list" allowBlank="1" showInputMessage="1" showErrorMessage="1" sqref="L18 AC18" xr:uid="{00000000-0002-0000-0600-000002000000}">
      <formula1>"　,t/h,kW"</formula1>
    </dataValidation>
  </dataValidations>
  <pageMargins left="0.70866141732283472" right="0.70866141732283472" top="0.74803149606299213" bottom="0.74803149606299213" header="0.31496062992125984" footer="0.31496062992125984"/>
  <pageSetup paperSize="8" scale="36" fitToHeight="0" orientation="landscape" r:id="rId1"/>
  <colBreaks count="1" manualBreakCount="1">
    <brk id="53" max="1048575" man="1"/>
  </colBreaks>
  <ignoredErrors>
    <ignoredError sqref="T19:AN19 I5:J5"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3000000}">
          <x14:formula1>
            <xm:f>'C:\Users\takakusa\エヌエス環境 Dropbox\01000_03_本社_技術部\技術部\3.受注業務対応\環境計画24-08 千葉県_R6業務用設備等脱炭素化補助金\04.作業用\00.準備\簡易自己診断ツール\[簡易自己診断ツール_240507.xlsx]係数'!#REF!</xm:f>
          </x14:formula1>
          <xm:sqref>G18 AA18</xm:sqref>
        </x14:dataValidation>
        <x14:dataValidation type="list" allowBlank="1" showInputMessage="1" showErrorMessage="1" xr:uid="{3116033A-E271-44D4-9C58-526995DACCC8}">
          <x14:formula1>
            <xm:f>係数!$B$3:$B$30</xm:f>
          </x14:formula1>
          <xm:sqref>G20:G34 AA20:AA34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1"/>
  <sheetViews>
    <sheetView view="pageBreakPreview" zoomScale="70" zoomScaleNormal="70" zoomScaleSheetLayoutView="70" workbookViewId="0">
      <selection activeCell="Y20" sqref="Y20"/>
    </sheetView>
  </sheetViews>
  <sheetFormatPr defaultRowHeight="18.75" x14ac:dyDescent="0.4"/>
  <cols>
    <col min="2" max="2" width="10.125" customWidth="1"/>
    <col min="3" max="3" width="10.875" customWidth="1"/>
    <col min="4" max="6" width="9.125" customWidth="1"/>
    <col min="7" max="7" width="9.125" style="41" customWidth="1"/>
    <col min="8" max="11" width="9.125" customWidth="1"/>
    <col min="12" max="12" width="9" customWidth="1"/>
    <col min="13" max="13" width="5" customWidth="1"/>
    <col min="14" max="16" width="9.125" customWidth="1"/>
    <col min="17" max="17" width="12.375" customWidth="1"/>
    <col min="18" max="18" width="9.125" customWidth="1"/>
    <col min="19" max="19" width="10.875" customWidth="1"/>
    <col min="20" max="26" width="9.125" customWidth="1"/>
    <col min="27" max="27" width="4.875" customWidth="1"/>
    <col min="28" max="28" width="9.125" customWidth="1"/>
    <col min="29" max="29" width="5" customWidth="1"/>
    <col min="30" max="32" width="9.125" customWidth="1"/>
  </cols>
  <sheetData>
    <row r="1" spans="1:34" ht="30" x14ac:dyDescent="0.6">
      <c r="A1" s="95" t="s">
        <v>1024</v>
      </c>
      <c r="G1" s="534"/>
      <c r="I1" s="185"/>
      <c r="L1" s="186"/>
    </row>
    <row r="2" spans="1:34" x14ac:dyDescent="0.4">
      <c r="A2" t="s">
        <v>1025</v>
      </c>
    </row>
    <row r="3" spans="1:34" x14ac:dyDescent="0.4">
      <c r="D3" s="613" t="s">
        <v>139</v>
      </c>
      <c r="E3" s="614"/>
      <c r="F3" s="190" t="s">
        <v>138</v>
      </c>
      <c r="G3" s="187" t="s">
        <v>76</v>
      </c>
      <c r="H3" s="187" t="s">
        <v>86</v>
      </c>
      <c r="I3" s="187" t="s">
        <v>183</v>
      </c>
      <c r="J3" s="188" t="s">
        <v>187</v>
      </c>
      <c r="N3" s="624" t="s">
        <v>500</v>
      </c>
      <c r="O3" s="625"/>
      <c r="P3" s="625"/>
      <c r="Q3" s="625"/>
      <c r="R3" s="625"/>
      <c r="S3" s="625"/>
      <c r="T3" s="625"/>
      <c r="U3" s="625"/>
      <c r="V3" s="625"/>
      <c r="W3" s="626"/>
      <c r="Y3" s="535"/>
    </row>
    <row r="4" spans="1:34" x14ac:dyDescent="0.4">
      <c r="D4" s="646" t="s">
        <v>369</v>
      </c>
      <c r="E4" s="647"/>
      <c r="F4" s="190" t="s">
        <v>84</v>
      </c>
      <c r="G4" s="494">
        <f>Q19</f>
        <v>0</v>
      </c>
      <c r="H4" s="494">
        <f>AE19</f>
        <v>0</v>
      </c>
      <c r="I4" s="494">
        <f>G4-H4</f>
        <v>0</v>
      </c>
      <c r="J4" s="238">
        <f>IFERROR(I4/G4,0)</f>
        <v>0</v>
      </c>
      <c r="N4" s="667"/>
      <c r="O4" s="668"/>
      <c r="P4" s="668"/>
      <c r="Q4" s="668"/>
      <c r="R4" s="668"/>
      <c r="S4" s="668"/>
      <c r="T4" s="668"/>
      <c r="U4" s="668"/>
      <c r="V4" s="668"/>
      <c r="W4" s="669"/>
    </row>
    <row r="5" spans="1:34" x14ac:dyDescent="0.4">
      <c r="D5" s="646" t="s">
        <v>370</v>
      </c>
      <c r="E5" s="647"/>
      <c r="F5" s="196" t="s">
        <v>62</v>
      </c>
      <c r="G5" s="501">
        <f>R19</f>
        <v>0</v>
      </c>
      <c r="H5" s="501">
        <f>AF19</f>
        <v>0</v>
      </c>
      <c r="I5" s="536">
        <f>G5-H5</f>
        <v>0</v>
      </c>
      <c r="J5" s="238">
        <f t="shared" ref="J5:J7" si="0">IFERROR(I5/G5,0)</f>
        <v>0</v>
      </c>
      <c r="N5" s="455"/>
      <c r="O5" s="455"/>
      <c r="P5" s="455"/>
      <c r="Q5" s="455"/>
      <c r="R5" s="455"/>
      <c r="S5" s="455"/>
      <c r="T5" s="455"/>
      <c r="U5" s="455"/>
      <c r="V5" s="455"/>
      <c r="W5" s="455"/>
    </row>
    <row r="6" spans="1:34" x14ac:dyDescent="0.4">
      <c r="D6" s="646" t="s">
        <v>4</v>
      </c>
      <c r="E6" s="647"/>
      <c r="F6" s="190" t="s">
        <v>89</v>
      </c>
      <c r="G6" s="466" t="str">
        <f>IF(使用量と光熱費!$H$7=0,"ー",G4*使用量と光熱費!$H$6)</f>
        <v>ー</v>
      </c>
      <c r="H6" s="466" t="str">
        <f>IF(使用量と光熱費!$H$7=0,"ー",H4*使用量と光熱費!$H$6)</f>
        <v>ー</v>
      </c>
      <c r="I6" s="456" t="str">
        <f>IF(OR(G6="ー",H6="ー"),"ー",G6-H6)</f>
        <v>ー</v>
      </c>
      <c r="J6" s="467" t="str">
        <f>IF(OR(G6="ー",I6="ー"),"ー",I6/G6)</f>
        <v>ー</v>
      </c>
      <c r="N6" s="645" t="s">
        <v>546</v>
      </c>
      <c r="O6" s="645"/>
      <c r="P6" s="645"/>
      <c r="Q6" s="645"/>
      <c r="R6" s="645"/>
      <c r="S6" s="645"/>
      <c r="T6" s="645"/>
      <c r="U6" s="645"/>
      <c r="V6" s="645"/>
      <c r="W6" s="645"/>
    </row>
    <row r="7" spans="1:34" x14ac:dyDescent="0.4">
      <c r="D7" s="646" t="s">
        <v>458</v>
      </c>
      <c r="E7" s="647"/>
      <c r="F7" s="190" t="s">
        <v>459</v>
      </c>
      <c r="G7" s="248">
        <f>G4*係数!$C$30*0.0000258</f>
        <v>0</v>
      </c>
      <c r="H7" s="248">
        <f>H4*係数!$C$30*0.0000258</f>
        <v>0</v>
      </c>
      <c r="I7" s="497">
        <f>G7-H7</f>
        <v>0</v>
      </c>
      <c r="J7" s="238">
        <f t="shared" si="0"/>
        <v>0</v>
      </c>
      <c r="N7" s="537" t="str">
        <f>IF(OR(H19=0,X19=0),"",IF(H19=X19,"なし",IF(H19&gt;X19,"減少","増加")))</f>
        <v/>
      </c>
      <c r="O7" s="670" t="str">
        <f>IF(OR(N7="",N7="なし"),"ー",IF(N7="減少","減少する理由を特記事項欄に記載してください。","やむを得ず増加する場合は特記事項欄に理由を記載してください。(要根拠資料提出)"))</f>
        <v>ー</v>
      </c>
      <c r="P7" s="670"/>
      <c r="Q7" s="670"/>
      <c r="R7" s="670"/>
      <c r="S7" s="670"/>
      <c r="T7" s="670"/>
      <c r="U7" s="670"/>
      <c r="V7" s="670"/>
      <c r="W7" s="670"/>
    </row>
    <row r="10" spans="1:34" x14ac:dyDescent="0.4">
      <c r="B10" s="192"/>
    </row>
    <row r="11" spans="1:34" x14ac:dyDescent="0.4">
      <c r="B11" s="192"/>
    </row>
    <row r="12" spans="1:34" x14ac:dyDescent="0.4">
      <c r="B12" s="192"/>
    </row>
    <row r="13" spans="1:34" x14ac:dyDescent="0.4">
      <c r="B13" s="192"/>
    </row>
    <row r="14" spans="1:34" x14ac:dyDescent="0.4">
      <c r="A14" t="s">
        <v>137</v>
      </c>
      <c r="B14" s="192"/>
      <c r="Q14" s="191"/>
    </row>
    <row r="15" spans="1:34" x14ac:dyDescent="0.4">
      <c r="B15" s="599" t="s">
        <v>139</v>
      </c>
      <c r="C15" s="225" t="s">
        <v>76</v>
      </c>
      <c r="D15" s="222"/>
      <c r="E15" s="222"/>
      <c r="F15" s="222"/>
      <c r="G15" s="222"/>
      <c r="H15" s="339"/>
      <c r="I15" s="222"/>
      <c r="J15" s="222"/>
      <c r="K15" s="222"/>
      <c r="L15" s="222"/>
      <c r="M15" s="222"/>
      <c r="N15" s="222"/>
      <c r="O15" s="222"/>
      <c r="P15" s="222"/>
      <c r="Q15" s="222"/>
      <c r="R15" s="221"/>
      <c r="S15" s="225" t="s">
        <v>86</v>
      </c>
      <c r="T15" s="222"/>
      <c r="U15" s="222"/>
      <c r="V15" s="222"/>
      <c r="W15" s="222"/>
      <c r="X15" s="222"/>
      <c r="Y15" s="222"/>
      <c r="Z15" s="222"/>
      <c r="AA15" s="222"/>
      <c r="AB15" s="222"/>
      <c r="AC15" s="222"/>
      <c r="AD15" s="222"/>
      <c r="AE15" s="222"/>
      <c r="AF15" s="221"/>
      <c r="AG15" s="225" t="s">
        <v>93</v>
      </c>
      <c r="AH15" s="221"/>
    </row>
    <row r="16" spans="1:34" ht="93.75" x14ac:dyDescent="0.4">
      <c r="B16" s="601"/>
      <c r="C16" s="372" t="s">
        <v>890</v>
      </c>
      <c r="D16" s="372" t="s">
        <v>387</v>
      </c>
      <c r="E16" s="372" t="s">
        <v>383</v>
      </c>
      <c r="F16" s="603" t="s">
        <v>388</v>
      </c>
      <c r="G16" s="604"/>
      <c r="H16" s="189" t="s">
        <v>385</v>
      </c>
      <c r="I16" s="372" t="s">
        <v>382</v>
      </c>
      <c r="J16" s="372" t="s">
        <v>386</v>
      </c>
      <c r="K16" s="372" t="s">
        <v>389</v>
      </c>
      <c r="L16" s="372" t="s">
        <v>398</v>
      </c>
      <c r="M16" s="372" t="s">
        <v>547</v>
      </c>
      <c r="N16" s="372" t="s">
        <v>908</v>
      </c>
      <c r="O16" s="372" t="s">
        <v>80</v>
      </c>
      <c r="P16" s="372" t="s">
        <v>912</v>
      </c>
      <c r="Q16" s="372" t="s">
        <v>441</v>
      </c>
      <c r="R16" s="372" t="s">
        <v>449</v>
      </c>
      <c r="S16" s="372" t="s">
        <v>165</v>
      </c>
      <c r="T16" s="372" t="s">
        <v>393</v>
      </c>
      <c r="U16" s="372" t="s">
        <v>383</v>
      </c>
      <c r="V16" s="603" t="s">
        <v>388</v>
      </c>
      <c r="W16" s="604"/>
      <c r="X16" s="372" t="s">
        <v>397</v>
      </c>
      <c r="Y16" s="372" t="s">
        <v>382</v>
      </c>
      <c r="Z16" s="372" t="s">
        <v>396</v>
      </c>
      <c r="AA16" s="372" t="s">
        <v>395</v>
      </c>
      <c r="AB16" s="372" t="s">
        <v>394</v>
      </c>
      <c r="AC16" s="372" t="s">
        <v>547</v>
      </c>
      <c r="AD16" s="372" t="s">
        <v>913</v>
      </c>
      <c r="AE16" s="372" t="s">
        <v>444</v>
      </c>
      <c r="AF16" s="372" t="s">
        <v>450</v>
      </c>
      <c r="AG16" s="372" t="s">
        <v>365</v>
      </c>
      <c r="AH16" s="372" t="s">
        <v>366</v>
      </c>
    </row>
    <row r="17" spans="2:34" x14ac:dyDescent="0.4">
      <c r="B17" s="373" t="s">
        <v>138</v>
      </c>
      <c r="C17" s="194"/>
      <c r="D17" s="194"/>
      <c r="E17" s="194"/>
      <c r="F17" s="613"/>
      <c r="G17" s="614"/>
      <c r="H17" s="190" t="s">
        <v>189</v>
      </c>
      <c r="I17" s="194"/>
      <c r="J17" s="194" t="s">
        <v>192</v>
      </c>
      <c r="K17" s="194" t="s">
        <v>94</v>
      </c>
      <c r="L17" s="194"/>
      <c r="M17" s="194"/>
      <c r="N17" s="194"/>
      <c r="O17" s="194"/>
      <c r="P17" s="194" t="s">
        <v>384</v>
      </c>
      <c r="Q17" s="190" t="s">
        <v>84</v>
      </c>
      <c r="R17" s="196" t="s">
        <v>62</v>
      </c>
      <c r="S17" s="196"/>
      <c r="T17" s="194"/>
      <c r="U17" s="194"/>
      <c r="V17" s="613"/>
      <c r="W17" s="614"/>
      <c r="X17" s="194"/>
      <c r="Y17" s="194"/>
      <c r="Z17" s="194"/>
      <c r="AA17" s="194" t="s">
        <v>94</v>
      </c>
      <c r="AB17" s="194"/>
      <c r="AC17" s="194"/>
      <c r="AD17" s="194" t="s">
        <v>384</v>
      </c>
      <c r="AE17" s="190" t="s">
        <v>84</v>
      </c>
      <c r="AF17" s="196" t="s">
        <v>62</v>
      </c>
      <c r="AG17" s="190" t="s">
        <v>84</v>
      </c>
      <c r="AH17" s="196" t="s">
        <v>62</v>
      </c>
    </row>
    <row r="18" spans="2:34" ht="18" customHeight="1" x14ac:dyDescent="0.4">
      <c r="B18" s="375" t="s">
        <v>506</v>
      </c>
      <c r="C18" s="249" t="s">
        <v>548</v>
      </c>
      <c r="D18" s="250">
        <v>2</v>
      </c>
      <c r="E18" s="200" t="s">
        <v>549</v>
      </c>
      <c r="F18" s="617" t="str">
        <f>IF(E18="IE1","標準効率",IF(E18="IE2","高効率",IF(E18="IE3","プレミアム効率",IF(E18="IE4","スーパープレミアム効率",""))))</f>
        <v>高効率</v>
      </c>
      <c r="G18" s="618"/>
      <c r="H18" s="200">
        <v>7.5</v>
      </c>
      <c r="I18" s="200" t="s">
        <v>375</v>
      </c>
      <c r="J18" s="431">
        <f>IF(I18="2極",AVERAGEIFS(モーター効率!$C$2:$C$122,モーター効率!$A$2:$A$122,E18,モーター効率!$B$2:$B$122,H18),IF(I18="4極",AVERAGEIFS(モーター効率!$D$2:$D$122,モーター効率!$A$2:$A$122,E18,モーター効率!$B$2:$B$122,H18),IF(I18="6極",AVERAGEIFS(モーター効率!$E$2:$E$122,モーター効率!$A$2:$A$122,E18,モーター効率!$B$2:$B$122,H18),IF(I18="8極",AVERAGEIFS(モーター効率!$F$2:$F$122,モーター効率!$A$2:$A$122,E18,モーター効率!$B$2:$B$122,H18),""))))</f>
        <v>0.88700000000000001</v>
      </c>
      <c r="K18" s="432">
        <f>IF(J18="","",H18/J18)</f>
        <v>8.4554678692220975</v>
      </c>
      <c r="L18" s="244">
        <v>0.8</v>
      </c>
      <c r="M18" s="202" t="s">
        <v>252</v>
      </c>
      <c r="N18" s="433">
        <v>8</v>
      </c>
      <c r="O18" s="433">
        <v>320</v>
      </c>
      <c r="P18" s="434">
        <f>N18*O18</f>
        <v>2560</v>
      </c>
      <c r="Q18" s="229">
        <f>IF(AND(D18="",K18="",L18="",P18=""),"",IF(M18="○",D18*K18*L18^2*P18,K18*L18*P18*D18))</f>
        <v>34633.596392333711</v>
      </c>
      <c r="R18" s="348">
        <f>IF(Q18="","",Q18*係数!$H$30)</f>
        <v>15.792919954904173</v>
      </c>
      <c r="S18" s="426" t="s">
        <v>550</v>
      </c>
      <c r="T18" s="250">
        <v>2</v>
      </c>
      <c r="U18" s="200" t="s">
        <v>461</v>
      </c>
      <c r="V18" s="615" t="str">
        <f>IF(U18="IE1","標準効率",IF(U18="IE2","高効率",IF(U18="IE3","プレミアム効率",IF(U18="IE4","スーパープレミアム効率",""))))</f>
        <v>プレミアム効率</v>
      </c>
      <c r="W18" s="616"/>
      <c r="X18" s="197">
        <v>7.5</v>
      </c>
      <c r="Y18" s="200" t="s">
        <v>375</v>
      </c>
      <c r="Z18" s="431">
        <f>IF(Y18="2極",AVERAGEIFS(モーター効率!$C$2:$C$122,モーター効率!$A$2:$A$122,U18,モーター効率!$B$2:$B$122,X18),IF(Y18="4極",AVERAGEIFS(モーター効率!$D$2:$D$122,モーター効率!$A$2:$A$122,U18,モーター効率!$B$2:$B$122,X18),IF(Y18="6極",AVERAGEIFS(モーター効率!$E$2:$E$122,モーター効率!$A$2:$A$122,U18,モーター効率!$B$2:$B$122,X18),IF(Y18="8極",AVERAGEIFS(モーター効率!$F$2:$F$122,モーター効率!$A$2:$A$122,U18,モーター効率!$B$2:$B$122,X18),""))))</f>
        <v>0.90400000000000003</v>
      </c>
      <c r="AA18" s="432">
        <f>IF(Z18="","",X18/Z18)</f>
        <v>8.2964601769911503</v>
      </c>
      <c r="AB18" s="428">
        <f>IF(OR(H18=0,L18=0,X18=0),"",IF(H18&lt;X18,H18*L18/X18,L18))</f>
        <v>0.8</v>
      </c>
      <c r="AC18" s="202" t="s">
        <v>316</v>
      </c>
      <c r="AD18" s="434">
        <f>IF(P18="","",P18)</f>
        <v>2560</v>
      </c>
      <c r="AE18" s="229">
        <f>IF(AND(T18="",AA18="",AB18="",AD18=""),"",IF(AC18="○",T18*AA18*AB18^2*AD18,T18*AA18*AB18*AD18))</f>
        <v>27185.840707964606</v>
      </c>
      <c r="AF18" s="349">
        <f>IF(AE18="","",AE18*係数!$H$30)</f>
        <v>12.396743362831861</v>
      </c>
      <c r="AG18" s="251">
        <f>IF(OR(Q18="",AE18=""),"",Q18-AE18)</f>
        <v>7447.7556843691054</v>
      </c>
      <c r="AH18" s="401">
        <f>IF(OR(R18="",AF18=""),"",R18-AF18)</f>
        <v>3.3961765920723117</v>
      </c>
    </row>
    <row r="19" spans="2:34" x14ac:dyDescent="0.4">
      <c r="B19" s="538" t="s">
        <v>60</v>
      </c>
      <c r="C19" s="204"/>
      <c r="D19">
        <f>SUM(D20:D29)</f>
        <v>0</v>
      </c>
      <c r="E19" s="204"/>
      <c r="F19" s="673"/>
      <c r="G19" s="674"/>
      <c r="H19" s="1">
        <f>SUMPRODUCT(D20:D29*H$20:H$29)</f>
        <v>0</v>
      </c>
      <c r="I19" s="204"/>
      <c r="J19" s="204"/>
      <c r="K19" s="204"/>
      <c r="L19" s="204"/>
      <c r="M19" s="204"/>
      <c r="N19" s="1"/>
      <c r="O19" s="1"/>
      <c r="P19">
        <f>SUM(P20:P29)</f>
        <v>0</v>
      </c>
      <c r="Q19" s="539">
        <f>SUM(Q20:Q29)</f>
        <v>0</v>
      </c>
      <c r="R19" s="540">
        <f>SUM(R20:R29)</f>
        <v>0</v>
      </c>
      <c r="S19" s="520"/>
      <c r="T19">
        <f>SUM(T20:T29)</f>
        <v>0</v>
      </c>
      <c r="U19" s="204"/>
      <c r="V19" s="673"/>
      <c r="W19" s="674"/>
      <c r="X19" s="1">
        <f>SUMPRODUCT(T20:T29*X$20:X$29)</f>
        <v>0</v>
      </c>
      <c r="Y19" s="204"/>
      <c r="Z19" s="204"/>
      <c r="AA19" s="204"/>
      <c r="AB19" s="204"/>
      <c r="AC19" s="204"/>
      <c r="AD19">
        <f>SUM(AD20:AD29)</f>
        <v>0</v>
      </c>
      <c r="AE19" s="539">
        <f>SUM(AE20:AE29)</f>
        <v>0</v>
      </c>
      <c r="AF19" s="541">
        <f>SUM(AF20:AF29)</f>
        <v>0</v>
      </c>
      <c r="AG19" s="542">
        <f>SUM(AG20:AG29)</f>
        <v>0</v>
      </c>
      <c r="AH19" s="543">
        <f>SUM(AH20:AH29)</f>
        <v>0</v>
      </c>
    </row>
    <row r="20" spans="2:34" x14ac:dyDescent="0.4">
      <c r="B20" s="194" t="s">
        <v>117</v>
      </c>
      <c r="C20" s="27"/>
      <c r="D20" s="27"/>
      <c r="E20" s="213"/>
      <c r="F20" s="671" t="str">
        <f t="shared" ref="F20:F29" si="1">IF(E20="IE1","標準効率",IF(E20="IE2","高効率",IF(E20="IE3","プレミアム効率",IF(E20="IE4","スーパープレミアム効率",""))))</f>
        <v/>
      </c>
      <c r="G20" s="672"/>
      <c r="H20" s="544"/>
      <c r="I20" s="213"/>
      <c r="J20" s="283" t="str">
        <f>IF(I20="2極",AVERAGEIFS(モーター効率!$C$2:$C$122,モーター効率!$A$2:$A$122,E20,モーター効率!$B$2:$B$122,H20),IF(I20="4極",AVERAGEIFS(モーター効率!$D$2:$D$122,モーター効率!$A$2:$A$122,E20,モーター効率!$B$2:$B$122,H20),IF(I20="6極",AVERAGEIFS(モーター効率!$E$2:$E$122,モーター効率!$A$2:$A$122,E20,モーター効率!$B$2:$B$122,H20),IF(I20="8極",AVERAGEIFS(モーター効率!$F$2:$F$122,モーター効率!$A$2:$A$122,E20,モーター効率!$B$2:$B$122,H20),""))))</f>
        <v/>
      </c>
      <c r="K20" s="284" t="str">
        <f t="shared" ref="K20:K29" si="2">IF(J20="","",H20/J20)</f>
        <v/>
      </c>
      <c r="L20" s="173"/>
      <c r="M20" s="252"/>
      <c r="N20" s="545"/>
      <c r="O20" s="545"/>
      <c r="P20" s="546">
        <f t="shared" ref="P20:P29" si="3">N20*O20</f>
        <v>0</v>
      </c>
      <c r="Q20" s="12">
        <f>IF(OR(D20="",K20="",L20="",P20=""),0,IF(M20="○",D20*K20*L20^2*P20,D20*K20*L20*P20))</f>
        <v>0</v>
      </c>
      <c r="R20" s="284">
        <f>IF(Q20="","",Q20*係数!$H$30)</f>
        <v>0</v>
      </c>
      <c r="S20" s="547"/>
      <c r="T20" s="27"/>
      <c r="U20" s="213"/>
      <c r="V20" s="671" t="str">
        <f t="shared" ref="V20:V29" si="4">IF(U20="IE1","標準効率",IF(U20="IE2","高効率",IF(U20="IE3","プレミアム効率",IF(U20="IE4","スーパープレミアム効率",""))))</f>
        <v/>
      </c>
      <c r="W20" s="672"/>
      <c r="X20" s="45"/>
      <c r="Y20" s="213"/>
      <c r="Z20" s="283" t="str">
        <f>IF(Y20="2極",AVERAGEIFS(モーター効率!$C$2:$C$122,モーター効率!$A$2:$A$122,U20,モーター効率!$B$2:$B$122,X20),IF(Y20="4極",AVERAGEIFS(モーター効率!$D$2:$D$122,モーター効率!$A$2:$A$122,U20,モーター効率!$B$2:$B$122,X20),IF(Y20="6極",AVERAGEIFS(モーター効率!$E$2:$E$122,モーター効率!$A$2:$A$122,U20,モーター効率!$B$2:$B$122,X20),IF(Y20="8極",AVERAGEIFS(モーター効率!$F$2:$F$122,モーター効率!$A$2:$A$122,U20,モーター効率!$B$2:$B$122,X20),""))))</f>
        <v/>
      </c>
      <c r="AA20" s="284" t="str">
        <f t="shared" ref="AA20:AA29" si="5">IF(Z20="","",X20/Z20)</f>
        <v/>
      </c>
      <c r="AB20" s="253" t="str">
        <f t="shared" ref="AB20:AB29" si="6">IF(OR(H20=0,L20=0,X20=0),"",IF(H20&lt;X20,H20*L20/X20,L20))</f>
        <v/>
      </c>
      <c r="AC20" s="252"/>
      <c r="AD20" s="1">
        <f>IF(P20="","",P20)</f>
        <v>0</v>
      </c>
      <c r="AE20" s="12">
        <f>IF(OR(T20="",AA20="",AB20="",AD20=""),0,IF(AC20="○",T20*AA20*AB20^2*AD20,T20*AA20*AB20*AD20))</f>
        <v>0</v>
      </c>
      <c r="AF20" s="483">
        <f>IF(AE20="","",AE20*係数!$H$30)</f>
        <v>0</v>
      </c>
      <c r="AG20" s="254">
        <f>IF(OR(Q20="",AE20=""),"",Q20-AE20)</f>
        <v>0</v>
      </c>
      <c r="AH20" s="510">
        <f t="shared" ref="AH20:AH29" si="7">IF(OR(R20="",AF20=""),"",R20-AF20)</f>
        <v>0</v>
      </c>
    </row>
    <row r="21" spans="2:34" x14ac:dyDescent="0.4">
      <c r="B21" s="194" t="s">
        <v>118</v>
      </c>
      <c r="C21" s="27"/>
      <c r="D21" s="27"/>
      <c r="E21" s="213"/>
      <c r="F21" s="671" t="str">
        <f t="shared" si="1"/>
        <v/>
      </c>
      <c r="G21" s="672"/>
      <c r="H21" s="544"/>
      <c r="I21" s="213"/>
      <c r="J21" s="283" t="str">
        <f>IF(I21="2極",AVERAGEIFS(モーター効率!$C$2:$C$122,モーター効率!$A$2:$A$122,E21,モーター効率!$B$2:$B$122,H21),IF(I21="4極",AVERAGEIFS(モーター効率!$D$2:$D$122,モーター効率!$A$2:$A$122,E21,モーター効率!$B$2:$B$122,H21),IF(I21="6極",AVERAGEIFS(モーター効率!$E$2:$E$122,モーター効率!$A$2:$A$122,E21,モーター効率!$B$2:$B$122,H21),IF(I21="8極",AVERAGEIFS(モーター効率!$F$2:$F$122,モーター効率!$A$2:$A$122,E21,モーター効率!$B$2:$B$122,H21),""))))</f>
        <v/>
      </c>
      <c r="K21" s="284" t="str">
        <f t="shared" si="2"/>
        <v/>
      </c>
      <c r="L21" s="173"/>
      <c r="M21" s="255"/>
      <c r="N21" s="548"/>
      <c r="O21" s="548"/>
      <c r="P21" s="546">
        <f t="shared" si="3"/>
        <v>0</v>
      </c>
      <c r="Q21" s="12">
        <f t="shared" ref="Q21:Q29" si="8">IF(OR(D21="",K21="",L21="",P21=""),0,IF(M21="○",D21*K21*L21^2*P21,D21*K21*L21*P21))</f>
        <v>0</v>
      </c>
      <c r="R21" s="284">
        <f>IF(Q21="","",Q21*係数!$H$30)</f>
        <v>0</v>
      </c>
      <c r="S21" s="547"/>
      <c r="T21" s="27"/>
      <c r="U21" s="213"/>
      <c r="V21" s="671" t="str">
        <f t="shared" si="4"/>
        <v/>
      </c>
      <c r="W21" s="672"/>
      <c r="X21" s="45"/>
      <c r="Y21" s="213"/>
      <c r="Z21" s="283" t="str">
        <f>IF(Y21="2極",AVERAGEIFS(モーター効率!$C$2:$C$122,モーター効率!$A$2:$A$122,U21,モーター効率!$B$2:$B$122,X21),IF(Y21="4極",AVERAGEIFS(モーター効率!$D$2:$D$122,モーター効率!$A$2:$A$122,U21,モーター効率!$B$2:$B$122,X21),IF(Y21="6極",AVERAGEIFS(モーター効率!$E$2:$E$122,モーター効率!$A$2:$A$122,U21,モーター効率!$B$2:$B$122,X21),IF(Y21="8極",AVERAGEIFS(モーター効率!$F$2:$F$122,モーター効率!$A$2:$A$122,U21,モーター効率!$B$2:$B$122,X21),""))))</f>
        <v/>
      </c>
      <c r="AA21" s="284" t="str">
        <f t="shared" si="5"/>
        <v/>
      </c>
      <c r="AB21" s="253" t="str">
        <f t="shared" si="6"/>
        <v/>
      </c>
      <c r="AC21" s="255"/>
      <c r="AD21" s="1">
        <f>IF(P21="","",P21)</f>
        <v>0</v>
      </c>
      <c r="AE21" s="12">
        <f t="shared" ref="AE21:AE29" si="9">IF(OR(T21="",AA21="",AB21="",AD21=""),0,IF(AC21="○",T21*AA21*AB21^2*AD21,T21*AA21*AB21*AD21))</f>
        <v>0</v>
      </c>
      <c r="AF21" s="483">
        <f>IF(AE21="","",AE21*係数!$H$30)</f>
        <v>0</v>
      </c>
      <c r="AG21" s="254">
        <f t="shared" ref="AG21:AG29" si="10">IF(OR(Q21="",AE21=""),"",Q21-AE21)</f>
        <v>0</v>
      </c>
      <c r="AH21" s="510">
        <f t="shared" si="7"/>
        <v>0</v>
      </c>
    </row>
    <row r="22" spans="2:34" x14ac:dyDescent="0.4">
      <c r="B22" s="194" t="s">
        <v>119</v>
      </c>
      <c r="C22" s="27"/>
      <c r="D22" s="27"/>
      <c r="E22" s="213"/>
      <c r="F22" s="671" t="str">
        <f t="shared" si="1"/>
        <v/>
      </c>
      <c r="G22" s="672"/>
      <c r="H22" s="544"/>
      <c r="I22" s="213"/>
      <c r="J22" s="283" t="str">
        <f>IF(I22="2極",AVERAGEIFS(モーター効率!$C$2:$C$122,モーター効率!$A$2:$A$122,E22,モーター効率!$B$2:$B$122,H22),IF(I22="4極",AVERAGEIFS(モーター効率!$D$2:$D$122,モーター効率!$A$2:$A$122,E22,モーター効率!$B$2:$B$122,H22),IF(I22="6極",AVERAGEIFS(モーター効率!$E$2:$E$122,モーター効率!$A$2:$A$122,E22,モーター効率!$B$2:$B$122,H22),IF(I22="8極",AVERAGEIFS(モーター効率!$F$2:$F$122,モーター効率!$A$2:$A$122,E22,モーター効率!$B$2:$B$122,H22),""))))</f>
        <v/>
      </c>
      <c r="K22" s="284" t="str">
        <f t="shared" si="2"/>
        <v/>
      </c>
      <c r="L22" s="173"/>
      <c r="M22" s="255"/>
      <c r="N22" s="548"/>
      <c r="O22" s="548"/>
      <c r="P22" s="546">
        <f t="shared" si="3"/>
        <v>0</v>
      </c>
      <c r="Q22" s="12">
        <f t="shared" si="8"/>
        <v>0</v>
      </c>
      <c r="R22" s="284">
        <f>IF(Q22="","",Q22*係数!$H$30)</f>
        <v>0</v>
      </c>
      <c r="S22" s="547"/>
      <c r="T22" s="27"/>
      <c r="U22" s="213"/>
      <c r="V22" s="671" t="str">
        <f t="shared" si="4"/>
        <v/>
      </c>
      <c r="W22" s="672"/>
      <c r="X22" s="45"/>
      <c r="Y22" s="213"/>
      <c r="Z22" s="283" t="str">
        <f>IF(Y22="2極",AVERAGEIFS(モーター効率!$C$2:$C$122,モーター効率!$A$2:$A$122,U22,モーター効率!$B$2:$B$122,X22),IF(Y22="4極",AVERAGEIFS(モーター効率!$D$2:$D$122,モーター効率!$A$2:$A$122,U22,モーター効率!$B$2:$B$122,X22),IF(Y22="6極",AVERAGEIFS(モーター効率!$E$2:$E$122,モーター効率!$A$2:$A$122,U22,モーター効率!$B$2:$B$122,X22),IF(Y22="8極",AVERAGEIFS(モーター効率!$F$2:$F$122,モーター効率!$A$2:$A$122,U22,モーター効率!$B$2:$B$122,X22),""))))</f>
        <v/>
      </c>
      <c r="AA22" s="284" t="str">
        <f t="shared" si="5"/>
        <v/>
      </c>
      <c r="AB22" s="253" t="str">
        <f t="shared" si="6"/>
        <v/>
      </c>
      <c r="AC22" s="255"/>
      <c r="AD22" s="1">
        <f t="shared" ref="AD22:AD29" si="11">IF(P22="","",P22)</f>
        <v>0</v>
      </c>
      <c r="AE22" s="12">
        <f t="shared" si="9"/>
        <v>0</v>
      </c>
      <c r="AF22" s="483">
        <f>IF(AE22="","",AE22*係数!$H$30)</f>
        <v>0</v>
      </c>
      <c r="AG22" s="254">
        <f t="shared" si="10"/>
        <v>0</v>
      </c>
      <c r="AH22" s="510">
        <f t="shared" si="7"/>
        <v>0</v>
      </c>
    </row>
    <row r="23" spans="2:34" x14ac:dyDescent="0.4">
      <c r="B23" s="194" t="s">
        <v>120</v>
      </c>
      <c r="C23" s="27"/>
      <c r="D23" s="27"/>
      <c r="E23" s="213"/>
      <c r="F23" s="671" t="str">
        <f t="shared" si="1"/>
        <v/>
      </c>
      <c r="G23" s="672"/>
      <c r="H23" s="544"/>
      <c r="I23" s="213"/>
      <c r="J23" s="283" t="str">
        <f>IF(I23="2極",AVERAGEIFS(モーター効率!$C$2:$C$122,モーター効率!$A$2:$A$122,E23,モーター効率!$B$2:$B$122,H23),IF(I23="4極",AVERAGEIFS(モーター効率!$D$2:$D$122,モーター効率!$A$2:$A$122,E23,モーター効率!$B$2:$B$122,H23),IF(I23="6極",AVERAGEIFS(モーター効率!$E$2:$E$122,モーター効率!$A$2:$A$122,E23,モーター効率!$B$2:$B$122,H23),IF(I23="8極",AVERAGEIFS(モーター効率!$F$2:$F$122,モーター効率!$A$2:$A$122,E23,モーター効率!$B$2:$B$122,H23),""))))</f>
        <v/>
      </c>
      <c r="K23" s="284" t="str">
        <f t="shared" si="2"/>
        <v/>
      </c>
      <c r="L23" s="173"/>
      <c r="M23" s="255"/>
      <c r="N23" s="548"/>
      <c r="O23" s="548"/>
      <c r="P23" s="546">
        <f t="shared" si="3"/>
        <v>0</v>
      </c>
      <c r="Q23" s="12">
        <f t="shared" si="8"/>
        <v>0</v>
      </c>
      <c r="R23" s="284">
        <f>IF(Q23="","",Q23*係数!$H$30)</f>
        <v>0</v>
      </c>
      <c r="S23" s="547"/>
      <c r="T23" s="27"/>
      <c r="U23" s="213"/>
      <c r="V23" s="671" t="str">
        <f t="shared" si="4"/>
        <v/>
      </c>
      <c r="W23" s="672"/>
      <c r="X23" s="45"/>
      <c r="Y23" s="213"/>
      <c r="Z23" s="283" t="str">
        <f>IF(Y23="2極",AVERAGEIFS(モーター効率!$C$2:$C$122,モーター効率!$A$2:$A$122,U23,モーター効率!$B$2:$B$122,X23),IF(Y23="4極",AVERAGEIFS(モーター効率!$D$2:$D$122,モーター効率!$A$2:$A$122,U23,モーター効率!$B$2:$B$122,X23),IF(Y23="6極",AVERAGEIFS(モーター効率!$E$2:$E$122,モーター効率!$A$2:$A$122,U23,モーター効率!$B$2:$B$122,X23),IF(Y23="8極",AVERAGEIFS(モーター効率!$F$2:$F$122,モーター効率!$A$2:$A$122,U23,モーター効率!$B$2:$B$122,X23),""))))</f>
        <v/>
      </c>
      <c r="AA23" s="284" t="str">
        <f t="shared" si="5"/>
        <v/>
      </c>
      <c r="AB23" s="253" t="str">
        <f t="shared" si="6"/>
        <v/>
      </c>
      <c r="AC23" s="255"/>
      <c r="AD23" s="1">
        <f t="shared" si="11"/>
        <v>0</v>
      </c>
      <c r="AE23" s="12">
        <f t="shared" si="9"/>
        <v>0</v>
      </c>
      <c r="AF23" s="483">
        <f>IF(AE23="","",AE23*係数!$H$30)</f>
        <v>0</v>
      </c>
      <c r="AG23" s="254">
        <f t="shared" si="10"/>
        <v>0</v>
      </c>
      <c r="AH23" s="510">
        <f t="shared" si="7"/>
        <v>0</v>
      </c>
    </row>
    <row r="24" spans="2:34" x14ac:dyDescent="0.4">
      <c r="B24" s="194" t="s">
        <v>121</v>
      </c>
      <c r="C24" s="27"/>
      <c r="D24" s="27"/>
      <c r="E24" s="213"/>
      <c r="F24" s="671" t="str">
        <f t="shared" si="1"/>
        <v/>
      </c>
      <c r="G24" s="672"/>
      <c r="H24" s="544"/>
      <c r="I24" s="213"/>
      <c r="J24" s="283" t="str">
        <f>IF(I24="2極",AVERAGEIFS(モーター効率!$C$2:$C$122,モーター効率!$A$2:$A$122,E24,モーター効率!$B$2:$B$122,H24),IF(I24="4極",AVERAGEIFS(モーター効率!$D$2:$D$122,モーター効率!$A$2:$A$122,E24,モーター効率!$B$2:$B$122,H24),IF(I24="6極",AVERAGEIFS(モーター効率!$E$2:$E$122,モーター効率!$A$2:$A$122,E24,モーター効率!$B$2:$B$122,H24),IF(I24="8極",AVERAGEIFS(モーター効率!$F$2:$F$122,モーター効率!$A$2:$A$122,E24,モーター効率!$B$2:$B$122,H24),""))))</f>
        <v/>
      </c>
      <c r="K24" s="284" t="str">
        <f t="shared" si="2"/>
        <v/>
      </c>
      <c r="L24" s="173"/>
      <c r="M24" s="255"/>
      <c r="N24" s="548"/>
      <c r="O24" s="548"/>
      <c r="P24" s="546">
        <f t="shared" si="3"/>
        <v>0</v>
      </c>
      <c r="Q24" s="12">
        <f t="shared" si="8"/>
        <v>0</v>
      </c>
      <c r="R24" s="284">
        <f>IF(Q24="","",Q24*係数!$H$30)</f>
        <v>0</v>
      </c>
      <c r="S24" s="547"/>
      <c r="T24" s="27"/>
      <c r="U24" s="213"/>
      <c r="V24" s="671" t="str">
        <f t="shared" si="4"/>
        <v/>
      </c>
      <c r="W24" s="672"/>
      <c r="X24" s="45"/>
      <c r="Y24" s="213"/>
      <c r="Z24" s="283" t="str">
        <f>IF(Y24="2極",AVERAGEIFS(モーター効率!$C$2:$C$122,モーター効率!$A$2:$A$122,U24,モーター効率!$B$2:$B$122,X24),IF(Y24="4極",AVERAGEIFS(モーター効率!$D$2:$D$122,モーター効率!$A$2:$A$122,U24,モーター効率!$B$2:$B$122,X24),IF(Y24="6極",AVERAGEIFS(モーター効率!$E$2:$E$122,モーター効率!$A$2:$A$122,U24,モーター効率!$B$2:$B$122,X24),IF(Y24="8極",AVERAGEIFS(モーター効率!$F$2:$F$122,モーター効率!$A$2:$A$122,U24,モーター効率!$B$2:$B$122,X24),""))))</f>
        <v/>
      </c>
      <c r="AA24" s="284" t="str">
        <f t="shared" si="5"/>
        <v/>
      </c>
      <c r="AB24" s="253" t="str">
        <f t="shared" si="6"/>
        <v/>
      </c>
      <c r="AC24" s="255"/>
      <c r="AD24" s="1">
        <f t="shared" si="11"/>
        <v>0</v>
      </c>
      <c r="AE24" s="12">
        <f t="shared" si="9"/>
        <v>0</v>
      </c>
      <c r="AF24" s="483">
        <f>IF(AE24="","",AE24*係数!$H$30)</f>
        <v>0</v>
      </c>
      <c r="AG24" s="254">
        <f t="shared" si="10"/>
        <v>0</v>
      </c>
      <c r="AH24" s="510">
        <f t="shared" si="7"/>
        <v>0</v>
      </c>
    </row>
    <row r="25" spans="2:34" x14ac:dyDescent="0.4">
      <c r="B25" s="194" t="s">
        <v>122</v>
      </c>
      <c r="C25" s="27"/>
      <c r="D25" s="27"/>
      <c r="E25" s="213"/>
      <c r="F25" s="671" t="str">
        <f t="shared" si="1"/>
        <v/>
      </c>
      <c r="G25" s="672"/>
      <c r="H25" s="544"/>
      <c r="I25" s="213"/>
      <c r="J25" s="283" t="str">
        <f>IF(I25="2極",AVERAGEIFS(モーター効率!$C$2:$C$122,モーター効率!$A$2:$A$122,E25,モーター効率!$B$2:$B$122,H25),IF(I25="4極",AVERAGEIFS(モーター効率!$D$2:$D$122,モーター効率!$A$2:$A$122,E25,モーター効率!$B$2:$B$122,H25),IF(I25="6極",AVERAGEIFS(モーター効率!$E$2:$E$122,モーター効率!$A$2:$A$122,E25,モーター効率!$B$2:$B$122,H25),IF(I25="8極",AVERAGEIFS(モーター効率!$F$2:$F$122,モーター効率!$A$2:$A$122,E25,モーター効率!$B$2:$B$122,H25),""))))</f>
        <v/>
      </c>
      <c r="K25" s="284" t="str">
        <f t="shared" si="2"/>
        <v/>
      </c>
      <c r="L25" s="173"/>
      <c r="M25" s="255"/>
      <c r="N25" s="548"/>
      <c r="O25" s="548"/>
      <c r="P25" s="546">
        <f t="shared" si="3"/>
        <v>0</v>
      </c>
      <c r="Q25" s="12">
        <f t="shared" si="8"/>
        <v>0</v>
      </c>
      <c r="R25" s="284">
        <f>IF(Q25="","",Q25*係数!$H$30)</f>
        <v>0</v>
      </c>
      <c r="S25" s="547"/>
      <c r="T25" s="27"/>
      <c r="U25" s="213"/>
      <c r="V25" s="671" t="str">
        <f t="shared" si="4"/>
        <v/>
      </c>
      <c r="W25" s="672"/>
      <c r="X25" s="45"/>
      <c r="Y25" s="213"/>
      <c r="Z25" s="283" t="str">
        <f>IF(Y25="2極",AVERAGEIFS(モーター効率!$C$2:$C$122,モーター効率!$A$2:$A$122,U25,モーター効率!$B$2:$B$122,X25),IF(Y25="4極",AVERAGEIFS(モーター効率!$D$2:$D$122,モーター効率!$A$2:$A$122,U25,モーター効率!$B$2:$B$122,X25),IF(Y25="6極",AVERAGEIFS(モーター効率!$E$2:$E$122,モーター効率!$A$2:$A$122,U25,モーター効率!$B$2:$B$122,X25),IF(Y25="8極",AVERAGEIFS(モーター効率!$F$2:$F$122,モーター効率!$A$2:$A$122,U25,モーター効率!$B$2:$B$122,X25),""))))</f>
        <v/>
      </c>
      <c r="AA25" s="284" t="str">
        <f t="shared" si="5"/>
        <v/>
      </c>
      <c r="AB25" s="253" t="str">
        <f t="shared" si="6"/>
        <v/>
      </c>
      <c r="AC25" s="255"/>
      <c r="AD25" s="1">
        <f t="shared" si="11"/>
        <v>0</v>
      </c>
      <c r="AE25" s="12">
        <f t="shared" si="9"/>
        <v>0</v>
      </c>
      <c r="AF25" s="483">
        <f>IF(AE25="","",AE25*係数!$H$30)</f>
        <v>0</v>
      </c>
      <c r="AG25" s="254">
        <f t="shared" si="10"/>
        <v>0</v>
      </c>
      <c r="AH25" s="510">
        <f t="shared" si="7"/>
        <v>0</v>
      </c>
    </row>
    <row r="26" spans="2:34" x14ac:dyDescent="0.4">
      <c r="B26" s="194" t="s">
        <v>123</v>
      </c>
      <c r="C26" s="27"/>
      <c r="D26" s="27"/>
      <c r="E26" s="213"/>
      <c r="F26" s="671" t="str">
        <f t="shared" si="1"/>
        <v/>
      </c>
      <c r="G26" s="672"/>
      <c r="H26" s="544"/>
      <c r="I26" s="213"/>
      <c r="J26" s="283" t="str">
        <f>IF(I26="2極",AVERAGEIFS(モーター効率!$C$2:$C$122,モーター効率!$A$2:$A$122,E26,モーター効率!$B$2:$B$122,H26),IF(I26="4極",AVERAGEIFS(モーター効率!$D$2:$D$122,モーター効率!$A$2:$A$122,E26,モーター効率!$B$2:$B$122,H26),IF(I26="6極",AVERAGEIFS(モーター効率!$E$2:$E$122,モーター効率!$A$2:$A$122,E26,モーター効率!$B$2:$B$122,H26),IF(I26="8極",AVERAGEIFS(モーター効率!$F$2:$F$122,モーター効率!$A$2:$A$122,E26,モーター効率!$B$2:$B$122,H26),""))))</f>
        <v/>
      </c>
      <c r="K26" s="284" t="str">
        <f t="shared" si="2"/>
        <v/>
      </c>
      <c r="L26" s="173"/>
      <c r="M26" s="255"/>
      <c r="N26" s="548"/>
      <c r="O26" s="548"/>
      <c r="P26" s="546">
        <f t="shared" si="3"/>
        <v>0</v>
      </c>
      <c r="Q26" s="12">
        <f t="shared" si="8"/>
        <v>0</v>
      </c>
      <c r="R26" s="284">
        <f>IF(Q26="","",Q26*係数!$H$30)</f>
        <v>0</v>
      </c>
      <c r="S26" s="547"/>
      <c r="T26" s="27"/>
      <c r="U26" s="213"/>
      <c r="V26" s="671" t="str">
        <f t="shared" si="4"/>
        <v/>
      </c>
      <c r="W26" s="672"/>
      <c r="X26" s="45"/>
      <c r="Y26" s="213"/>
      <c r="Z26" s="283" t="str">
        <f>IF(Y26="2極",AVERAGEIFS(モーター効率!$C$2:$C$122,モーター効率!$A$2:$A$122,U26,モーター効率!$B$2:$B$122,X26),IF(Y26="4極",AVERAGEIFS(モーター効率!$D$2:$D$122,モーター効率!$A$2:$A$122,U26,モーター効率!$B$2:$B$122,X26),IF(Y26="6極",AVERAGEIFS(モーター効率!$E$2:$E$122,モーター効率!$A$2:$A$122,U26,モーター効率!$B$2:$B$122,X26),IF(Y26="8極",AVERAGEIFS(モーター効率!$F$2:$F$122,モーター効率!$A$2:$A$122,U26,モーター効率!$B$2:$B$122,X26),""))))</f>
        <v/>
      </c>
      <c r="AA26" s="284" t="str">
        <f t="shared" si="5"/>
        <v/>
      </c>
      <c r="AB26" s="253" t="str">
        <f t="shared" si="6"/>
        <v/>
      </c>
      <c r="AC26" s="255"/>
      <c r="AD26" s="1">
        <f t="shared" si="11"/>
        <v>0</v>
      </c>
      <c r="AE26" s="12">
        <f t="shared" si="9"/>
        <v>0</v>
      </c>
      <c r="AF26" s="483">
        <f>IF(AE26="","",AE26*係数!$H$30)</f>
        <v>0</v>
      </c>
      <c r="AG26" s="254">
        <f t="shared" si="10"/>
        <v>0</v>
      </c>
      <c r="AH26" s="510">
        <f t="shared" si="7"/>
        <v>0</v>
      </c>
    </row>
    <row r="27" spans="2:34" x14ac:dyDescent="0.4">
      <c r="B27" s="194" t="s">
        <v>124</v>
      </c>
      <c r="C27" s="27"/>
      <c r="D27" s="27"/>
      <c r="E27" s="213"/>
      <c r="F27" s="671" t="str">
        <f t="shared" si="1"/>
        <v/>
      </c>
      <c r="G27" s="672"/>
      <c r="H27" s="544"/>
      <c r="I27" s="213"/>
      <c r="J27" s="283" t="str">
        <f>IF(I27="2極",AVERAGEIFS(モーター効率!$C$2:$C$122,モーター効率!$A$2:$A$122,E27,モーター効率!$B$2:$B$122,H27),IF(I27="4極",AVERAGEIFS(モーター効率!$D$2:$D$122,モーター効率!$A$2:$A$122,E27,モーター効率!$B$2:$B$122,H27),IF(I27="6極",AVERAGEIFS(モーター効率!$E$2:$E$122,モーター効率!$A$2:$A$122,E27,モーター効率!$B$2:$B$122,H27),IF(I27="8極",AVERAGEIFS(モーター効率!$F$2:$F$122,モーター効率!$A$2:$A$122,E27,モーター効率!$B$2:$B$122,H27),""))))</f>
        <v/>
      </c>
      <c r="K27" s="284" t="str">
        <f t="shared" si="2"/>
        <v/>
      </c>
      <c r="L27" s="173"/>
      <c r="M27" s="255"/>
      <c r="N27" s="548"/>
      <c r="O27" s="548"/>
      <c r="P27" s="546">
        <f t="shared" si="3"/>
        <v>0</v>
      </c>
      <c r="Q27" s="12">
        <f t="shared" si="8"/>
        <v>0</v>
      </c>
      <c r="R27" s="284">
        <f>IF(Q27="","",Q27*係数!$H$30)</f>
        <v>0</v>
      </c>
      <c r="S27" s="547"/>
      <c r="T27" s="27"/>
      <c r="U27" s="213"/>
      <c r="V27" s="671" t="str">
        <f t="shared" si="4"/>
        <v/>
      </c>
      <c r="W27" s="672"/>
      <c r="X27" s="45"/>
      <c r="Y27" s="213"/>
      <c r="Z27" s="283" t="str">
        <f>IF(Y27="2極",AVERAGEIFS(モーター効率!$C$2:$C$122,モーター効率!$A$2:$A$122,U27,モーター効率!$B$2:$B$122,X27),IF(Y27="4極",AVERAGEIFS(モーター効率!$D$2:$D$122,モーター効率!$A$2:$A$122,U27,モーター効率!$B$2:$B$122,X27),IF(Y27="6極",AVERAGEIFS(モーター効率!$E$2:$E$122,モーター効率!$A$2:$A$122,U27,モーター効率!$B$2:$B$122,X27),IF(Y27="8極",AVERAGEIFS(モーター効率!$F$2:$F$122,モーター効率!$A$2:$A$122,U27,モーター効率!$B$2:$B$122,X27),""))))</f>
        <v/>
      </c>
      <c r="AA27" s="284" t="str">
        <f t="shared" si="5"/>
        <v/>
      </c>
      <c r="AB27" s="253" t="str">
        <f t="shared" si="6"/>
        <v/>
      </c>
      <c r="AC27" s="255"/>
      <c r="AD27" s="1">
        <f t="shared" si="11"/>
        <v>0</v>
      </c>
      <c r="AE27" s="12">
        <f t="shared" si="9"/>
        <v>0</v>
      </c>
      <c r="AF27" s="483">
        <f>IF(AE27="","",AE27*係数!$H$30)</f>
        <v>0</v>
      </c>
      <c r="AG27" s="254">
        <f t="shared" si="10"/>
        <v>0</v>
      </c>
      <c r="AH27" s="510">
        <f t="shared" si="7"/>
        <v>0</v>
      </c>
    </row>
    <row r="28" spans="2:34" x14ac:dyDescent="0.4">
      <c r="B28" s="194" t="s">
        <v>125</v>
      </c>
      <c r="C28" s="27"/>
      <c r="D28" s="27"/>
      <c r="E28" s="213"/>
      <c r="F28" s="671" t="str">
        <f t="shared" si="1"/>
        <v/>
      </c>
      <c r="G28" s="672"/>
      <c r="H28" s="544"/>
      <c r="I28" s="213"/>
      <c r="J28" s="283" t="str">
        <f>IF(I28="2極",AVERAGEIFS(モーター効率!$C$2:$C$122,モーター効率!$A$2:$A$122,E28,モーター効率!$B$2:$B$122,H28),IF(I28="4極",AVERAGEIFS(モーター効率!$D$2:$D$122,モーター効率!$A$2:$A$122,E28,モーター効率!$B$2:$B$122,H28),IF(I28="6極",AVERAGEIFS(モーター効率!$E$2:$E$122,モーター効率!$A$2:$A$122,E28,モーター効率!$B$2:$B$122,H28),IF(I28="8極",AVERAGEIFS(モーター効率!$F$2:$F$122,モーター効率!$A$2:$A$122,E28,モーター効率!$B$2:$B$122,H28),""))))</f>
        <v/>
      </c>
      <c r="K28" s="284" t="str">
        <f t="shared" si="2"/>
        <v/>
      </c>
      <c r="L28" s="173"/>
      <c r="M28" s="255"/>
      <c r="N28" s="548"/>
      <c r="O28" s="548"/>
      <c r="P28" s="546">
        <f t="shared" si="3"/>
        <v>0</v>
      </c>
      <c r="Q28" s="12">
        <f t="shared" si="8"/>
        <v>0</v>
      </c>
      <c r="R28" s="284">
        <f>IF(Q28="","",Q28*係数!$H$30)</f>
        <v>0</v>
      </c>
      <c r="S28" s="547"/>
      <c r="T28" s="27"/>
      <c r="U28" s="213"/>
      <c r="V28" s="671" t="str">
        <f t="shared" si="4"/>
        <v/>
      </c>
      <c r="W28" s="672"/>
      <c r="X28" s="45"/>
      <c r="Y28" s="213"/>
      <c r="Z28" s="283" t="str">
        <f>IF(Y28="2極",AVERAGEIFS(モーター効率!$C$2:$C$122,モーター効率!$A$2:$A$122,U28,モーター効率!$B$2:$B$122,X28),IF(Y28="4極",AVERAGEIFS(モーター効率!$D$2:$D$122,モーター効率!$A$2:$A$122,U28,モーター効率!$B$2:$B$122,X28),IF(Y28="6極",AVERAGEIFS(モーター効率!$E$2:$E$122,モーター効率!$A$2:$A$122,U28,モーター効率!$B$2:$B$122,X28),IF(Y28="8極",AVERAGEIFS(モーター効率!$F$2:$F$122,モーター効率!$A$2:$A$122,U28,モーター効率!$B$2:$B$122,X28),""))))</f>
        <v/>
      </c>
      <c r="AA28" s="284" t="str">
        <f t="shared" si="5"/>
        <v/>
      </c>
      <c r="AB28" s="253" t="str">
        <f t="shared" si="6"/>
        <v/>
      </c>
      <c r="AC28" s="255"/>
      <c r="AD28" s="1">
        <f t="shared" si="11"/>
        <v>0</v>
      </c>
      <c r="AE28" s="12">
        <f t="shared" si="9"/>
        <v>0</v>
      </c>
      <c r="AF28" s="483">
        <f>IF(AE28="","",AE28*係数!$H$30)</f>
        <v>0</v>
      </c>
      <c r="AG28" s="254">
        <f t="shared" si="10"/>
        <v>0</v>
      </c>
      <c r="AH28" s="510">
        <f t="shared" si="7"/>
        <v>0</v>
      </c>
    </row>
    <row r="29" spans="2:34" x14ac:dyDescent="0.4">
      <c r="B29" s="194" t="s">
        <v>126</v>
      </c>
      <c r="C29" s="27"/>
      <c r="D29" s="27"/>
      <c r="E29" s="213"/>
      <c r="F29" s="671" t="str">
        <f t="shared" si="1"/>
        <v/>
      </c>
      <c r="G29" s="672"/>
      <c r="H29" s="544"/>
      <c r="I29" s="213"/>
      <c r="J29" s="283" t="str">
        <f>IF(I29="2極",AVERAGEIFS(モーター効率!$C$2:$C$122,モーター効率!$A$2:$A$122,E29,モーター効率!$B$2:$B$122,H29),IF(I29="4極",AVERAGEIFS(モーター効率!$D$2:$D$122,モーター効率!$A$2:$A$122,E29,モーター効率!$B$2:$B$122,H29),IF(I29="6極",AVERAGEIFS(モーター効率!$E$2:$E$122,モーター効率!$A$2:$A$122,E29,モーター効率!$B$2:$B$122,H29),IF(I29="8極",AVERAGEIFS(モーター効率!$F$2:$F$122,モーター効率!$A$2:$A$122,E29,モーター効率!$B$2:$B$122,H29),""))))</f>
        <v/>
      </c>
      <c r="K29" s="284" t="str">
        <f t="shared" si="2"/>
        <v/>
      </c>
      <c r="L29" s="173"/>
      <c r="M29" s="255"/>
      <c r="N29" s="548"/>
      <c r="O29" s="548"/>
      <c r="P29" s="546">
        <f t="shared" si="3"/>
        <v>0</v>
      </c>
      <c r="Q29" s="12">
        <f t="shared" si="8"/>
        <v>0</v>
      </c>
      <c r="R29" s="284">
        <f>IF(Q29="","",Q29*係数!$H$30)</f>
        <v>0</v>
      </c>
      <c r="S29" s="547"/>
      <c r="T29" s="27"/>
      <c r="U29" s="213"/>
      <c r="V29" s="671" t="str">
        <f t="shared" si="4"/>
        <v/>
      </c>
      <c r="W29" s="672"/>
      <c r="X29" s="45"/>
      <c r="Y29" s="213"/>
      <c r="Z29" s="283" t="str">
        <f>IF(Y29="2極",AVERAGEIFS(モーター効率!$C$2:$C$122,モーター効率!$A$2:$A$122,U29,モーター効率!$B$2:$B$122,X29),IF(Y29="4極",AVERAGEIFS(モーター効率!$D$2:$D$122,モーター効率!$A$2:$A$122,U29,モーター効率!$B$2:$B$122,X29),IF(Y29="6極",AVERAGEIFS(モーター効率!$E$2:$E$122,モーター効率!$A$2:$A$122,U29,モーター効率!$B$2:$B$122,X29),IF(Y29="8極",AVERAGEIFS(モーター効率!$F$2:$F$122,モーター効率!$A$2:$A$122,U29,モーター効率!$B$2:$B$122,X29),""))))</f>
        <v/>
      </c>
      <c r="AA29" s="284" t="str">
        <f t="shared" si="5"/>
        <v/>
      </c>
      <c r="AB29" s="253" t="str">
        <f t="shared" si="6"/>
        <v/>
      </c>
      <c r="AC29" s="255"/>
      <c r="AD29" s="1">
        <f t="shared" si="11"/>
        <v>0</v>
      </c>
      <c r="AE29" s="12">
        <f t="shared" si="9"/>
        <v>0</v>
      </c>
      <c r="AF29" s="483">
        <f>IF(AE29="","",AE29*係数!$H$30)</f>
        <v>0</v>
      </c>
      <c r="AG29" s="254">
        <f t="shared" si="10"/>
        <v>0</v>
      </c>
      <c r="AH29" s="510">
        <f t="shared" si="7"/>
        <v>0</v>
      </c>
    </row>
    <row r="31" spans="2:34" x14ac:dyDescent="0.4">
      <c r="AC31" s="549"/>
    </row>
  </sheetData>
  <sheetProtection algorithmName="SHA-512" hashValue="HSvYMYsvyx/tM1SGwLZnPKu1Rj8FkuVeup5HgoygmO8YWyHKx+jnGen6Y3twUNToLvP2VPFZzf5HaK/fn8MnjA==" saltValue="rVsTrYBBx5NXVkpytawGSA==" spinCount="100000" sheet="1" objects="1" scenarios="1" formatCells="0" formatColumns="0" formatRows="0"/>
  <mergeCells count="38">
    <mergeCell ref="V28:W28"/>
    <mergeCell ref="V29:W29"/>
    <mergeCell ref="V21:W21"/>
    <mergeCell ref="V22:W22"/>
    <mergeCell ref="V23:W23"/>
    <mergeCell ref="V24:W24"/>
    <mergeCell ref="V25:W25"/>
    <mergeCell ref="V18:W18"/>
    <mergeCell ref="V19:W19"/>
    <mergeCell ref="V20:W20"/>
    <mergeCell ref="V26:W26"/>
    <mergeCell ref="V27:W27"/>
    <mergeCell ref="F27:G27"/>
    <mergeCell ref="F28:G28"/>
    <mergeCell ref="F29:G29"/>
    <mergeCell ref="F24:G24"/>
    <mergeCell ref="F25:G25"/>
    <mergeCell ref="F26:G26"/>
    <mergeCell ref="F21:G21"/>
    <mergeCell ref="F22:G22"/>
    <mergeCell ref="F23:G23"/>
    <mergeCell ref="F18:G18"/>
    <mergeCell ref="F19:G19"/>
    <mergeCell ref="F20:G20"/>
    <mergeCell ref="B15:B16"/>
    <mergeCell ref="F16:G16"/>
    <mergeCell ref="F17:G17"/>
    <mergeCell ref="N3:W3"/>
    <mergeCell ref="N4:W4"/>
    <mergeCell ref="N6:W6"/>
    <mergeCell ref="O7:W7"/>
    <mergeCell ref="D3:E3"/>
    <mergeCell ref="D4:E4"/>
    <mergeCell ref="D5:E5"/>
    <mergeCell ref="D6:E6"/>
    <mergeCell ref="D7:E7"/>
    <mergeCell ref="V16:W16"/>
    <mergeCell ref="V17:W17"/>
  </mergeCells>
  <phoneticPr fontId="5"/>
  <conditionalFormatting sqref="G6:H7">
    <cfRule type="expression" dxfId="27" priority="3">
      <formula>$E$1="なし"</formula>
    </cfRule>
  </conditionalFormatting>
  <conditionalFormatting sqref="J4:J7">
    <cfRule type="expression" dxfId="26" priority="5">
      <formula>$E$1="なし"</formula>
    </cfRule>
  </conditionalFormatting>
  <conditionalFormatting sqref="O7:W7">
    <cfRule type="cellIs" dxfId="25" priority="1" operator="notEqual">
      <formula>"ー"</formula>
    </cfRule>
  </conditionalFormatting>
  <conditionalFormatting sqref="X19">
    <cfRule type="cellIs" dxfId="24" priority="2" operator="greaterThan">
      <formula>$H$19</formula>
    </cfRule>
  </conditionalFormatting>
  <conditionalFormatting sqref="AF20:AF29">
    <cfRule type="expression" dxfId="23" priority="9">
      <formula>#REF!="なし"</formula>
    </cfRule>
  </conditionalFormatting>
  <dataValidations count="4">
    <dataValidation type="list" allowBlank="1" showInputMessage="1" showErrorMessage="1" sqref="AC18 AC20:AC29 M18 M20:M29" xr:uid="{00000000-0002-0000-0700-000000000000}">
      <formula1>"○"</formula1>
    </dataValidation>
    <dataValidation type="list" errorStyle="warning" allowBlank="1" showInputMessage="1" showErrorMessage="1" errorTitle="プルダウンにない出力のモーターの場合" error="手入力の上、根拠となる資料を別途提出してください。" sqref="H20:H29" xr:uid="{00000000-0002-0000-0700-000001000000}">
      <formula1>INDIRECT("range"&amp;E20)</formula1>
    </dataValidation>
    <dataValidation type="list" allowBlank="1" showInputMessage="1" showErrorMessage="1" sqref="X18 H18 X20:X29" xr:uid="{00000000-0002-0000-0700-000002000000}">
      <formula1>INDIRECT("range"&amp;E18)</formula1>
    </dataValidation>
    <dataValidation type="list" allowBlank="1" showInputMessage="1" showErrorMessage="1" sqref="U18 E20:E29 E18 U20:U29" xr:uid="{00000000-0002-0000-0700-000003000000}">
      <formula1>"IE1,IE2,IE3,IE4"</formula1>
    </dataValidation>
  </dataValidations>
  <pageMargins left="0.7" right="0.7" top="0.75" bottom="0.75" header="0.3" footer="0.3"/>
  <pageSetup paperSize="8" scale="58" orientation="landscape" r:id="rId1"/>
  <ignoredErrors>
    <ignoredError sqref="H19:AH19 I6:J6" formula="1"/>
    <ignoredError sqref="P20:P29" unlockedFormula="1"/>
  </ignoredErrors>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700-000004000000}">
          <x14:formula1>
            <xm:f>IF($U$18="IE4",'C:\Users\takakusa\エヌエス環境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Y18</xm:sqref>
        </x14:dataValidation>
        <x14:dataValidation type="list" allowBlank="1" showInputMessage="1" showErrorMessage="1" xr:uid="{00000000-0002-0000-0700-000005000000}">
          <x14:formula1>
            <xm:f>IF($U$20="IE4",モーター効率!$C$1:$F$1,モーター効率!$C$1:$E$1)</xm:f>
          </x14:formula1>
          <xm:sqref>Y20</xm:sqref>
        </x14:dataValidation>
        <x14:dataValidation type="list" allowBlank="1" showInputMessage="1" showErrorMessage="1" xr:uid="{00000000-0002-0000-0700-000006000000}">
          <x14:formula1>
            <xm:f>IF($U$29="IE4",モーター効率!$C$1:$F$1,モーター効率!$C$1:$E$1)</xm:f>
          </x14:formula1>
          <xm:sqref>Y29</xm:sqref>
        </x14:dataValidation>
        <x14:dataValidation type="list" allowBlank="1" showInputMessage="1" showErrorMessage="1" xr:uid="{00000000-0002-0000-0700-000007000000}">
          <x14:formula1>
            <xm:f>IF($U$28="IE4",モーター効率!$C$1:$F$1,モーター効率!$C$1:$E$1)</xm:f>
          </x14:formula1>
          <xm:sqref>Y28</xm:sqref>
        </x14:dataValidation>
        <x14:dataValidation type="list" allowBlank="1" showInputMessage="1" showErrorMessage="1" xr:uid="{00000000-0002-0000-0700-000008000000}">
          <x14:formula1>
            <xm:f>IF($U$27="IE4",モーター効率!$C$1:$F$1,モーター効率!$C$1:$E$1)</xm:f>
          </x14:formula1>
          <xm:sqref>Y27</xm:sqref>
        </x14:dataValidation>
        <x14:dataValidation type="list" allowBlank="1" showInputMessage="1" showErrorMessage="1" xr:uid="{00000000-0002-0000-0700-000009000000}">
          <x14:formula1>
            <xm:f>IF($U$26="IE4",モーター効率!$C$1:$F$1,モーター効率!$C$1:$E$1)</xm:f>
          </x14:formula1>
          <xm:sqref>Y26</xm:sqref>
        </x14:dataValidation>
        <x14:dataValidation type="list" allowBlank="1" showInputMessage="1" showErrorMessage="1" xr:uid="{00000000-0002-0000-0700-00000A000000}">
          <x14:formula1>
            <xm:f>IF($U$25="IE4",モーター効率!$C$1:$F$1,モーター効率!$C$1:$E$1)</xm:f>
          </x14:formula1>
          <xm:sqref>Y25</xm:sqref>
        </x14:dataValidation>
        <x14:dataValidation type="list" allowBlank="1" showInputMessage="1" showErrorMessage="1" xr:uid="{00000000-0002-0000-0700-00000B000000}">
          <x14:formula1>
            <xm:f>IF($U$24="IE4",モーター効率!$C$1:$F$1,モーター効率!$C$1:$E$1)</xm:f>
          </x14:formula1>
          <xm:sqref>Y24</xm:sqref>
        </x14:dataValidation>
        <x14:dataValidation type="list" allowBlank="1" showInputMessage="1" showErrorMessage="1" xr:uid="{00000000-0002-0000-0700-00000C000000}">
          <x14:formula1>
            <xm:f>IF($U$23="IE4",モーター効率!$C$1:$F$1,モーター効率!$C$1:$E$1)</xm:f>
          </x14:formula1>
          <xm:sqref>Y23</xm:sqref>
        </x14:dataValidation>
        <x14:dataValidation type="list" allowBlank="1" showInputMessage="1" showErrorMessage="1" xr:uid="{00000000-0002-0000-0700-00000D000000}">
          <x14:formula1>
            <xm:f>IF($U$22="IE4",モーター効率!$C$1:$F$1,モーター効率!$C$1:$E$1)</xm:f>
          </x14:formula1>
          <xm:sqref>Y22</xm:sqref>
        </x14:dataValidation>
        <x14:dataValidation type="list" allowBlank="1" showInputMessage="1" showErrorMessage="1" xr:uid="{00000000-0002-0000-0700-00000E000000}">
          <x14:formula1>
            <xm:f>IF($U$21="IE4",モーター効率!$C$1:$F$1,モーター効率!$C$1:$E$1)</xm:f>
          </x14:formula1>
          <xm:sqref>Y21</xm:sqref>
        </x14:dataValidation>
        <x14:dataValidation type="list" allowBlank="1" showInputMessage="1" showErrorMessage="1" xr:uid="{00000000-0002-0000-0700-00000F000000}">
          <x14:formula1>
            <xm:f>IF($E$29="IE4",モーター効率!$C$1:$F$1,モーター効率!$C$1:$E$1)</xm:f>
          </x14:formula1>
          <xm:sqref>I29</xm:sqref>
        </x14:dataValidation>
        <x14:dataValidation type="list" allowBlank="1" showInputMessage="1" showErrorMessage="1" xr:uid="{00000000-0002-0000-0700-000010000000}">
          <x14:formula1>
            <xm:f>IF($E$28="IE4",モーター効率!$C$1:$F$1,モーター効率!$C$1:$E$1)</xm:f>
          </x14:formula1>
          <xm:sqref>I28</xm:sqref>
        </x14:dataValidation>
        <x14:dataValidation type="list" allowBlank="1" showInputMessage="1" showErrorMessage="1" xr:uid="{00000000-0002-0000-0700-000011000000}">
          <x14:formula1>
            <xm:f>IF($E$27="IE4",モーター効率!$C$1:$F$1,モーター効率!$C$1:$E$1)</xm:f>
          </x14:formula1>
          <xm:sqref>I27</xm:sqref>
        </x14:dataValidation>
        <x14:dataValidation type="list" allowBlank="1" showInputMessage="1" showErrorMessage="1" xr:uid="{00000000-0002-0000-0700-000012000000}">
          <x14:formula1>
            <xm:f>IF($E$26="IE4",モーター効率!$C$1:$F$1,モーター効率!$C$1:$E$1)</xm:f>
          </x14:formula1>
          <xm:sqref>I26</xm:sqref>
        </x14:dataValidation>
        <x14:dataValidation type="list" allowBlank="1" showInputMessage="1" showErrorMessage="1" xr:uid="{00000000-0002-0000-0700-000013000000}">
          <x14:formula1>
            <xm:f>IF($E$25="IE4",モーター効率!$C$1:$F$1,モーター効率!$C$1:$E$1)</xm:f>
          </x14:formula1>
          <xm:sqref>I25</xm:sqref>
        </x14:dataValidation>
        <x14:dataValidation type="list" allowBlank="1" showInputMessage="1" showErrorMessage="1" xr:uid="{00000000-0002-0000-0700-000014000000}">
          <x14:formula1>
            <xm:f>IF($E$24="IE4",モーター効率!$C$1:$F$1,モーター効率!$C$1:$E$1)</xm:f>
          </x14:formula1>
          <xm:sqref>I24</xm:sqref>
        </x14:dataValidation>
        <x14:dataValidation type="list" allowBlank="1" showInputMessage="1" showErrorMessage="1" xr:uid="{00000000-0002-0000-0700-000015000000}">
          <x14:formula1>
            <xm:f>IF($E$23="IE4",モーター効率!$C$1:$F$1,モーター効率!$C$1:$E$1)</xm:f>
          </x14:formula1>
          <xm:sqref>I23</xm:sqref>
        </x14:dataValidation>
        <x14:dataValidation type="list" allowBlank="1" showInputMessage="1" showErrorMessage="1" xr:uid="{00000000-0002-0000-0700-000016000000}">
          <x14:formula1>
            <xm:f>IF($E$22="IE4",モーター効率!$C$1:$F$1,モーター効率!$C$1:$E$1)</xm:f>
          </x14:formula1>
          <xm:sqref>I22</xm:sqref>
        </x14:dataValidation>
        <x14:dataValidation type="list" allowBlank="1" showInputMessage="1" showErrorMessage="1" xr:uid="{00000000-0002-0000-0700-000017000000}">
          <x14:formula1>
            <xm:f>IF($E$21="IE4",モーター効率!$C$1:$F$1,モーター効率!$C$1:$E$1)</xm:f>
          </x14:formula1>
          <xm:sqref>I21</xm:sqref>
        </x14:dataValidation>
        <x14:dataValidation type="list" allowBlank="1" showInputMessage="1" showErrorMessage="1" xr:uid="{00000000-0002-0000-0700-000018000000}">
          <x14:formula1>
            <xm:f>IF($E$20="IE4",'C:\Users\takakusa\エヌエス環境 Dropbox\01000_03_本社_技術部\技術部\3.受注業務対応\環境計画24-08 千葉県_R6業務用設備等脱炭素化補助金\04.作業用\00.準備\簡易自己診断ツール\[簡易自己診断ツール_240507.xlsx]モーター効率'!#REF!,'C:\Users\takakusa\エヌエス環境 Dropbox\01000_03_本社_技術部\技術部\3.受注業務対応\環境計画24-08 千葉県_R6業務用設備等脱炭素化補助金\04.作業用\00.準備\簡易自己診断ツール\[簡易自己診断ツール_240507.xlsx]モーター効率'!#REF!)</xm:f>
          </x14:formula1>
          <xm:sqref>I18</xm:sqref>
        </x14:dataValidation>
        <x14:dataValidation type="list" allowBlank="1" showInputMessage="1" showErrorMessage="1" xr:uid="{B82BDFCA-95CB-4D87-BD25-3AEFDC4441B2}">
          <x14:formula1>
            <xm:f>IF($E$20="IE4",モーター効率!$C$1:$F$1,モーター効率!$C$1:$E$1)</xm:f>
          </x14:formula1>
          <xm:sqref>I20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67"/>
  <sheetViews>
    <sheetView view="pageBreakPreview" zoomScale="70" zoomScaleNormal="70" zoomScaleSheetLayoutView="70" workbookViewId="0">
      <pane ySplit="1" topLeftCell="A2" activePane="bottomLeft" state="frozen"/>
      <selection activeCell="F16" sqref="F16"/>
      <selection pane="bottomLeft" activeCell="N19" sqref="N19"/>
    </sheetView>
  </sheetViews>
  <sheetFormatPr defaultRowHeight="18.75" x14ac:dyDescent="0.4"/>
  <cols>
    <col min="1" max="1" width="10.5" customWidth="1"/>
    <col min="2" max="2" width="6.625" customWidth="1"/>
    <col min="3" max="3" width="10.125" customWidth="1"/>
    <col min="4" max="5" width="12.125" customWidth="1"/>
    <col min="6" max="11" width="10.125" customWidth="1"/>
    <col min="12" max="12" width="15.5" customWidth="1"/>
    <col min="13" max="15" width="10.125" customWidth="1"/>
    <col min="16" max="16" width="15.5" customWidth="1"/>
    <col min="17" max="22" width="10.125" customWidth="1"/>
    <col min="23" max="23" width="4.375" customWidth="1"/>
    <col min="24" max="24" width="7.375" customWidth="1"/>
  </cols>
  <sheetData>
    <row r="1" spans="1:23" ht="30" x14ac:dyDescent="0.6">
      <c r="A1" s="95" t="s">
        <v>469</v>
      </c>
      <c r="G1" s="184"/>
      <c r="I1" s="185"/>
      <c r="L1" s="186"/>
    </row>
    <row r="2" spans="1:23" x14ac:dyDescent="0.4">
      <c r="A2" t="s">
        <v>470</v>
      </c>
    </row>
    <row r="3" spans="1:23" ht="22.7" customHeight="1" x14ac:dyDescent="0.4">
      <c r="D3" s="630" t="s">
        <v>139</v>
      </c>
      <c r="E3" s="631"/>
      <c r="F3" s="187" t="s">
        <v>138</v>
      </c>
      <c r="G3" s="187" t="s">
        <v>76</v>
      </c>
      <c r="H3" s="187" t="s">
        <v>86</v>
      </c>
      <c r="I3" s="187" t="s">
        <v>183</v>
      </c>
      <c r="J3" s="188" t="s">
        <v>187</v>
      </c>
      <c r="L3" s="550"/>
      <c r="M3" s="630" t="s">
        <v>500</v>
      </c>
      <c r="N3" s="676"/>
      <c r="O3" s="676"/>
      <c r="P3" s="676"/>
      <c r="Q3" s="676"/>
      <c r="R3" s="676"/>
      <c r="S3" s="676"/>
      <c r="T3" s="676"/>
      <c r="U3" s="631"/>
    </row>
    <row r="4" spans="1:23" ht="22.7" customHeight="1" x14ac:dyDescent="0.4">
      <c r="D4" s="603" t="s">
        <v>83</v>
      </c>
      <c r="E4" s="604"/>
      <c r="F4" s="187" t="s">
        <v>84</v>
      </c>
      <c r="G4" s="551">
        <f>J17</f>
        <v>0</v>
      </c>
      <c r="H4" s="551">
        <f>S17</f>
        <v>0</v>
      </c>
      <c r="I4" s="552">
        <f>G4-H4</f>
        <v>0</v>
      </c>
      <c r="J4" s="176">
        <f>IFERROR(I4/G4,0)</f>
        <v>0</v>
      </c>
      <c r="M4" s="642"/>
      <c r="N4" s="643"/>
      <c r="O4" s="643"/>
      <c r="P4" s="643"/>
      <c r="Q4" s="643"/>
      <c r="R4" s="643"/>
      <c r="S4" s="643"/>
      <c r="T4" s="643"/>
      <c r="U4" s="644"/>
    </row>
    <row r="5" spans="1:23" ht="22.7" customHeight="1" x14ac:dyDescent="0.4">
      <c r="D5" s="603" t="s">
        <v>58</v>
      </c>
      <c r="E5" s="604"/>
      <c r="F5" s="189" t="s">
        <v>62</v>
      </c>
      <c r="G5" s="553">
        <f>K17</f>
        <v>0</v>
      </c>
      <c r="H5" s="553">
        <f>T17</f>
        <v>0</v>
      </c>
      <c r="I5" s="554">
        <f>G5-H5</f>
        <v>0</v>
      </c>
      <c r="J5" s="176">
        <f t="shared" ref="J5:J7" si="0">IFERROR(I5/G5,0)</f>
        <v>0</v>
      </c>
      <c r="M5" s="555"/>
      <c r="N5" s="555"/>
      <c r="O5" s="555"/>
      <c r="P5" s="555"/>
      <c r="Q5" s="555"/>
      <c r="R5" s="555"/>
      <c r="S5" s="555"/>
      <c r="T5" s="555"/>
      <c r="U5" s="555"/>
    </row>
    <row r="6" spans="1:23" ht="22.7" customHeight="1" x14ac:dyDescent="0.4">
      <c r="D6" s="630" t="s">
        <v>186</v>
      </c>
      <c r="E6" s="631"/>
      <c r="F6" s="187" t="s">
        <v>89</v>
      </c>
      <c r="G6" s="456" t="str">
        <f>IF(使用量と光熱費!$H$7=0,"ー",G4*使用量と光熱費!$H$6)</f>
        <v>ー</v>
      </c>
      <c r="H6" s="456" t="str">
        <f>IF(使用量と光熱費!$H$7=0,"ー",H4*使用量と光熱費!$H$6)</f>
        <v>ー</v>
      </c>
      <c r="I6" s="456" t="str">
        <f>IF(OR(G6="ー",H6="ー"),"ー",G6-H6)</f>
        <v>ー</v>
      </c>
      <c r="J6" s="457" t="str">
        <f>IF(OR(G6="ー",I6="ー"),"ー",I6/G6)</f>
        <v>ー</v>
      </c>
      <c r="M6" s="624" t="s">
        <v>554</v>
      </c>
      <c r="N6" s="625"/>
      <c r="O6" s="625"/>
      <c r="P6" s="625"/>
      <c r="Q6" s="625"/>
      <c r="R6" s="625"/>
      <c r="S6" s="625"/>
      <c r="T6" s="625"/>
      <c r="U6" s="626"/>
    </row>
    <row r="7" spans="1:23" ht="28.5" customHeight="1" x14ac:dyDescent="0.4">
      <c r="D7" s="603" t="s">
        <v>458</v>
      </c>
      <c r="E7" s="604"/>
      <c r="F7" s="187" t="s">
        <v>459</v>
      </c>
      <c r="G7" s="556">
        <f>G4*係数!$C$30*0.0000258</f>
        <v>0</v>
      </c>
      <c r="H7" s="556">
        <f>H4*係数!$C$30*0.0000258</f>
        <v>0</v>
      </c>
      <c r="I7" s="497">
        <f>G7-H7</f>
        <v>0</v>
      </c>
      <c r="J7" s="176">
        <f t="shared" si="0"/>
        <v>0</v>
      </c>
      <c r="M7" s="40" t="str">
        <f>IF(OR(D17=0,M17=0),"",IF(D17=M17,"なし",IF(D17&gt;M17,"減少","増加")))</f>
        <v/>
      </c>
      <c r="N7" s="677" t="str">
        <f>IF(OR(M7="",M7="なし"),"ー",IF(M7="減少","減少する理由を特記事項欄に記載してください。","やむを得ず増加する場合は特記事項欄に理由を記載してください。(要根拠資料提出)"))</f>
        <v>ー</v>
      </c>
      <c r="O7" s="678"/>
      <c r="P7" s="678"/>
      <c r="Q7" s="678"/>
      <c r="R7" s="678"/>
      <c r="S7" s="678"/>
      <c r="T7" s="678"/>
      <c r="U7" s="679"/>
    </row>
    <row r="8" spans="1:23" ht="18.600000000000001" customHeight="1" x14ac:dyDescent="0.4">
      <c r="M8" s="455"/>
      <c r="N8" s="455"/>
      <c r="O8" s="455"/>
      <c r="Q8" s="455"/>
      <c r="R8" s="455"/>
      <c r="S8" s="455"/>
    </row>
    <row r="9" spans="1:23" ht="18.600000000000001" customHeight="1" x14ac:dyDescent="0.4">
      <c r="M9" s="455"/>
      <c r="N9" s="455"/>
      <c r="O9" s="455"/>
      <c r="Q9" s="455"/>
      <c r="R9" s="455"/>
      <c r="S9" s="455"/>
    </row>
    <row r="10" spans="1:23" ht="17.45" customHeight="1" x14ac:dyDescent="0.4">
      <c r="L10" s="455"/>
      <c r="M10" s="455"/>
    </row>
    <row r="11" spans="1:23" x14ac:dyDescent="0.4">
      <c r="B11" s="191"/>
      <c r="L11" s="455"/>
      <c r="M11" s="455"/>
    </row>
    <row r="12" spans="1:23" x14ac:dyDescent="0.4">
      <c r="A12" t="s">
        <v>137</v>
      </c>
      <c r="L12" s="191"/>
    </row>
    <row r="13" spans="1:23" x14ac:dyDescent="0.4">
      <c r="B13" s="596" t="s">
        <v>139</v>
      </c>
      <c r="C13" s="225" t="s">
        <v>76</v>
      </c>
      <c r="D13" s="222"/>
      <c r="E13" s="222"/>
      <c r="F13" s="222"/>
      <c r="G13" s="222"/>
      <c r="H13" s="222"/>
      <c r="I13" s="222"/>
      <c r="J13" s="222"/>
      <c r="K13" s="221"/>
      <c r="L13" s="225" t="s">
        <v>86</v>
      </c>
      <c r="M13" s="222"/>
      <c r="N13" s="222"/>
      <c r="O13" s="222"/>
      <c r="P13" s="222"/>
      <c r="Q13" s="222"/>
      <c r="R13" s="222"/>
      <c r="S13" s="222"/>
      <c r="T13" s="221"/>
      <c r="U13" s="193" t="s">
        <v>93</v>
      </c>
      <c r="V13" s="193"/>
      <c r="W13" s="675"/>
    </row>
    <row r="14" spans="1:23" ht="33" x14ac:dyDescent="0.4">
      <c r="B14" s="597"/>
      <c r="C14" s="437" t="s">
        <v>165</v>
      </c>
      <c r="D14" s="437" t="s">
        <v>475</v>
      </c>
      <c r="E14" s="437" t="s">
        <v>477</v>
      </c>
      <c r="F14" s="437" t="s">
        <v>471</v>
      </c>
      <c r="G14" s="437" t="s">
        <v>472</v>
      </c>
      <c r="H14" s="437" t="s">
        <v>474</v>
      </c>
      <c r="I14" s="437" t="s">
        <v>914</v>
      </c>
      <c r="J14" s="437" t="s">
        <v>441</v>
      </c>
      <c r="K14" s="437" t="s">
        <v>442</v>
      </c>
      <c r="L14" s="437" t="s">
        <v>165</v>
      </c>
      <c r="M14" s="437" t="s">
        <v>475</v>
      </c>
      <c r="N14" s="437" t="s">
        <v>477</v>
      </c>
      <c r="O14" s="437" t="s">
        <v>471</v>
      </c>
      <c r="P14" s="437" t="s">
        <v>472</v>
      </c>
      <c r="Q14" s="437" t="s">
        <v>474</v>
      </c>
      <c r="R14" s="437" t="s">
        <v>914</v>
      </c>
      <c r="S14" s="437" t="s">
        <v>441</v>
      </c>
      <c r="T14" s="437" t="s">
        <v>443</v>
      </c>
      <c r="U14" s="438" t="s">
        <v>451</v>
      </c>
      <c r="V14" s="438" t="s">
        <v>452</v>
      </c>
      <c r="W14" s="675"/>
    </row>
    <row r="15" spans="1:23" ht="21.6" customHeight="1" x14ac:dyDescent="0.4">
      <c r="B15" s="194" t="s">
        <v>138</v>
      </c>
      <c r="C15" s="194"/>
      <c r="D15" s="194" t="s">
        <v>476</v>
      </c>
      <c r="E15" s="194"/>
      <c r="F15" s="190" t="s">
        <v>473</v>
      </c>
      <c r="G15" s="190" t="s">
        <v>473</v>
      </c>
      <c r="H15" s="190" t="s">
        <v>192</v>
      </c>
      <c r="I15" s="190" t="s">
        <v>82</v>
      </c>
      <c r="J15" s="190" t="s">
        <v>84</v>
      </c>
      <c r="K15" s="196" t="s">
        <v>62</v>
      </c>
      <c r="L15" s="196"/>
      <c r="M15" s="194" t="s">
        <v>476</v>
      </c>
      <c r="N15" s="194"/>
      <c r="O15" s="190" t="s">
        <v>473</v>
      </c>
      <c r="P15" s="190" t="s">
        <v>473</v>
      </c>
      <c r="Q15" s="190" t="s">
        <v>192</v>
      </c>
      <c r="R15" s="190" t="s">
        <v>82</v>
      </c>
      <c r="S15" s="190" t="s">
        <v>84</v>
      </c>
      <c r="T15" s="196" t="s">
        <v>62</v>
      </c>
      <c r="U15" s="190" t="s">
        <v>84</v>
      </c>
      <c r="V15" s="196" t="s">
        <v>62</v>
      </c>
      <c r="W15" s="675"/>
    </row>
    <row r="16" spans="1:23" s="30" customFormat="1" ht="37.5" x14ac:dyDescent="0.4">
      <c r="B16" s="261" t="s">
        <v>506</v>
      </c>
      <c r="C16" s="262" t="s">
        <v>555</v>
      </c>
      <c r="D16" s="262">
        <v>500</v>
      </c>
      <c r="E16" s="262" t="s">
        <v>556</v>
      </c>
      <c r="F16" s="262">
        <v>379</v>
      </c>
      <c r="G16" s="262">
        <v>1901</v>
      </c>
      <c r="H16" s="439">
        <f>IF(D16&lt;=500,0.4,0.5)</f>
        <v>0.4</v>
      </c>
      <c r="I16" s="262">
        <f>24*365</f>
        <v>8760</v>
      </c>
      <c r="J16" s="440">
        <f>(F16+G16*H16^2)*I16/1000</f>
        <v>5984.481600000001</v>
      </c>
      <c r="K16" s="348">
        <f>J16*係数!$H$30</f>
        <v>2.7289236096000007</v>
      </c>
      <c r="L16" s="262" t="s">
        <v>557</v>
      </c>
      <c r="M16" s="262">
        <v>100</v>
      </c>
      <c r="N16" s="262" t="s">
        <v>556</v>
      </c>
      <c r="O16" s="262">
        <v>150</v>
      </c>
      <c r="P16" s="262">
        <v>1380</v>
      </c>
      <c r="Q16" s="439">
        <f>IF(M16="","",IF(M16&lt;=500,0.4,0.5))</f>
        <v>0.4</v>
      </c>
      <c r="R16" s="441">
        <f>IF(I16="","",I16)</f>
        <v>8760</v>
      </c>
      <c r="S16" s="440">
        <f>IFERROR((O16+P16*Q16^2)*R16/1000,0)</f>
        <v>3248.2080000000005</v>
      </c>
      <c r="T16" s="348">
        <f>S16*係数!$H$30</f>
        <v>1.4811828480000002</v>
      </c>
      <c r="U16" s="442">
        <f>J16-S16</f>
        <v>2736.2736000000004</v>
      </c>
      <c r="V16" s="348">
        <f>K16-T16</f>
        <v>1.2477407616000005</v>
      </c>
      <c r="W16" s="557"/>
    </row>
    <row r="17" spans="2:23" x14ac:dyDescent="0.4">
      <c r="B17" s="190" t="s">
        <v>60</v>
      </c>
      <c r="C17" s="204"/>
      <c r="D17" s="340">
        <f>SUM(D18:D67)</f>
        <v>0</v>
      </c>
      <c r="E17" s="203"/>
      <c r="F17" s="1">
        <f>SUM(F18:F67)</f>
        <v>0</v>
      </c>
      <c r="G17" s="340">
        <f>SUM(G18:G67)</f>
        <v>0</v>
      </c>
      <c r="H17" s="205"/>
      <c r="I17" s="205"/>
      <c r="J17" s="179">
        <f>SUM(J18:J67)</f>
        <v>0</v>
      </c>
      <c r="K17" s="208">
        <f>SUM(K18:K67)</f>
        <v>0</v>
      </c>
      <c r="L17" s="203"/>
      <c r="M17" s="340">
        <f>SUM(M18:M67)</f>
        <v>0</v>
      </c>
      <c r="N17" s="203"/>
      <c r="O17" s="1">
        <f>SUM(O18:O67)</f>
        <v>0</v>
      </c>
      <c r="P17" s="340">
        <f>SUM(P18:P67)</f>
        <v>0</v>
      </c>
      <c r="Q17" s="205"/>
      <c r="R17" s="205"/>
      <c r="S17" s="179">
        <f>SUM(S18:S67)</f>
        <v>0</v>
      </c>
      <c r="T17" s="208">
        <f>SUM(T18:T67)</f>
        <v>0</v>
      </c>
      <c r="U17" s="507">
        <f>SUM(U18:U67)</f>
        <v>0</v>
      </c>
      <c r="V17" s="211">
        <f>SUM(V18:V67)</f>
        <v>0</v>
      </c>
      <c r="W17" s="558"/>
    </row>
    <row r="18" spans="2:23" x14ac:dyDescent="0.4">
      <c r="B18" s="194" t="s">
        <v>117</v>
      </c>
      <c r="C18" s="35"/>
      <c r="D18" s="35"/>
      <c r="E18" s="35"/>
      <c r="F18" s="27"/>
      <c r="G18" s="27"/>
      <c r="H18" s="231">
        <f>IF(D18&lt;=500,0.4,0.5)</f>
        <v>0.4</v>
      </c>
      <c r="I18" s="27"/>
      <c r="J18" s="287">
        <f>(F18+G18*H18^2)*I18/1000</f>
        <v>0</v>
      </c>
      <c r="K18" s="237">
        <f>J18*係数!$H$30</f>
        <v>0</v>
      </c>
      <c r="L18" s="35"/>
      <c r="M18" s="35"/>
      <c r="N18" s="35"/>
      <c r="O18" s="27"/>
      <c r="P18" s="27"/>
      <c r="Q18" s="231" t="str">
        <f>IF(M18="","",IF(M18&lt;=500,0.4,0.5))</f>
        <v/>
      </c>
      <c r="R18" s="1" t="str">
        <f>IF(I18="","",I18)</f>
        <v/>
      </c>
      <c r="S18" s="287">
        <f>IFERROR((O18+P18*Q18^2)*R18/1000,0)</f>
        <v>0</v>
      </c>
      <c r="T18" s="237">
        <f>S18*係数!$H$30</f>
        <v>0</v>
      </c>
      <c r="U18" s="509">
        <f>J18-S18</f>
        <v>0</v>
      </c>
      <c r="V18" s="483">
        <f>K18-T18</f>
        <v>0</v>
      </c>
      <c r="W18" s="559"/>
    </row>
    <row r="19" spans="2:23" x14ac:dyDescent="0.4">
      <c r="B19" s="194" t="s">
        <v>118</v>
      </c>
      <c r="C19" s="35"/>
      <c r="D19" s="35"/>
      <c r="E19" s="35"/>
      <c r="F19" s="27"/>
      <c r="G19" s="27"/>
      <c r="H19" s="231">
        <f>IF(D19&lt;=500,0.4,0.5)</f>
        <v>0.4</v>
      </c>
      <c r="I19" s="27"/>
      <c r="J19" s="287">
        <f>(F19+G19*H19^2)*I19/1000</f>
        <v>0</v>
      </c>
      <c r="K19" s="237">
        <f>J19*係数!$H$30</f>
        <v>0</v>
      </c>
      <c r="L19" s="35"/>
      <c r="M19" s="35"/>
      <c r="N19" s="35"/>
      <c r="O19" s="27"/>
      <c r="P19" s="27"/>
      <c r="Q19" s="231" t="str">
        <f t="shared" ref="Q19:Q67" si="1">IF(M19="","",IF(M19&lt;=500,0.4,0.5))</f>
        <v/>
      </c>
      <c r="R19" s="1" t="str">
        <f t="shared" ref="R19:R67" si="2">IF(I19="","",I19)</f>
        <v/>
      </c>
      <c r="S19" s="287">
        <f t="shared" ref="S19:S67" si="3">IFERROR((O19+P19*Q19^2)*R19/1000,0)</f>
        <v>0</v>
      </c>
      <c r="T19" s="237">
        <f>S19*係数!$H$30</f>
        <v>0</v>
      </c>
      <c r="U19" s="509">
        <f t="shared" ref="U19:V49" si="4">J19-S19</f>
        <v>0</v>
      </c>
      <c r="V19" s="483">
        <f t="shared" si="4"/>
        <v>0</v>
      </c>
      <c r="W19" s="559"/>
    </row>
    <row r="20" spans="2:23" x14ac:dyDescent="0.4">
      <c r="B20" s="194" t="s">
        <v>119</v>
      </c>
      <c r="C20" s="35"/>
      <c r="D20" s="35"/>
      <c r="E20" s="35"/>
      <c r="F20" s="27"/>
      <c r="G20" s="27"/>
      <c r="H20" s="231">
        <f>IF(D20&lt;=500,0.4,0.5)</f>
        <v>0.4</v>
      </c>
      <c r="I20" s="27"/>
      <c r="J20" s="1">
        <f t="shared" ref="J20:J67" si="5">(F20+G20*H20^2)*I20/1000</f>
        <v>0</v>
      </c>
      <c r="K20" s="1">
        <f>J20*係数!$H$30</f>
        <v>0</v>
      </c>
      <c r="L20" s="35"/>
      <c r="M20" s="35"/>
      <c r="N20" s="35"/>
      <c r="O20" s="27"/>
      <c r="P20" s="27"/>
      <c r="Q20" s="231" t="str">
        <f t="shared" si="1"/>
        <v/>
      </c>
      <c r="R20" s="1" t="str">
        <f t="shared" si="2"/>
        <v/>
      </c>
      <c r="S20" s="1">
        <f t="shared" si="3"/>
        <v>0</v>
      </c>
      <c r="T20" s="1">
        <f>S20*係数!$H$30</f>
        <v>0</v>
      </c>
      <c r="U20" s="509">
        <f t="shared" si="4"/>
        <v>0</v>
      </c>
      <c r="V20" s="483">
        <f t="shared" si="4"/>
        <v>0</v>
      </c>
      <c r="W20" s="559"/>
    </row>
    <row r="21" spans="2:23" x14ac:dyDescent="0.4">
      <c r="B21" s="194" t="s">
        <v>120</v>
      </c>
      <c r="C21" s="35"/>
      <c r="D21" s="35"/>
      <c r="E21" s="35"/>
      <c r="F21" s="27"/>
      <c r="G21" s="27"/>
      <c r="H21" s="231">
        <f t="shared" ref="H21:H67" si="6">IF(D21&lt;=500,0.4,0.5)</f>
        <v>0.4</v>
      </c>
      <c r="I21" s="27"/>
      <c r="J21" s="1">
        <f t="shared" si="5"/>
        <v>0</v>
      </c>
      <c r="K21" s="1">
        <f>J21*係数!$H$30</f>
        <v>0</v>
      </c>
      <c r="L21" s="35"/>
      <c r="M21" s="35"/>
      <c r="N21" s="35"/>
      <c r="O21" s="27"/>
      <c r="P21" s="27"/>
      <c r="Q21" s="231" t="str">
        <f t="shared" si="1"/>
        <v/>
      </c>
      <c r="R21" s="1" t="str">
        <f t="shared" si="2"/>
        <v/>
      </c>
      <c r="S21" s="1">
        <f t="shared" si="3"/>
        <v>0</v>
      </c>
      <c r="T21" s="1">
        <f>S21*係数!$H$30</f>
        <v>0</v>
      </c>
      <c r="U21" s="509">
        <f t="shared" si="4"/>
        <v>0</v>
      </c>
      <c r="V21" s="483">
        <f t="shared" si="4"/>
        <v>0</v>
      </c>
      <c r="W21" s="559"/>
    </row>
    <row r="22" spans="2:23" x14ac:dyDescent="0.4">
      <c r="B22" s="194" t="s">
        <v>121</v>
      </c>
      <c r="C22" s="35"/>
      <c r="D22" s="35"/>
      <c r="E22" s="35"/>
      <c r="F22" s="27"/>
      <c r="G22" s="27"/>
      <c r="H22" s="231">
        <f t="shared" si="6"/>
        <v>0.4</v>
      </c>
      <c r="I22" s="27"/>
      <c r="J22" s="1">
        <f t="shared" si="5"/>
        <v>0</v>
      </c>
      <c r="K22" s="1">
        <f>J22*係数!$H$30</f>
        <v>0</v>
      </c>
      <c r="L22" s="35"/>
      <c r="M22" s="35"/>
      <c r="N22" s="35"/>
      <c r="O22" s="27"/>
      <c r="P22" s="27"/>
      <c r="Q22" s="231" t="str">
        <f t="shared" si="1"/>
        <v/>
      </c>
      <c r="R22" s="1" t="str">
        <f t="shared" si="2"/>
        <v/>
      </c>
      <c r="S22" s="1">
        <f t="shared" si="3"/>
        <v>0</v>
      </c>
      <c r="T22" s="1">
        <f>S22*係数!$H$30</f>
        <v>0</v>
      </c>
      <c r="U22" s="509">
        <f t="shared" si="4"/>
        <v>0</v>
      </c>
      <c r="V22" s="483">
        <f t="shared" si="4"/>
        <v>0</v>
      </c>
      <c r="W22" s="559"/>
    </row>
    <row r="23" spans="2:23" x14ac:dyDescent="0.4">
      <c r="B23" s="194" t="s">
        <v>122</v>
      </c>
      <c r="C23" s="35"/>
      <c r="D23" s="35"/>
      <c r="E23" s="35"/>
      <c r="F23" s="27"/>
      <c r="G23" s="27"/>
      <c r="H23" s="231">
        <f t="shared" si="6"/>
        <v>0.4</v>
      </c>
      <c r="I23" s="27"/>
      <c r="J23" s="1">
        <f t="shared" si="5"/>
        <v>0</v>
      </c>
      <c r="K23" s="1">
        <f>J23*係数!$H$30</f>
        <v>0</v>
      </c>
      <c r="L23" s="35"/>
      <c r="M23" s="35"/>
      <c r="N23" s="35"/>
      <c r="O23" s="27"/>
      <c r="P23" s="27"/>
      <c r="Q23" s="231" t="str">
        <f t="shared" si="1"/>
        <v/>
      </c>
      <c r="R23" s="1" t="str">
        <f t="shared" si="2"/>
        <v/>
      </c>
      <c r="S23" s="1">
        <f t="shared" si="3"/>
        <v>0</v>
      </c>
      <c r="T23" s="1">
        <f>S23*係数!$H$30</f>
        <v>0</v>
      </c>
      <c r="U23" s="509">
        <f t="shared" si="4"/>
        <v>0</v>
      </c>
      <c r="V23" s="483">
        <f t="shared" si="4"/>
        <v>0</v>
      </c>
      <c r="W23" s="559"/>
    </row>
    <row r="24" spans="2:23" x14ac:dyDescent="0.4">
      <c r="B24" s="194" t="s">
        <v>123</v>
      </c>
      <c r="C24" s="35"/>
      <c r="D24" s="35"/>
      <c r="E24" s="35"/>
      <c r="F24" s="27"/>
      <c r="G24" s="27"/>
      <c r="H24" s="231">
        <f t="shared" si="6"/>
        <v>0.4</v>
      </c>
      <c r="I24" s="27"/>
      <c r="J24" s="1">
        <f t="shared" si="5"/>
        <v>0</v>
      </c>
      <c r="K24" s="1">
        <f>J24*係数!$H$30</f>
        <v>0</v>
      </c>
      <c r="L24" s="35"/>
      <c r="M24" s="35"/>
      <c r="N24" s="35"/>
      <c r="O24" s="27"/>
      <c r="P24" s="27"/>
      <c r="Q24" s="231" t="str">
        <f t="shared" si="1"/>
        <v/>
      </c>
      <c r="R24" s="1" t="str">
        <f t="shared" si="2"/>
        <v/>
      </c>
      <c r="S24" s="1">
        <f t="shared" si="3"/>
        <v>0</v>
      </c>
      <c r="T24" s="1">
        <f>S24*係数!$H$30</f>
        <v>0</v>
      </c>
      <c r="U24" s="509">
        <f t="shared" si="4"/>
        <v>0</v>
      </c>
      <c r="V24" s="483">
        <f t="shared" si="4"/>
        <v>0</v>
      </c>
      <c r="W24" s="559"/>
    </row>
    <row r="25" spans="2:23" x14ac:dyDescent="0.4">
      <c r="B25" s="194" t="s">
        <v>124</v>
      </c>
      <c r="C25" s="35"/>
      <c r="D25" s="35"/>
      <c r="E25" s="35"/>
      <c r="F25" s="27"/>
      <c r="G25" s="27"/>
      <c r="H25" s="231">
        <f t="shared" si="6"/>
        <v>0.4</v>
      </c>
      <c r="I25" s="27"/>
      <c r="J25" s="1">
        <f t="shared" si="5"/>
        <v>0</v>
      </c>
      <c r="K25" s="1">
        <f>J25*係数!$H$30</f>
        <v>0</v>
      </c>
      <c r="L25" s="35"/>
      <c r="M25" s="35"/>
      <c r="N25" s="35"/>
      <c r="O25" s="27"/>
      <c r="P25" s="27"/>
      <c r="Q25" s="231" t="str">
        <f t="shared" si="1"/>
        <v/>
      </c>
      <c r="R25" s="1" t="str">
        <f t="shared" si="2"/>
        <v/>
      </c>
      <c r="S25" s="1">
        <f t="shared" si="3"/>
        <v>0</v>
      </c>
      <c r="T25" s="1">
        <f>S25*係数!$H$30</f>
        <v>0</v>
      </c>
      <c r="U25" s="509">
        <f t="shared" si="4"/>
        <v>0</v>
      </c>
      <c r="V25" s="483">
        <f t="shared" si="4"/>
        <v>0</v>
      </c>
      <c r="W25" s="559"/>
    </row>
    <row r="26" spans="2:23" x14ac:dyDescent="0.4">
      <c r="B26" s="194" t="s">
        <v>125</v>
      </c>
      <c r="C26" s="35"/>
      <c r="D26" s="35"/>
      <c r="E26" s="35"/>
      <c r="F26" s="27"/>
      <c r="G26" s="27"/>
      <c r="H26" s="231">
        <f t="shared" si="6"/>
        <v>0.4</v>
      </c>
      <c r="I26" s="27"/>
      <c r="J26" s="1">
        <f t="shared" si="5"/>
        <v>0</v>
      </c>
      <c r="K26" s="1">
        <f>J26*係数!$H$30</f>
        <v>0</v>
      </c>
      <c r="L26" s="35"/>
      <c r="M26" s="35"/>
      <c r="N26" s="35"/>
      <c r="O26" s="27"/>
      <c r="P26" s="27"/>
      <c r="Q26" s="231" t="str">
        <f t="shared" si="1"/>
        <v/>
      </c>
      <c r="R26" s="1" t="str">
        <f t="shared" si="2"/>
        <v/>
      </c>
      <c r="S26" s="1">
        <f t="shared" si="3"/>
        <v>0</v>
      </c>
      <c r="T26" s="1">
        <f>S26*係数!$H$30</f>
        <v>0</v>
      </c>
      <c r="U26" s="509">
        <f t="shared" si="4"/>
        <v>0</v>
      </c>
      <c r="V26" s="483">
        <f t="shared" si="4"/>
        <v>0</v>
      </c>
      <c r="W26" s="559"/>
    </row>
    <row r="27" spans="2:23" x14ac:dyDescent="0.4">
      <c r="B27" s="194" t="s">
        <v>126</v>
      </c>
      <c r="C27" s="35"/>
      <c r="D27" s="35"/>
      <c r="E27" s="35"/>
      <c r="F27" s="27"/>
      <c r="G27" s="27"/>
      <c r="H27" s="231">
        <f t="shared" si="6"/>
        <v>0.4</v>
      </c>
      <c r="I27" s="27"/>
      <c r="J27" s="1">
        <f t="shared" si="5"/>
        <v>0</v>
      </c>
      <c r="K27" s="1">
        <f>J27*係数!$H$30</f>
        <v>0</v>
      </c>
      <c r="L27" s="35"/>
      <c r="M27" s="35"/>
      <c r="N27" s="35"/>
      <c r="O27" s="27"/>
      <c r="P27" s="27"/>
      <c r="Q27" s="231" t="str">
        <f t="shared" si="1"/>
        <v/>
      </c>
      <c r="R27" s="1" t="str">
        <f t="shared" si="2"/>
        <v/>
      </c>
      <c r="S27" s="1">
        <f t="shared" si="3"/>
        <v>0</v>
      </c>
      <c r="T27" s="1">
        <f>S27*係数!$H$30</f>
        <v>0</v>
      </c>
      <c r="U27" s="509">
        <f t="shared" si="4"/>
        <v>0</v>
      </c>
      <c r="V27" s="483">
        <f t="shared" si="4"/>
        <v>0</v>
      </c>
      <c r="W27" s="559"/>
    </row>
    <row r="28" spans="2:23" x14ac:dyDescent="0.4">
      <c r="B28" s="194" t="s">
        <v>127</v>
      </c>
      <c r="C28" s="35"/>
      <c r="D28" s="35"/>
      <c r="E28" s="35"/>
      <c r="F28" s="27"/>
      <c r="G28" s="27"/>
      <c r="H28" s="231">
        <f t="shared" si="6"/>
        <v>0.4</v>
      </c>
      <c r="I28" s="27"/>
      <c r="J28" s="1">
        <f t="shared" si="5"/>
        <v>0</v>
      </c>
      <c r="K28" s="1">
        <f>J28*係数!$H$30</f>
        <v>0</v>
      </c>
      <c r="L28" s="35"/>
      <c r="M28" s="35"/>
      <c r="N28" s="35"/>
      <c r="O28" s="27"/>
      <c r="P28" s="27"/>
      <c r="Q28" s="231" t="str">
        <f t="shared" si="1"/>
        <v/>
      </c>
      <c r="R28" s="1" t="str">
        <f t="shared" si="2"/>
        <v/>
      </c>
      <c r="S28" s="1">
        <f t="shared" si="3"/>
        <v>0</v>
      </c>
      <c r="T28" s="1">
        <f>S28*係数!$H$30</f>
        <v>0</v>
      </c>
      <c r="U28" s="509">
        <f t="shared" si="4"/>
        <v>0</v>
      </c>
      <c r="V28" s="483">
        <f t="shared" si="4"/>
        <v>0</v>
      </c>
      <c r="W28" s="559"/>
    </row>
    <row r="29" spans="2:23" x14ac:dyDescent="0.4">
      <c r="B29" s="194" t="s">
        <v>128</v>
      </c>
      <c r="C29" s="35"/>
      <c r="D29" s="35"/>
      <c r="E29" s="35"/>
      <c r="F29" s="27"/>
      <c r="G29" s="27"/>
      <c r="H29" s="231">
        <f t="shared" si="6"/>
        <v>0.4</v>
      </c>
      <c r="I29" s="27"/>
      <c r="J29" s="1">
        <f t="shared" si="5"/>
        <v>0</v>
      </c>
      <c r="K29" s="1">
        <f>J29*係数!$H$30</f>
        <v>0</v>
      </c>
      <c r="L29" s="35"/>
      <c r="M29" s="35"/>
      <c r="N29" s="35"/>
      <c r="O29" s="27"/>
      <c r="P29" s="27"/>
      <c r="Q29" s="231" t="str">
        <f t="shared" si="1"/>
        <v/>
      </c>
      <c r="R29" s="1" t="str">
        <f t="shared" si="2"/>
        <v/>
      </c>
      <c r="S29" s="1">
        <f t="shared" si="3"/>
        <v>0</v>
      </c>
      <c r="T29" s="1">
        <f>S29*係数!$H$30</f>
        <v>0</v>
      </c>
      <c r="U29" s="509">
        <f t="shared" si="4"/>
        <v>0</v>
      </c>
      <c r="V29" s="483">
        <f t="shared" si="4"/>
        <v>0</v>
      </c>
      <c r="W29" s="559"/>
    </row>
    <row r="30" spans="2:23" x14ac:dyDescent="0.4">
      <c r="B30" s="194" t="s">
        <v>129</v>
      </c>
      <c r="C30" s="35"/>
      <c r="D30" s="35"/>
      <c r="E30" s="35"/>
      <c r="F30" s="27"/>
      <c r="G30" s="27"/>
      <c r="H30" s="231">
        <f t="shared" si="6"/>
        <v>0.4</v>
      </c>
      <c r="I30" s="27"/>
      <c r="J30" s="1">
        <f t="shared" si="5"/>
        <v>0</v>
      </c>
      <c r="K30" s="1">
        <f>J30*係数!$H$30</f>
        <v>0</v>
      </c>
      <c r="L30" s="35"/>
      <c r="M30" s="35"/>
      <c r="N30" s="35"/>
      <c r="O30" s="27"/>
      <c r="P30" s="27"/>
      <c r="Q30" s="231" t="str">
        <f t="shared" si="1"/>
        <v/>
      </c>
      <c r="R30" s="1" t="str">
        <f t="shared" si="2"/>
        <v/>
      </c>
      <c r="S30" s="1">
        <f t="shared" si="3"/>
        <v>0</v>
      </c>
      <c r="T30" s="1">
        <f>S30*係数!$H$30</f>
        <v>0</v>
      </c>
      <c r="U30" s="509">
        <f t="shared" si="4"/>
        <v>0</v>
      </c>
      <c r="V30" s="483">
        <f t="shared" si="4"/>
        <v>0</v>
      </c>
      <c r="W30" s="559"/>
    </row>
    <row r="31" spans="2:23" x14ac:dyDescent="0.4">
      <c r="B31" s="194" t="s">
        <v>130</v>
      </c>
      <c r="C31" s="35"/>
      <c r="D31" s="35"/>
      <c r="E31" s="35"/>
      <c r="F31" s="27"/>
      <c r="G31" s="27"/>
      <c r="H31" s="231">
        <f t="shared" si="6"/>
        <v>0.4</v>
      </c>
      <c r="I31" s="27"/>
      <c r="J31" s="1">
        <f t="shared" si="5"/>
        <v>0</v>
      </c>
      <c r="K31" s="1">
        <f>J31*係数!$H$30</f>
        <v>0</v>
      </c>
      <c r="L31" s="35"/>
      <c r="M31" s="35"/>
      <c r="N31" s="35"/>
      <c r="O31" s="27"/>
      <c r="P31" s="27"/>
      <c r="Q31" s="231" t="str">
        <f t="shared" si="1"/>
        <v/>
      </c>
      <c r="R31" s="1" t="str">
        <f t="shared" si="2"/>
        <v/>
      </c>
      <c r="S31" s="1">
        <f t="shared" si="3"/>
        <v>0</v>
      </c>
      <c r="T31" s="1">
        <f>S31*係数!$H$30</f>
        <v>0</v>
      </c>
      <c r="U31" s="509">
        <f t="shared" si="4"/>
        <v>0</v>
      </c>
      <c r="V31" s="483">
        <f t="shared" si="4"/>
        <v>0</v>
      </c>
      <c r="W31" s="559"/>
    </row>
    <row r="32" spans="2:23" x14ac:dyDescent="0.4">
      <c r="B32" s="194" t="s">
        <v>131</v>
      </c>
      <c r="C32" s="35"/>
      <c r="D32" s="35"/>
      <c r="E32" s="35"/>
      <c r="F32" s="27"/>
      <c r="G32" s="27"/>
      <c r="H32" s="231">
        <f t="shared" si="6"/>
        <v>0.4</v>
      </c>
      <c r="I32" s="27"/>
      <c r="J32" s="1">
        <f t="shared" si="5"/>
        <v>0</v>
      </c>
      <c r="K32" s="1">
        <f>J32*係数!$H$30</f>
        <v>0</v>
      </c>
      <c r="L32" s="35"/>
      <c r="M32" s="35"/>
      <c r="N32" s="35"/>
      <c r="O32" s="27"/>
      <c r="P32" s="27"/>
      <c r="Q32" s="231" t="str">
        <f t="shared" si="1"/>
        <v/>
      </c>
      <c r="R32" s="1" t="str">
        <f t="shared" si="2"/>
        <v/>
      </c>
      <c r="S32" s="1">
        <f t="shared" si="3"/>
        <v>0</v>
      </c>
      <c r="T32" s="1">
        <f>S32*係数!$H$30</f>
        <v>0</v>
      </c>
      <c r="U32" s="509">
        <f t="shared" si="4"/>
        <v>0</v>
      </c>
      <c r="V32" s="483">
        <f t="shared" si="4"/>
        <v>0</v>
      </c>
      <c r="W32" s="559"/>
    </row>
    <row r="33" spans="2:23" x14ac:dyDescent="0.4">
      <c r="B33" s="194" t="s">
        <v>132</v>
      </c>
      <c r="C33" s="35"/>
      <c r="D33" s="35"/>
      <c r="E33" s="35"/>
      <c r="F33" s="27"/>
      <c r="G33" s="27"/>
      <c r="H33" s="231">
        <f t="shared" si="6"/>
        <v>0.4</v>
      </c>
      <c r="I33" s="27"/>
      <c r="J33" s="1">
        <f t="shared" si="5"/>
        <v>0</v>
      </c>
      <c r="K33" s="1">
        <f>J33*係数!$H$30</f>
        <v>0</v>
      </c>
      <c r="L33" s="35"/>
      <c r="M33" s="35"/>
      <c r="N33" s="35"/>
      <c r="O33" s="27"/>
      <c r="P33" s="27"/>
      <c r="Q33" s="231" t="str">
        <f t="shared" si="1"/>
        <v/>
      </c>
      <c r="R33" s="1" t="str">
        <f t="shared" si="2"/>
        <v/>
      </c>
      <c r="S33" s="1">
        <f t="shared" si="3"/>
        <v>0</v>
      </c>
      <c r="T33" s="1">
        <f>S33*係数!$H$30</f>
        <v>0</v>
      </c>
      <c r="U33" s="509">
        <f t="shared" si="4"/>
        <v>0</v>
      </c>
      <c r="V33" s="483">
        <f t="shared" si="4"/>
        <v>0</v>
      </c>
      <c r="W33" s="559"/>
    </row>
    <row r="34" spans="2:23" x14ac:dyDescent="0.4">
      <c r="B34" s="194" t="s">
        <v>133</v>
      </c>
      <c r="C34" s="35"/>
      <c r="D34" s="35"/>
      <c r="E34" s="35"/>
      <c r="F34" s="27"/>
      <c r="G34" s="27"/>
      <c r="H34" s="231">
        <f t="shared" si="6"/>
        <v>0.4</v>
      </c>
      <c r="I34" s="27"/>
      <c r="J34" s="1">
        <f t="shared" si="5"/>
        <v>0</v>
      </c>
      <c r="K34" s="1">
        <f>J34*係数!$H$30</f>
        <v>0</v>
      </c>
      <c r="L34" s="35"/>
      <c r="M34" s="35"/>
      <c r="N34" s="35"/>
      <c r="O34" s="27"/>
      <c r="P34" s="27"/>
      <c r="Q34" s="231" t="str">
        <f t="shared" si="1"/>
        <v/>
      </c>
      <c r="R34" s="1" t="str">
        <f t="shared" si="2"/>
        <v/>
      </c>
      <c r="S34" s="1">
        <f t="shared" si="3"/>
        <v>0</v>
      </c>
      <c r="T34" s="1">
        <f>S34*係数!$H$30</f>
        <v>0</v>
      </c>
      <c r="U34" s="509">
        <f t="shared" si="4"/>
        <v>0</v>
      </c>
      <c r="V34" s="483">
        <f t="shared" si="4"/>
        <v>0</v>
      </c>
      <c r="W34" s="559"/>
    </row>
    <row r="35" spans="2:23" x14ac:dyDescent="0.4">
      <c r="B35" s="194" t="s">
        <v>134</v>
      </c>
      <c r="C35" s="35"/>
      <c r="D35" s="35"/>
      <c r="E35" s="35"/>
      <c r="F35" s="27"/>
      <c r="G35" s="27"/>
      <c r="H35" s="231">
        <f t="shared" si="6"/>
        <v>0.4</v>
      </c>
      <c r="I35" s="27"/>
      <c r="J35" s="1">
        <f t="shared" si="5"/>
        <v>0</v>
      </c>
      <c r="K35" s="1">
        <f>J35*係数!$H$30</f>
        <v>0</v>
      </c>
      <c r="L35" s="35"/>
      <c r="M35" s="35"/>
      <c r="N35" s="35"/>
      <c r="O35" s="27"/>
      <c r="P35" s="27"/>
      <c r="Q35" s="231" t="str">
        <f t="shared" si="1"/>
        <v/>
      </c>
      <c r="R35" s="1" t="str">
        <f t="shared" si="2"/>
        <v/>
      </c>
      <c r="S35" s="1">
        <f t="shared" si="3"/>
        <v>0</v>
      </c>
      <c r="T35" s="1">
        <f>S35*係数!$H$30</f>
        <v>0</v>
      </c>
      <c r="U35" s="509">
        <f t="shared" si="4"/>
        <v>0</v>
      </c>
      <c r="V35" s="483">
        <f t="shared" si="4"/>
        <v>0</v>
      </c>
      <c r="W35" s="559"/>
    </row>
    <row r="36" spans="2:23" x14ac:dyDescent="0.4">
      <c r="B36" s="194" t="s">
        <v>135</v>
      </c>
      <c r="C36" s="35"/>
      <c r="D36" s="35"/>
      <c r="E36" s="35"/>
      <c r="F36" s="27"/>
      <c r="G36" s="27"/>
      <c r="H36" s="231">
        <f t="shared" si="6"/>
        <v>0.4</v>
      </c>
      <c r="I36" s="27"/>
      <c r="J36" s="1">
        <f t="shared" si="5"/>
        <v>0</v>
      </c>
      <c r="K36" s="1">
        <f>J36*係数!$H$30</f>
        <v>0</v>
      </c>
      <c r="L36" s="35"/>
      <c r="M36" s="35"/>
      <c r="N36" s="35"/>
      <c r="O36" s="27"/>
      <c r="P36" s="27"/>
      <c r="Q36" s="231" t="str">
        <f t="shared" si="1"/>
        <v/>
      </c>
      <c r="R36" s="1" t="str">
        <f t="shared" si="2"/>
        <v/>
      </c>
      <c r="S36" s="1">
        <f t="shared" si="3"/>
        <v>0</v>
      </c>
      <c r="T36" s="1">
        <f>S36*係数!$H$30</f>
        <v>0</v>
      </c>
      <c r="U36" s="509">
        <f t="shared" si="4"/>
        <v>0</v>
      </c>
      <c r="V36" s="483">
        <f t="shared" si="4"/>
        <v>0</v>
      </c>
      <c r="W36" s="559"/>
    </row>
    <row r="37" spans="2:23" x14ac:dyDescent="0.4">
      <c r="B37" s="194" t="s">
        <v>136</v>
      </c>
      <c r="C37" s="35"/>
      <c r="D37" s="35"/>
      <c r="E37" s="35"/>
      <c r="F37" s="27"/>
      <c r="G37" s="27"/>
      <c r="H37" s="231">
        <f t="shared" si="6"/>
        <v>0.4</v>
      </c>
      <c r="I37" s="27"/>
      <c r="J37" s="1">
        <f t="shared" si="5"/>
        <v>0</v>
      </c>
      <c r="K37" s="1">
        <f>J37*係数!$H$30</f>
        <v>0</v>
      </c>
      <c r="L37" s="35"/>
      <c r="M37" s="35"/>
      <c r="N37" s="35"/>
      <c r="O37" s="27"/>
      <c r="P37" s="27"/>
      <c r="Q37" s="231" t="str">
        <f t="shared" si="1"/>
        <v/>
      </c>
      <c r="R37" s="1" t="str">
        <f t="shared" si="2"/>
        <v/>
      </c>
      <c r="S37" s="1">
        <f t="shared" si="3"/>
        <v>0</v>
      </c>
      <c r="T37" s="1">
        <f>S37*係数!$H$30</f>
        <v>0</v>
      </c>
      <c r="U37" s="509">
        <f t="shared" si="4"/>
        <v>0</v>
      </c>
      <c r="V37" s="483">
        <f t="shared" si="4"/>
        <v>0</v>
      </c>
      <c r="W37" s="559"/>
    </row>
    <row r="38" spans="2:23" x14ac:dyDescent="0.4">
      <c r="B38" s="194" t="s">
        <v>403</v>
      </c>
      <c r="C38" s="35"/>
      <c r="D38" s="35"/>
      <c r="E38" s="35"/>
      <c r="F38" s="27"/>
      <c r="G38" s="27"/>
      <c r="H38" s="231">
        <f t="shared" si="6"/>
        <v>0.4</v>
      </c>
      <c r="I38" s="27"/>
      <c r="J38" s="1">
        <f t="shared" si="5"/>
        <v>0</v>
      </c>
      <c r="K38" s="1">
        <f>J38*係数!$H$30</f>
        <v>0</v>
      </c>
      <c r="L38" s="35"/>
      <c r="M38" s="35"/>
      <c r="N38" s="35"/>
      <c r="O38" s="27"/>
      <c r="P38" s="27"/>
      <c r="Q38" s="231" t="str">
        <f t="shared" si="1"/>
        <v/>
      </c>
      <c r="R38" s="1" t="str">
        <f t="shared" si="2"/>
        <v/>
      </c>
      <c r="S38" s="1">
        <f t="shared" si="3"/>
        <v>0</v>
      </c>
      <c r="T38" s="1">
        <f>S38*係数!$H$30</f>
        <v>0</v>
      </c>
      <c r="U38" s="509">
        <f t="shared" si="4"/>
        <v>0</v>
      </c>
      <c r="V38" s="483">
        <f t="shared" si="4"/>
        <v>0</v>
      </c>
      <c r="W38" s="559"/>
    </row>
    <row r="39" spans="2:23" x14ac:dyDescent="0.4">
      <c r="B39" s="194" t="s">
        <v>404</v>
      </c>
      <c r="C39" s="35"/>
      <c r="D39" s="35"/>
      <c r="E39" s="35"/>
      <c r="F39" s="27"/>
      <c r="G39" s="27"/>
      <c r="H39" s="231">
        <f t="shared" si="6"/>
        <v>0.4</v>
      </c>
      <c r="I39" s="27"/>
      <c r="J39" s="1">
        <f t="shared" si="5"/>
        <v>0</v>
      </c>
      <c r="K39" s="1">
        <f>J39*係数!$H$30</f>
        <v>0</v>
      </c>
      <c r="L39" s="35"/>
      <c r="M39" s="35"/>
      <c r="N39" s="35"/>
      <c r="O39" s="27"/>
      <c r="P39" s="27"/>
      <c r="Q39" s="231" t="str">
        <f t="shared" si="1"/>
        <v/>
      </c>
      <c r="R39" s="1" t="str">
        <f t="shared" si="2"/>
        <v/>
      </c>
      <c r="S39" s="1">
        <f t="shared" si="3"/>
        <v>0</v>
      </c>
      <c r="T39" s="1">
        <f>S39*係数!$H$30</f>
        <v>0</v>
      </c>
      <c r="U39" s="509">
        <f t="shared" si="4"/>
        <v>0</v>
      </c>
      <c r="V39" s="483">
        <f t="shared" si="4"/>
        <v>0</v>
      </c>
      <c r="W39" s="559"/>
    </row>
    <row r="40" spans="2:23" x14ac:dyDescent="0.4">
      <c r="B40" s="194" t="s">
        <v>405</v>
      </c>
      <c r="C40" s="35"/>
      <c r="D40" s="35"/>
      <c r="E40" s="35"/>
      <c r="F40" s="27"/>
      <c r="G40" s="27"/>
      <c r="H40" s="231">
        <f t="shared" si="6"/>
        <v>0.4</v>
      </c>
      <c r="I40" s="27"/>
      <c r="J40" s="1">
        <f t="shared" si="5"/>
        <v>0</v>
      </c>
      <c r="K40" s="1">
        <f>J40*係数!$H$30</f>
        <v>0</v>
      </c>
      <c r="L40" s="35"/>
      <c r="M40" s="35"/>
      <c r="N40" s="35"/>
      <c r="O40" s="27"/>
      <c r="P40" s="27"/>
      <c r="Q40" s="231" t="str">
        <f t="shared" si="1"/>
        <v/>
      </c>
      <c r="R40" s="1" t="str">
        <f t="shared" si="2"/>
        <v/>
      </c>
      <c r="S40" s="1">
        <f t="shared" si="3"/>
        <v>0</v>
      </c>
      <c r="T40" s="1">
        <f>S40*係数!$H$30</f>
        <v>0</v>
      </c>
      <c r="U40" s="509">
        <f t="shared" si="4"/>
        <v>0</v>
      </c>
      <c r="V40" s="483">
        <f t="shared" si="4"/>
        <v>0</v>
      </c>
      <c r="W40" s="559"/>
    </row>
    <row r="41" spans="2:23" x14ac:dyDescent="0.4">
      <c r="B41" s="194" t="s">
        <v>406</v>
      </c>
      <c r="C41" s="35"/>
      <c r="D41" s="35"/>
      <c r="E41" s="35"/>
      <c r="F41" s="27"/>
      <c r="G41" s="27"/>
      <c r="H41" s="231">
        <f t="shared" si="6"/>
        <v>0.4</v>
      </c>
      <c r="I41" s="27"/>
      <c r="J41" s="1">
        <f t="shared" si="5"/>
        <v>0</v>
      </c>
      <c r="K41" s="1">
        <f>J41*係数!$H$30</f>
        <v>0</v>
      </c>
      <c r="L41" s="35"/>
      <c r="M41" s="35"/>
      <c r="N41" s="35"/>
      <c r="O41" s="27"/>
      <c r="P41" s="27"/>
      <c r="Q41" s="231" t="str">
        <f t="shared" si="1"/>
        <v/>
      </c>
      <c r="R41" s="1" t="str">
        <f t="shared" si="2"/>
        <v/>
      </c>
      <c r="S41" s="1">
        <f t="shared" si="3"/>
        <v>0</v>
      </c>
      <c r="T41" s="1">
        <f>S41*係数!$H$30</f>
        <v>0</v>
      </c>
      <c r="U41" s="509">
        <f t="shared" si="4"/>
        <v>0</v>
      </c>
      <c r="V41" s="483">
        <f t="shared" si="4"/>
        <v>0</v>
      </c>
      <c r="W41" s="559"/>
    </row>
    <row r="42" spans="2:23" x14ac:dyDescent="0.4">
      <c r="B42" s="194" t="s">
        <v>407</v>
      </c>
      <c r="C42" s="35"/>
      <c r="D42" s="35"/>
      <c r="E42" s="35"/>
      <c r="F42" s="27"/>
      <c r="G42" s="27"/>
      <c r="H42" s="231">
        <f t="shared" si="6"/>
        <v>0.4</v>
      </c>
      <c r="I42" s="27"/>
      <c r="J42" s="1">
        <f t="shared" si="5"/>
        <v>0</v>
      </c>
      <c r="K42" s="1">
        <f>J42*係数!$H$30</f>
        <v>0</v>
      </c>
      <c r="L42" s="35"/>
      <c r="M42" s="35"/>
      <c r="N42" s="35"/>
      <c r="O42" s="27"/>
      <c r="P42" s="27"/>
      <c r="Q42" s="231" t="str">
        <f t="shared" si="1"/>
        <v/>
      </c>
      <c r="R42" s="1" t="str">
        <f t="shared" si="2"/>
        <v/>
      </c>
      <c r="S42" s="1">
        <f t="shared" si="3"/>
        <v>0</v>
      </c>
      <c r="T42" s="1">
        <f>S42*係数!$H$30</f>
        <v>0</v>
      </c>
      <c r="U42" s="509">
        <f t="shared" si="4"/>
        <v>0</v>
      </c>
      <c r="V42" s="483">
        <f t="shared" si="4"/>
        <v>0</v>
      </c>
      <c r="W42" s="559"/>
    </row>
    <row r="43" spans="2:23" x14ac:dyDescent="0.4">
      <c r="B43" s="194" t="s">
        <v>408</v>
      </c>
      <c r="C43" s="35"/>
      <c r="D43" s="35"/>
      <c r="E43" s="35"/>
      <c r="F43" s="27"/>
      <c r="G43" s="27"/>
      <c r="H43" s="231">
        <f t="shared" si="6"/>
        <v>0.4</v>
      </c>
      <c r="I43" s="27"/>
      <c r="J43" s="1">
        <f t="shared" si="5"/>
        <v>0</v>
      </c>
      <c r="K43" s="1">
        <f>J43*係数!$H$30</f>
        <v>0</v>
      </c>
      <c r="L43" s="35"/>
      <c r="M43" s="35"/>
      <c r="N43" s="35"/>
      <c r="O43" s="27"/>
      <c r="P43" s="27"/>
      <c r="Q43" s="231" t="str">
        <f t="shared" si="1"/>
        <v/>
      </c>
      <c r="R43" s="1" t="str">
        <f t="shared" si="2"/>
        <v/>
      </c>
      <c r="S43" s="1">
        <f t="shared" si="3"/>
        <v>0</v>
      </c>
      <c r="T43" s="1">
        <f>S43*係数!$H$30</f>
        <v>0</v>
      </c>
      <c r="U43" s="509">
        <f t="shared" si="4"/>
        <v>0</v>
      </c>
      <c r="V43" s="483">
        <f t="shared" si="4"/>
        <v>0</v>
      </c>
      <c r="W43" s="559"/>
    </row>
    <row r="44" spans="2:23" x14ac:dyDescent="0.4">
      <c r="B44" s="194" t="s">
        <v>409</v>
      </c>
      <c r="C44" s="35"/>
      <c r="D44" s="35"/>
      <c r="E44" s="35"/>
      <c r="F44" s="27"/>
      <c r="G44" s="27"/>
      <c r="H44" s="231">
        <f t="shared" si="6"/>
        <v>0.4</v>
      </c>
      <c r="I44" s="27"/>
      <c r="J44" s="1">
        <f t="shared" si="5"/>
        <v>0</v>
      </c>
      <c r="K44" s="1">
        <f>J44*係数!$H$30</f>
        <v>0</v>
      </c>
      <c r="L44" s="35"/>
      <c r="M44" s="35"/>
      <c r="N44" s="35"/>
      <c r="O44" s="27"/>
      <c r="P44" s="27"/>
      <c r="Q44" s="231" t="str">
        <f t="shared" si="1"/>
        <v/>
      </c>
      <c r="R44" s="1" t="str">
        <f t="shared" si="2"/>
        <v/>
      </c>
      <c r="S44" s="1">
        <f t="shared" si="3"/>
        <v>0</v>
      </c>
      <c r="T44" s="1">
        <f>S44*係数!$H$30</f>
        <v>0</v>
      </c>
      <c r="U44" s="509">
        <f t="shared" si="4"/>
        <v>0</v>
      </c>
      <c r="V44" s="483">
        <f t="shared" si="4"/>
        <v>0</v>
      </c>
      <c r="W44" s="559"/>
    </row>
    <row r="45" spans="2:23" x14ac:dyDescent="0.4">
      <c r="B45" s="194" t="s">
        <v>410</v>
      </c>
      <c r="C45" s="35"/>
      <c r="D45" s="35"/>
      <c r="E45" s="35"/>
      <c r="F45" s="27"/>
      <c r="G45" s="27"/>
      <c r="H45" s="231">
        <f t="shared" si="6"/>
        <v>0.4</v>
      </c>
      <c r="I45" s="27"/>
      <c r="J45" s="1">
        <f t="shared" si="5"/>
        <v>0</v>
      </c>
      <c r="K45" s="1">
        <f>J45*係数!$H$30</f>
        <v>0</v>
      </c>
      <c r="L45" s="35"/>
      <c r="M45" s="35"/>
      <c r="N45" s="35"/>
      <c r="O45" s="27"/>
      <c r="P45" s="27"/>
      <c r="Q45" s="231" t="str">
        <f t="shared" si="1"/>
        <v/>
      </c>
      <c r="R45" s="1" t="str">
        <f t="shared" si="2"/>
        <v/>
      </c>
      <c r="S45" s="1">
        <f t="shared" si="3"/>
        <v>0</v>
      </c>
      <c r="T45" s="1">
        <f>S45*係数!$H$30</f>
        <v>0</v>
      </c>
      <c r="U45" s="509">
        <f t="shared" si="4"/>
        <v>0</v>
      </c>
      <c r="V45" s="483">
        <f t="shared" si="4"/>
        <v>0</v>
      </c>
      <c r="W45" s="559"/>
    </row>
    <row r="46" spans="2:23" x14ac:dyDescent="0.4">
      <c r="B46" s="194" t="s">
        <v>411</v>
      </c>
      <c r="C46" s="35"/>
      <c r="D46" s="35"/>
      <c r="E46" s="35"/>
      <c r="F46" s="27"/>
      <c r="G46" s="27"/>
      <c r="H46" s="231">
        <f t="shared" si="6"/>
        <v>0.4</v>
      </c>
      <c r="I46" s="27"/>
      <c r="J46" s="1">
        <f t="shared" si="5"/>
        <v>0</v>
      </c>
      <c r="K46" s="1">
        <f>J46*係数!$H$30</f>
        <v>0</v>
      </c>
      <c r="L46" s="35"/>
      <c r="M46" s="35"/>
      <c r="N46" s="35"/>
      <c r="O46" s="27"/>
      <c r="P46" s="27"/>
      <c r="Q46" s="231" t="str">
        <f t="shared" si="1"/>
        <v/>
      </c>
      <c r="R46" s="1" t="str">
        <f t="shared" si="2"/>
        <v/>
      </c>
      <c r="S46" s="1">
        <f t="shared" si="3"/>
        <v>0</v>
      </c>
      <c r="T46" s="1">
        <f>S46*係数!$H$30</f>
        <v>0</v>
      </c>
      <c r="U46" s="509">
        <f t="shared" si="4"/>
        <v>0</v>
      </c>
      <c r="V46" s="483">
        <f t="shared" si="4"/>
        <v>0</v>
      </c>
      <c r="W46" s="559"/>
    </row>
    <row r="47" spans="2:23" x14ac:dyDescent="0.4">
      <c r="B47" s="194" t="s">
        <v>412</v>
      </c>
      <c r="C47" s="35"/>
      <c r="D47" s="35"/>
      <c r="E47" s="35"/>
      <c r="F47" s="27"/>
      <c r="G47" s="27"/>
      <c r="H47" s="231">
        <f t="shared" si="6"/>
        <v>0.4</v>
      </c>
      <c r="I47" s="27"/>
      <c r="J47" s="1">
        <f t="shared" si="5"/>
        <v>0</v>
      </c>
      <c r="K47" s="1">
        <f>J47*係数!$H$30</f>
        <v>0</v>
      </c>
      <c r="L47" s="35"/>
      <c r="M47" s="35"/>
      <c r="N47" s="35"/>
      <c r="O47" s="27"/>
      <c r="P47" s="27"/>
      <c r="Q47" s="231" t="str">
        <f t="shared" si="1"/>
        <v/>
      </c>
      <c r="R47" s="1" t="str">
        <f t="shared" si="2"/>
        <v/>
      </c>
      <c r="S47" s="1">
        <f t="shared" si="3"/>
        <v>0</v>
      </c>
      <c r="T47" s="1">
        <f>S47*係数!$H$30</f>
        <v>0</v>
      </c>
      <c r="U47" s="509">
        <f t="shared" si="4"/>
        <v>0</v>
      </c>
      <c r="V47" s="483">
        <f t="shared" si="4"/>
        <v>0</v>
      </c>
      <c r="W47" s="559"/>
    </row>
    <row r="48" spans="2:23" x14ac:dyDescent="0.4">
      <c r="B48" s="194" t="s">
        <v>413</v>
      </c>
      <c r="C48" s="35"/>
      <c r="D48" s="35"/>
      <c r="E48" s="35"/>
      <c r="F48" s="27"/>
      <c r="G48" s="27"/>
      <c r="H48" s="231">
        <f t="shared" si="6"/>
        <v>0.4</v>
      </c>
      <c r="I48" s="27"/>
      <c r="J48" s="1">
        <f t="shared" si="5"/>
        <v>0</v>
      </c>
      <c r="K48" s="1">
        <f>J48*係数!$H$30</f>
        <v>0</v>
      </c>
      <c r="L48" s="35"/>
      <c r="M48" s="35"/>
      <c r="N48" s="35"/>
      <c r="O48" s="27"/>
      <c r="P48" s="27"/>
      <c r="Q48" s="231" t="str">
        <f t="shared" si="1"/>
        <v/>
      </c>
      <c r="R48" s="1" t="str">
        <f t="shared" si="2"/>
        <v/>
      </c>
      <c r="S48" s="1">
        <f t="shared" si="3"/>
        <v>0</v>
      </c>
      <c r="T48" s="1">
        <f>S48*係数!$H$30</f>
        <v>0</v>
      </c>
      <c r="U48" s="509">
        <f t="shared" si="4"/>
        <v>0</v>
      </c>
      <c r="V48" s="483">
        <f t="shared" si="4"/>
        <v>0</v>
      </c>
      <c r="W48" s="559"/>
    </row>
    <row r="49" spans="2:23" x14ac:dyDescent="0.4">
      <c r="B49" s="194" t="s">
        <v>414</v>
      </c>
      <c r="C49" s="35"/>
      <c r="D49" s="35"/>
      <c r="E49" s="35"/>
      <c r="F49" s="27"/>
      <c r="G49" s="27"/>
      <c r="H49" s="231">
        <f t="shared" si="6"/>
        <v>0.4</v>
      </c>
      <c r="I49" s="27"/>
      <c r="J49" s="1">
        <f t="shared" si="5"/>
        <v>0</v>
      </c>
      <c r="K49" s="1">
        <f>J49*係数!$H$30</f>
        <v>0</v>
      </c>
      <c r="L49" s="35"/>
      <c r="M49" s="35"/>
      <c r="N49" s="35"/>
      <c r="O49" s="27"/>
      <c r="P49" s="27"/>
      <c r="Q49" s="231" t="str">
        <f t="shared" si="1"/>
        <v/>
      </c>
      <c r="R49" s="1" t="str">
        <f t="shared" si="2"/>
        <v/>
      </c>
      <c r="S49" s="1">
        <f t="shared" si="3"/>
        <v>0</v>
      </c>
      <c r="T49" s="1">
        <f>S49*係数!$H$30</f>
        <v>0</v>
      </c>
      <c r="U49" s="509">
        <f t="shared" si="4"/>
        <v>0</v>
      </c>
      <c r="V49" s="483">
        <f t="shared" si="4"/>
        <v>0</v>
      </c>
      <c r="W49" s="559"/>
    </row>
    <row r="50" spans="2:23" x14ac:dyDescent="0.4">
      <c r="B50" s="194" t="s">
        <v>415</v>
      </c>
      <c r="C50" s="35"/>
      <c r="D50" s="35"/>
      <c r="E50" s="35"/>
      <c r="F50" s="27"/>
      <c r="G50" s="27"/>
      <c r="H50" s="231">
        <f t="shared" si="6"/>
        <v>0.4</v>
      </c>
      <c r="I50" s="27"/>
      <c r="J50" s="1">
        <f t="shared" si="5"/>
        <v>0</v>
      </c>
      <c r="K50" s="1">
        <f>J50*係数!$H$30</f>
        <v>0</v>
      </c>
      <c r="L50" s="35"/>
      <c r="M50" s="35"/>
      <c r="N50" s="35"/>
      <c r="O50" s="27"/>
      <c r="P50" s="27"/>
      <c r="Q50" s="231" t="str">
        <f t="shared" si="1"/>
        <v/>
      </c>
      <c r="R50" s="1" t="str">
        <f t="shared" si="2"/>
        <v/>
      </c>
      <c r="S50" s="1">
        <f t="shared" si="3"/>
        <v>0</v>
      </c>
      <c r="T50" s="1">
        <f>S50*係数!$H$30</f>
        <v>0</v>
      </c>
      <c r="U50" s="509">
        <f t="shared" ref="U50:V67" si="7">J50-S50</f>
        <v>0</v>
      </c>
      <c r="V50" s="483">
        <f t="shared" si="7"/>
        <v>0</v>
      </c>
      <c r="W50" s="559"/>
    </row>
    <row r="51" spans="2:23" x14ac:dyDescent="0.4">
      <c r="B51" s="194" t="s">
        <v>416</v>
      </c>
      <c r="C51" s="35"/>
      <c r="D51" s="35"/>
      <c r="E51" s="35"/>
      <c r="F51" s="27"/>
      <c r="G51" s="27"/>
      <c r="H51" s="231">
        <f t="shared" si="6"/>
        <v>0.4</v>
      </c>
      <c r="I51" s="27"/>
      <c r="J51" s="1">
        <f t="shared" si="5"/>
        <v>0</v>
      </c>
      <c r="K51" s="1">
        <f>J51*係数!$H$30</f>
        <v>0</v>
      </c>
      <c r="L51" s="35"/>
      <c r="M51" s="35"/>
      <c r="N51" s="35"/>
      <c r="O51" s="27"/>
      <c r="P51" s="27"/>
      <c r="Q51" s="231" t="str">
        <f t="shared" si="1"/>
        <v/>
      </c>
      <c r="R51" s="1" t="str">
        <f t="shared" si="2"/>
        <v/>
      </c>
      <c r="S51" s="1">
        <f t="shared" si="3"/>
        <v>0</v>
      </c>
      <c r="T51" s="1">
        <f>S51*係数!$H$30</f>
        <v>0</v>
      </c>
      <c r="U51" s="509">
        <f t="shared" si="7"/>
        <v>0</v>
      </c>
      <c r="V51" s="483">
        <f t="shared" si="7"/>
        <v>0</v>
      </c>
      <c r="W51" s="559"/>
    </row>
    <row r="52" spans="2:23" x14ac:dyDescent="0.4">
      <c r="B52" s="194" t="s">
        <v>417</v>
      </c>
      <c r="C52" s="35"/>
      <c r="D52" s="35"/>
      <c r="E52" s="35"/>
      <c r="F52" s="27"/>
      <c r="G52" s="27"/>
      <c r="H52" s="231">
        <f t="shared" si="6"/>
        <v>0.4</v>
      </c>
      <c r="I52" s="27"/>
      <c r="J52" s="1">
        <f t="shared" si="5"/>
        <v>0</v>
      </c>
      <c r="K52" s="1">
        <f>J52*係数!$H$30</f>
        <v>0</v>
      </c>
      <c r="L52" s="35"/>
      <c r="M52" s="35"/>
      <c r="N52" s="35"/>
      <c r="O52" s="27"/>
      <c r="P52" s="27"/>
      <c r="Q52" s="231" t="str">
        <f t="shared" si="1"/>
        <v/>
      </c>
      <c r="R52" s="1" t="str">
        <f t="shared" si="2"/>
        <v/>
      </c>
      <c r="S52" s="1">
        <f t="shared" si="3"/>
        <v>0</v>
      </c>
      <c r="T52" s="1">
        <f>S52*係数!$H$30</f>
        <v>0</v>
      </c>
      <c r="U52" s="509">
        <f t="shared" si="7"/>
        <v>0</v>
      </c>
      <c r="V52" s="483">
        <f t="shared" si="7"/>
        <v>0</v>
      </c>
      <c r="W52" s="559"/>
    </row>
    <row r="53" spans="2:23" x14ac:dyDescent="0.4">
      <c r="B53" s="194" t="s">
        <v>418</v>
      </c>
      <c r="C53" s="35"/>
      <c r="D53" s="35"/>
      <c r="E53" s="35"/>
      <c r="F53" s="27"/>
      <c r="G53" s="27"/>
      <c r="H53" s="231">
        <f t="shared" si="6"/>
        <v>0.4</v>
      </c>
      <c r="I53" s="27"/>
      <c r="J53" s="1">
        <f t="shared" si="5"/>
        <v>0</v>
      </c>
      <c r="K53" s="1">
        <f>J53*係数!$H$30</f>
        <v>0</v>
      </c>
      <c r="L53" s="35"/>
      <c r="M53" s="35"/>
      <c r="N53" s="35"/>
      <c r="O53" s="27"/>
      <c r="P53" s="27"/>
      <c r="Q53" s="231" t="str">
        <f t="shared" si="1"/>
        <v/>
      </c>
      <c r="R53" s="1" t="str">
        <f t="shared" si="2"/>
        <v/>
      </c>
      <c r="S53" s="1">
        <f t="shared" si="3"/>
        <v>0</v>
      </c>
      <c r="T53" s="1">
        <f>S53*係数!$H$30</f>
        <v>0</v>
      </c>
      <c r="U53" s="509">
        <f t="shared" si="7"/>
        <v>0</v>
      </c>
      <c r="V53" s="483">
        <f t="shared" si="7"/>
        <v>0</v>
      </c>
      <c r="W53" s="559"/>
    </row>
    <row r="54" spans="2:23" x14ac:dyDescent="0.4">
      <c r="B54" s="194" t="s">
        <v>419</v>
      </c>
      <c r="C54" s="35"/>
      <c r="D54" s="35"/>
      <c r="E54" s="35"/>
      <c r="F54" s="27"/>
      <c r="G54" s="27"/>
      <c r="H54" s="231">
        <f t="shared" si="6"/>
        <v>0.4</v>
      </c>
      <c r="I54" s="27"/>
      <c r="J54" s="1">
        <f t="shared" si="5"/>
        <v>0</v>
      </c>
      <c r="K54" s="1">
        <f>J54*係数!$H$30</f>
        <v>0</v>
      </c>
      <c r="L54" s="35"/>
      <c r="M54" s="35"/>
      <c r="N54" s="35"/>
      <c r="O54" s="27"/>
      <c r="P54" s="27"/>
      <c r="Q54" s="231" t="str">
        <f t="shared" si="1"/>
        <v/>
      </c>
      <c r="R54" s="1" t="str">
        <f t="shared" si="2"/>
        <v/>
      </c>
      <c r="S54" s="1">
        <f t="shared" si="3"/>
        <v>0</v>
      </c>
      <c r="T54" s="1">
        <f>S54*係数!$H$30</f>
        <v>0</v>
      </c>
      <c r="U54" s="509">
        <f t="shared" si="7"/>
        <v>0</v>
      </c>
      <c r="V54" s="483">
        <f t="shared" si="7"/>
        <v>0</v>
      </c>
      <c r="W54" s="559"/>
    </row>
    <row r="55" spans="2:23" x14ac:dyDescent="0.4">
      <c r="B55" s="194" t="s">
        <v>420</v>
      </c>
      <c r="C55" s="35"/>
      <c r="D55" s="35"/>
      <c r="E55" s="35"/>
      <c r="F55" s="27"/>
      <c r="G55" s="27"/>
      <c r="H55" s="231">
        <f t="shared" si="6"/>
        <v>0.4</v>
      </c>
      <c r="I55" s="27"/>
      <c r="J55" s="1">
        <f t="shared" si="5"/>
        <v>0</v>
      </c>
      <c r="K55" s="1">
        <f>J55*係数!$H$30</f>
        <v>0</v>
      </c>
      <c r="L55" s="35"/>
      <c r="M55" s="35"/>
      <c r="N55" s="35"/>
      <c r="O55" s="27"/>
      <c r="P55" s="27"/>
      <c r="Q55" s="231" t="str">
        <f t="shared" si="1"/>
        <v/>
      </c>
      <c r="R55" s="1" t="str">
        <f t="shared" si="2"/>
        <v/>
      </c>
      <c r="S55" s="1">
        <f t="shared" si="3"/>
        <v>0</v>
      </c>
      <c r="T55" s="1">
        <f>S55*係数!$H$30</f>
        <v>0</v>
      </c>
      <c r="U55" s="509">
        <f t="shared" si="7"/>
        <v>0</v>
      </c>
      <c r="V55" s="483">
        <f t="shared" si="7"/>
        <v>0</v>
      </c>
      <c r="W55" s="559"/>
    </row>
    <row r="56" spans="2:23" x14ac:dyDescent="0.4">
      <c r="B56" s="194" t="s">
        <v>421</v>
      </c>
      <c r="C56" s="35"/>
      <c r="D56" s="35"/>
      <c r="E56" s="35"/>
      <c r="F56" s="27"/>
      <c r="G56" s="27"/>
      <c r="H56" s="231">
        <f t="shared" si="6"/>
        <v>0.4</v>
      </c>
      <c r="I56" s="27"/>
      <c r="J56" s="1">
        <f t="shared" si="5"/>
        <v>0</v>
      </c>
      <c r="K56" s="1">
        <f>J56*係数!$H$30</f>
        <v>0</v>
      </c>
      <c r="L56" s="35"/>
      <c r="M56" s="35"/>
      <c r="N56" s="35"/>
      <c r="O56" s="27"/>
      <c r="P56" s="27"/>
      <c r="Q56" s="231" t="str">
        <f t="shared" si="1"/>
        <v/>
      </c>
      <c r="R56" s="1" t="str">
        <f t="shared" si="2"/>
        <v/>
      </c>
      <c r="S56" s="1">
        <f t="shared" si="3"/>
        <v>0</v>
      </c>
      <c r="T56" s="1">
        <f>S56*係数!$H$30</f>
        <v>0</v>
      </c>
      <c r="U56" s="509">
        <f t="shared" si="7"/>
        <v>0</v>
      </c>
      <c r="V56" s="483">
        <f t="shared" si="7"/>
        <v>0</v>
      </c>
      <c r="W56" s="559"/>
    </row>
    <row r="57" spans="2:23" x14ac:dyDescent="0.4">
      <c r="B57" s="194" t="s">
        <v>422</v>
      </c>
      <c r="C57" s="35"/>
      <c r="D57" s="35"/>
      <c r="E57" s="35"/>
      <c r="F57" s="27"/>
      <c r="G57" s="27"/>
      <c r="H57" s="231">
        <f t="shared" si="6"/>
        <v>0.4</v>
      </c>
      <c r="I57" s="27"/>
      <c r="J57" s="1">
        <f t="shared" si="5"/>
        <v>0</v>
      </c>
      <c r="K57" s="1">
        <f>J57*係数!$H$30</f>
        <v>0</v>
      </c>
      <c r="L57" s="35"/>
      <c r="M57" s="35"/>
      <c r="N57" s="35"/>
      <c r="O57" s="27"/>
      <c r="P57" s="27"/>
      <c r="Q57" s="231" t="str">
        <f t="shared" si="1"/>
        <v/>
      </c>
      <c r="R57" s="1" t="str">
        <f t="shared" si="2"/>
        <v/>
      </c>
      <c r="S57" s="1">
        <f t="shared" si="3"/>
        <v>0</v>
      </c>
      <c r="T57" s="1">
        <f>S57*係数!$H$30</f>
        <v>0</v>
      </c>
      <c r="U57" s="509">
        <f t="shared" si="7"/>
        <v>0</v>
      </c>
      <c r="V57" s="483">
        <f t="shared" si="7"/>
        <v>0</v>
      </c>
      <c r="W57" s="559"/>
    </row>
    <row r="58" spans="2:23" x14ac:dyDescent="0.4">
      <c r="B58" s="194" t="s">
        <v>423</v>
      </c>
      <c r="C58" s="35"/>
      <c r="D58" s="35"/>
      <c r="E58" s="35"/>
      <c r="F58" s="27"/>
      <c r="G58" s="27"/>
      <c r="H58" s="231">
        <f t="shared" si="6"/>
        <v>0.4</v>
      </c>
      <c r="I58" s="27"/>
      <c r="J58" s="1">
        <f t="shared" si="5"/>
        <v>0</v>
      </c>
      <c r="K58" s="1">
        <f>J58*係数!$H$30</f>
        <v>0</v>
      </c>
      <c r="L58" s="35"/>
      <c r="M58" s="35"/>
      <c r="N58" s="35"/>
      <c r="O58" s="27"/>
      <c r="P58" s="27"/>
      <c r="Q58" s="231" t="str">
        <f t="shared" si="1"/>
        <v/>
      </c>
      <c r="R58" s="1" t="str">
        <f t="shared" si="2"/>
        <v/>
      </c>
      <c r="S58" s="1">
        <f t="shared" si="3"/>
        <v>0</v>
      </c>
      <c r="T58" s="1">
        <f>S58*係数!$H$30</f>
        <v>0</v>
      </c>
      <c r="U58" s="509">
        <f t="shared" si="7"/>
        <v>0</v>
      </c>
      <c r="V58" s="483">
        <f t="shared" si="7"/>
        <v>0</v>
      </c>
      <c r="W58" s="559"/>
    </row>
    <row r="59" spans="2:23" x14ac:dyDescent="0.4">
      <c r="B59" s="194" t="s">
        <v>424</v>
      </c>
      <c r="C59" s="35"/>
      <c r="D59" s="35"/>
      <c r="E59" s="35"/>
      <c r="F59" s="27"/>
      <c r="G59" s="27"/>
      <c r="H59" s="231">
        <f t="shared" si="6"/>
        <v>0.4</v>
      </c>
      <c r="I59" s="27"/>
      <c r="J59" s="1">
        <f t="shared" si="5"/>
        <v>0</v>
      </c>
      <c r="K59" s="1">
        <f>J59*係数!$H$30</f>
        <v>0</v>
      </c>
      <c r="L59" s="35"/>
      <c r="M59" s="35"/>
      <c r="N59" s="35"/>
      <c r="O59" s="27"/>
      <c r="P59" s="27"/>
      <c r="Q59" s="231" t="str">
        <f t="shared" si="1"/>
        <v/>
      </c>
      <c r="R59" s="1" t="str">
        <f t="shared" si="2"/>
        <v/>
      </c>
      <c r="S59" s="1">
        <f t="shared" si="3"/>
        <v>0</v>
      </c>
      <c r="T59" s="1">
        <f>S59*係数!$H$30</f>
        <v>0</v>
      </c>
      <c r="U59" s="509">
        <f t="shared" si="7"/>
        <v>0</v>
      </c>
      <c r="V59" s="483">
        <f t="shared" si="7"/>
        <v>0</v>
      </c>
      <c r="W59" s="559"/>
    </row>
    <row r="60" spans="2:23" x14ac:dyDescent="0.4">
      <c r="B60" s="194" t="s">
        <v>425</v>
      </c>
      <c r="C60" s="35"/>
      <c r="D60" s="35"/>
      <c r="E60" s="35"/>
      <c r="F60" s="27"/>
      <c r="G60" s="27"/>
      <c r="H60" s="231">
        <f t="shared" si="6"/>
        <v>0.4</v>
      </c>
      <c r="I60" s="27"/>
      <c r="J60" s="1">
        <f t="shared" si="5"/>
        <v>0</v>
      </c>
      <c r="K60" s="1">
        <f>J60*係数!$H$30</f>
        <v>0</v>
      </c>
      <c r="L60" s="35"/>
      <c r="M60" s="35"/>
      <c r="N60" s="35"/>
      <c r="O60" s="27"/>
      <c r="P60" s="27"/>
      <c r="Q60" s="231" t="str">
        <f t="shared" si="1"/>
        <v/>
      </c>
      <c r="R60" s="1" t="str">
        <f t="shared" si="2"/>
        <v/>
      </c>
      <c r="S60" s="1">
        <f t="shared" si="3"/>
        <v>0</v>
      </c>
      <c r="T60" s="1">
        <f>S60*係数!$H$30</f>
        <v>0</v>
      </c>
      <c r="U60" s="509">
        <f t="shared" si="7"/>
        <v>0</v>
      </c>
      <c r="V60" s="483">
        <f t="shared" si="7"/>
        <v>0</v>
      </c>
      <c r="W60" s="559"/>
    </row>
    <row r="61" spans="2:23" x14ac:dyDescent="0.4">
      <c r="B61" s="194" t="s">
        <v>426</v>
      </c>
      <c r="C61" s="35"/>
      <c r="D61" s="35"/>
      <c r="E61" s="35"/>
      <c r="F61" s="27"/>
      <c r="G61" s="27"/>
      <c r="H61" s="231">
        <f t="shared" si="6"/>
        <v>0.4</v>
      </c>
      <c r="I61" s="27"/>
      <c r="J61" s="1">
        <f t="shared" si="5"/>
        <v>0</v>
      </c>
      <c r="K61" s="1">
        <f>J61*係数!$H$30</f>
        <v>0</v>
      </c>
      <c r="L61" s="35"/>
      <c r="M61" s="35"/>
      <c r="N61" s="35"/>
      <c r="O61" s="27"/>
      <c r="P61" s="27"/>
      <c r="Q61" s="231" t="str">
        <f t="shared" si="1"/>
        <v/>
      </c>
      <c r="R61" s="1" t="str">
        <f t="shared" si="2"/>
        <v/>
      </c>
      <c r="S61" s="1">
        <f t="shared" si="3"/>
        <v>0</v>
      </c>
      <c r="T61" s="1">
        <f>S61*係数!$H$30</f>
        <v>0</v>
      </c>
      <c r="U61" s="509">
        <f t="shared" si="7"/>
        <v>0</v>
      </c>
      <c r="V61" s="483">
        <f t="shared" si="7"/>
        <v>0</v>
      </c>
      <c r="W61" s="559"/>
    </row>
    <row r="62" spans="2:23" x14ac:dyDescent="0.4">
      <c r="B62" s="194" t="s">
        <v>427</v>
      </c>
      <c r="C62" s="35"/>
      <c r="D62" s="35"/>
      <c r="E62" s="35"/>
      <c r="F62" s="27"/>
      <c r="G62" s="27"/>
      <c r="H62" s="231">
        <f t="shared" si="6"/>
        <v>0.4</v>
      </c>
      <c r="I62" s="27"/>
      <c r="J62" s="1">
        <f t="shared" si="5"/>
        <v>0</v>
      </c>
      <c r="K62" s="1">
        <f>J62*係数!$H$30</f>
        <v>0</v>
      </c>
      <c r="L62" s="35"/>
      <c r="M62" s="35"/>
      <c r="N62" s="35"/>
      <c r="O62" s="27"/>
      <c r="P62" s="27"/>
      <c r="Q62" s="231" t="str">
        <f t="shared" si="1"/>
        <v/>
      </c>
      <c r="R62" s="1" t="str">
        <f t="shared" si="2"/>
        <v/>
      </c>
      <c r="S62" s="1">
        <f t="shared" si="3"/>
        <v>0</v>
      </c>
      <c r="T62" s="1">
        <f>S62*係数!$H$30</f>
        <v>0</v>
      </c>
      <c r="U62" s="509">
        <f t="shared" si="7"/>
        <v>0</v>
      </c>
      <c r="V62" s="483">
        <f t="shared" si="7"/>
        <v>0</v>
      </c>
      <c r="W62" s="559"/>
    </row>
    <row r="63" spans="2:23" x14ac:dyDescent="0.4">
      <c r="B63" s="194" t="s">
        <v>428</v>
      </c>
      <c r="C63" s="35"/>
      <c r="D63" s="35"/>
      <c r="E63" s="35"/>
      <c r="F63" s="27"/>
      <c r="G63" s="27"/>
      <c r="H63" s="231">
        <f t="shared" si="6"/>
        <v>0.4</v>
      </c>
      <c r="I63" s="27"/>
      <c r="J63" s="1">
        <f t="shared" si="5"/>
        <v>0</v>
      </c>
      <c r="K63" s="1">
        <f>J63*係数!$H$30</f>
        <v>0</v>
      </c>
      <c r="L63" s="35"/>
      <c r="M63" s="35"/>
      <c r="N63" s="35"/>
      <c r="O63" s="27"/>
      <c r="P63" s="27"/>
      <c r="Q63" s="231" t="str">
        <f t="shared" si="1"/>
        <v/>
      </c>
      <c r="R63" s="1" t="str">
        <f t="shared" si="2"/>
        <v/>
      </c>
      <c r="S63" s="1">
        <f t="shared" si="3"/>
        <v>0</v>
      </c>
      <c r="T63" s="1">
        <f>S63*係数!$H$30</f>
        <v>0</v>
      </c>
      <c r="U63" s="509">
        <f t="shared" si="7"/>
        <v>0</v>
      </c>
      <c r="V63" s="483">
        <f t="shared" si="7"/>
        <v>0</v>
      </c>
      <c r="W63" s="559"/>
    </row>
    <row r="64" spans="2:23" x14ac:dyDescent="0.4">
      <c r="B64" s="194" t="s">
        <v>429</v>
      </c>
      <c r="C64" s="35"/>
      <c r="D64" s="35"/>
      <c r="E64" s="35"/>
      <c r="F64" s="27"/>
      <c r="G64" s="27"/>
      <c r="H64" s="231">
        <f t="shared" si="6"/>
        <v>0.4</v>
      </c>
      <c r="I64" s="27"/>
      <c r="J64" s="1">
        <f t="shared" si="5"/>
        <v>0</v>
      </c>
      <c r="K64" s="1">
        <f>J64*係数!$H$30</f>
        <v>0</v>
      </c>
      <c r="L64" s="35"/>
      <c r="M64" s="35"/>
      <c r="N64" s="35"/>
      <c r="O64" s="27"/>
      <c r="P64" s="27"/>
      <c r="Q64" s="231" t="str">
        <f t="shared" si="1"/>
        <v/>
      </c>
      <c r="R64" s="1" t="str">
        <f t="shared" si="2"/>
        <v/>
      </c>
      <c r="S64" s="1">
        <f t="shared" si="3"/>
        <v>0</v>
      </c>
      <c r="T64" s="1">
        <f>S64*係数!$H$30</f>
        <v>0</v>
      </c>
      <c r="U64" s="509">
        <f t="shared" si="7"/>
        <v>0</v>
      </c>
      <c r="V64" s="483">
        <f t="shared" si="7"/>
        <v>0</v>
      </c>
      <c r="W64" s="559"/>
    </row>
    <row r="65" spans="2:23" x14ac:dyDescent="0.4">
      <c r="B65" s="194" t="s">
        <v>430</v>
      </c>
      <c r="C65" s="35"/>
      <c r="D65" s="35"/>
      <c r="E65" s="35"/>
      <c r="F65" s="27"/>
      <c r="G65" s="27"/>
      <c r="H65" s="231">
        <f t="shared" si="6"/>
        <v>0.4</v>
      </c>
      <c r="I65" s="27"/>
      <c r="J65" s="1">
        <f t="shared" si="5"/>
        <v>0</v>
      </c>
      <c r="K65" s="1">
        <f>J65*係数!$H$30</f>
        <v>0</v>
      </c>
      <c r="L65" s="35"/>
      <c r="M65" s="35"/>
      <c r="N65" s="35"/>
      <c r="O65" s="27"/>
      <c r="P65" s="27"/>
      <c r="Q65" s="231" t="str">
        <f t="shared" si="1"/>
        <v/>
      </c>
      <c r="R65" s="1" t="str">
        <f t="shared" si="2"/>
        <v/>
      </c>
      <c r="S65" s="1">
        <f t="shared" si="3"/>
        <v>0</v>
      </c>
      <c r="T65" s="1">
        <f>S65*係数!$H$30</f>
        <v>0</v>
      </c>
      <c r="U65" s="509">
        <f t="shared" si="7"/>
        <v>0</v>
      </c>
      <c r="V65" s="483">
        <f t="shared" si="7"/>
        <v>0</v>
      </c>
      <c r="W65" s="559"/>
    </row>
    <row r="66" spans="2:23" x14ac:dyDescent="0.4">
      <c r="B66" s="194" t="s">
        <v>431</v>
      </c>
      <c r="C66" s="35"/>
      <c r="D66" s="35"/>
      <c r="E66" s="35"/>
      <c r="F66" s="27"/>
      <c r="G66" s="27"/>
      <c r="H66" s="231">
        <f t="shared" si="6"/>
        <v>0.4</v>
      </c>
      <c r="I66" s="27"/>
      <c r="J66" s="1">
        <f t="shared" si="5"/>
        <v>0</v>
      </c>
      <c r="K66" s="1">
        <f>J66*係数!$H$30</f>
        <v>0</v>
      </c>
      <c r="L66" s="35"/>
      <c r="M66" s="35"/>
      <c r="N66" s="35"/>
      <c r="O66" s="27"/>
      <c r="P66" s="27"/>
      <c r="Q66" s="231" t="str">
        <f t="shared" si="1"/>
        <v/>
      </c>
      <c r="R66" s="1" t="str">
        <f t="shared" si="2"/>
        <v/>
      </c>
      <c r="S66" s="1">
        <f t="shared" si="3"/>
        <v>0</v>
      </c>
      <c r="T66" s="1">
        <f>S66*係数!$H$30</f>
        <v>0</v>
      </c>
      <c r="U66" s="509">
        <f t="shared" si="7"/>
        <v>0</v>
      </c>
      <c r="V66" s="483">
        <f t="shared" si="7"/>
        <v>0</v>
      </c>
      <c r="W66" s="559"/>
    </row>
    <row r="67" spans="2:23" x14ac:dyDescent="0.4">
      <c r="B67" s="194" t="s">
        <v>432</v>
      </c>
      <c r="C67" s="35"/>
      <c r="D67" s="35"/>
      <c r="E67" s="35"/>
      <c r="F67" s="27"/>
      <c r="G67" s="27"/>
      <c r="H67" s="231">
        <f t="shared" si="6"/>
        <v>0.4</v>
      </c>
      <c r="I67" s="27"/>
      <c r="J67" s="1">
        <f t="shared" si="5"/>
        <v>0</v>
      </c>
      <c r="K67" s="1">
        <f>J67*係数!$H$30</f>
        <v>0</v>
      </c>
      <c r="L67" s="35"/>
      <c r="M67" s="35"/>
      <c r="N67" s="35"/>
      <c r="O67" s="27"/>
      <c r="P67" s="27"/>
      <c r="Q67" s="231" t="str">
        <f t="shared" si="1"/>
        <v/>
      </c>
      <c r="R67" s="1" t="str">
        <f t="shared" si="2"/>
        <v/>
      </c>
      <c r="S67" s="1">
        <f t="shared" si="3"/>
        <v>0</v>
      </c>
      <c r="T67" s="1">
        <f>S67*係数!$H$30</f>
        <v>0</v>
      </c>
      <c r="U67" s="509">
        <f t="shared" si="7"/>
        <v>0</v>
      </c>
      <c r="V67" s="483">
        <f t="shared" si="7"/>
        <v>0</v>
      </c>
      <c r="W67" s="559"/>
    </row>
  </sheetData>
  <sheetProtection algorithmName="SHA-512" hashValue="WPdR3ScwG4fUN0w0F95HUoXoaC0TXDrvPHl4ntaq5X8v2Qe2N5zZcbbGzpdmwtq+/hl9o6It7H/dUu6M1Ub4Rg==" saltValue="luTz/mSvYc5b/8l9JPHw8Q==" spinCount="100000" sheet="1" objects="1" scenarios="1" formatCells="0" formatColumns="0" formatRows="0"/>
  <mergeCells count="11">
    <mergeCell ref="B13:B14"/>
    <mergeCell ref="W13:W15"/>
    <mergeCell ref="D3:E3"/>
    <mergeCell ref="D4:E4"/>
    <mergeCell ref="D5:E5"/>
    <mergeCell ref="D6:E6"/>
    <mergeCell ref="D7:E7"/>
    <mergeCell ref="M3:U3"/>
    <mergeCell ref="M4:U4"/>
    <mergeCell ref="M6:U6"/>
    <mergeCell ref="N7:U7"/>
  </mergeCells>
  <phoneticPr fontId="5"/>
  <conditionalFormatting sqref="G7:H7">
    <cfRule type="expression" dxfId="22" priority="3">
      <formula>$E$1="なし"</formula>
    </cfRule>
  </conditionalFormatting>
  <conditionalFormatting sqref="J7">
    <cfRule type="expression" dxfId="21" priority="5">
      <formula>$E$1="なし"</formula>
    </cfRule>
  </conditionalFormatting>
  <conditionalFormatting sqref="M17">
    <cfRule type="cellIs" dxfId="20" priority="2" operator="greaterThan">
      <formula>$D$17</formula>
    </cfRule>
  </conditionalFormatting>
  <conditionalFormatting sqref="N7">
    <cfRule type="cellIs" dxfId="19" priority="1" operator="notEqual">
      <formula>"ー"</formula>
    </cfRule>
  </conditionalFormatting>
  <pageMargins left="0.7" right="0.7" top="0.75" bottom="0.75" header="0.3" footer="0.3"/>
  <pageSetup paperSize="8" scale="55" orientation="landscape" r:id="rId1"/>
  <ignoredErrors>
    <ignoredError sqref="J17:V17 I6:J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1 P Q V 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K 1 P Q 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T 0 F Y o i k e 4 D g A A A B E A A A A T A B w A R m 9 y b X V s Y X M v U 2 V j d G l v b j E u b S C i G A A o o B Q A A A A A A A A A A A A A A A A A A A A A A A A A A A A r T k 0 u y c z P U w i G 0 I b W A F B L A Q I t A B Q A A g A I A C t T 0 F b l a W u D p w A A A P g A A A A S A A A A A A A A A A A A A A A A A A A A A A B D b 2 5 m a W c v U G F j a 2 F n Z S 5 4 b W x Q S w E C L Q A U A A I A C A A r U 9 B W D 8 r p q 6 Q A A A D p A A A A E w A A A A A A A A A A A A A A A A D z A A A A W 0 N v b n R l b n R f V H l w Z X N d L n h t b F B L A Q I t A B Q A A g A I A C t T 0 F Y 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2 u A t + m u W 2 Q Z C u 1 g m Z 0 1 e 8 A A A A A A I A A A A A A B B m A A A A A Q A A I A A A A C 4 S 1 s 0 u m f c W A c 9 x P E d U y A r J N I 1 b j M N 5 H 3 v R e r v / C 5 x 8 A A A A A A 6 A A A A A A g A A I A A A A B p l e C q a D H e D q 7 x S 2 V E 6 v H l P T i G 9 V b k y j y 0 r 2 5 c P v o 9 J U A A A A D w o J i d n 2 I P q u X 9 P z n F 3 B A W e T M h v A n y M k o K g w + u i i H H G L b Q q P S e t C A s e z t f n t / i P 1 A l h + F v P I H O t 6 t T y O v L H K B r K a Z Y E 9 A m I o r X C j o 6 S 8 u X e Q A A A A O c C b x 7 A I n F 9 l l D f d 5 0 3 Q 3 b V f q u n S u G N h u u c o 6 R L E O 7 3 J v U r E 7 5 x o p L M f T j U U R z z C D S p + P p i U Y k j 8 o 0 A p 4 S g i k E = < / D a t a M a s h u p > 
</file>

<file path=customXml/itemProps1.xml><?xml version="1.0" encoding="utf-8"?>
<ds:datastoreItem xmlns:ds="http://schemas.openxmlformats.org/officeDocument/2006/customXml" ds:itemID="{F8518A62-9E67-4F2E-B8B2-5A36057920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提出するシートについて</vt:lpstr>
      <vt:lpstr>記入例</vt:lpstr>
      <vt:lpstr>使用量と光熱費</vt:lpstr>
      <vt:lpstr>照明</vt:lpstr>
      <vt:lpstr>空調（電気）</vt:lpstr>
      <vt:lpstr>空調（GHP)</vt:lpstr>
      <vt:lpstr>ボイラー・給湯器</vt:lpstr>
      <vt:lpstr>モーター</vt:lpstr>
      <vt:lpstr>変圧器</vt:lpstr>
      <vt:lpstr>冷凍庫・冷蔵庫</vt:lpstr>
      <vt:lpstr>取組項目</vt:lpstr>
      <vt:lpstr>診断結果【更新】</vt:lpstr>
      <vt:lpstr>診断結果【使用量】</vt:lpstr>
      <vt:lpstr>診断結果【取組】</vt:lpstr>
      <vt:lpstr>Sheet13</vt:lpstr>
      <vt:lpstr>係数</vt:lpstr>
      <vt:lpstr>負荷率</vt:lpstr>
      <vt:lpstr>モーター効率</vt:lpstr>
      <vt:lpstr>ボイラー・給湯器!Print_Area</vt:lpstr>
      <vt:lpstr>モーター!Print_Area</vt:lpstr>
      <vt:lpstr>記入例!Print_Area</vt:lpstr>
      <vt:lpstr>'空調（GHP)'!Print_Area</vt:lpstr>
      <vt:lpstr>'空調（電気）'!Print_Area</vt:lpstr>
      <vt:lpstr>係数!Print_Area</vt:lpstr>
      <vt:lpstr>取組項目!Print_Area</vt:lpstr>
      <vt:lpstr>照明!Print_Area</vt:lpstr>
      <vt:lpstr>診断結果【更新】!Print_Area</vt:lpstr>
      <vt:lpstr>診断結果【使用量】!Print_Area</vt:lpstr>
      <vt:lpstr>取組項目!Print_Titles</vt:lpstr>
      <vt:lpstr>診断結果【取組】!Print_Titles</vt:lpstr>
      <vt:lpstr>rangeIE1</vt:lpstr>
      <vt:lpstr>rangeIE2</vt:lpstr>
      <vt:lpstr>rangeIE3</vt:lpstr>
      <vt:lpstr>rangeIE4</vt:lpstr>
      <vt:lpstr>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2025-07-08T02:40:57Z</dcterms:modified>
</cp:coreProperties>
</file>