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4\40116_児童生徒安全課$\02_室班フォルダ\不登校児童生徒支援室\子どもと親のサポートセンター関連\資料\R8\県HP掲載＠校内教育支援センター運営の手引き（試案）R8.2\"/>
    </mc:Choice>
  </mc:AlternateContent>
  <xr:revisionPtr revIDLastSave="0" documentId="13_ncr:1_{7EA99F4C-EE7A-425E-929A-9ACBF87FBBAE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チェックシート" sheetId="17" r:id="rId1"/>
    <sheet name="生活面" sheetId="25" r:id="rId2"/>
    <sheet name="行動面" sheetId="26" r:id="rId3"/>
    <sheet name="情緒面" sheetId="27" r:id="rId4"/>
    <sheet name="学習面" sheetId="28" r:id="rId5"/>
    <sheet name="人間関係面" sheetId="29" r:id="rId6"/>
  </sheets>
  <definedNames>
    <definedName name="_">行動面!#REF!</definedName>
    <definedName name="_xlnm.Print_Area" localSheetId="0">チェックシート!$A$1:$G$63</definedName>
    <definedName name="_xlnm.Print_Area" localSheetId="2">行動面!$A$1:$E$78</definedName>
    <definedName name="_xlnm.Print_Area" localSheetId="1">生活面!$A$1:$E$47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9" l="1"/>
  <c r="E50" i="29"/>
  <c r="D51" i="29"/>
  <c r="D50" i="29"/>
  <c r="E44" i="29"/>
  <c r="E43" i="29"/>
  <c r="E42" i="29"/>
  <c r="E41" i="29"/>
  <c r="D46" i="29"/>
  <c r="D44" i="29"/>
  <c r="D43" i="29"/>
  <c r="D42" i="29"/>
  <c r="D41" i="29"/>
  <c r="E36" i="29"/>
  <c r="E34" i="29"/>
  <c r="E33" i="29"/>
  <c r="D39" i="29"/>
  <c r="D38" i="29"/>
  <c r="D36" i="29"/>
  <c r="D35" i="29"/>
  <c r="D34" i="29"/>
  <c r="D33" i="29"/>
  <c r="E30" i="29"/>
  <c r="E29" i="29"/>
  <c r="E28" i="29"/>
  <c r="D31" i="29"/>
  <c r="D30" i="29"/>
  <c r="D29" i="29"/>
  <c r="D28" i="29"/>
  <c r="E24" i="29"/>
  <c r="E23" i="29"/>
  <c r="E22" i="29"/>
  <c r="D26" i="29"/>
  <c r="D25" i="29"/>
  <c r="D24" i="29"/>
  <c r="D23" i="29"/>
  <c r="D22" i="29"/>
  <c r="E20" i="29"/>
  <c r="E19" i="29"/>
  <c r="E18" i="29"/>
  <c r="E17" i="29"/>
  <c r="D18" i="29"/>
  <c r="D17" i="29"/>
  <c r="E15" i="29"/>
  <c r="E14" i="29"/>
  <c r="E12" i="29"/>
  <c r="E11" i="29"/>
  <c r="E10" i="29"/>
  <c r="D13" i="29"/>
  <c r="D12" i="29"/>
  <c r="D10" i="29"/>
  <c r="E5" i="29"/>
  <c r="E4" i="29"/>
  <c r="D8" i="29"/>
  <c r="D7" i="29"/>
  <c r="D6" i="29"/>
  <c r="D5" i="29"/>
  <c r="D4" i="29"/>
  <c r="E74" i="28"/>
  <c r="E73" i="28"/>
  <c r="D77" i="28"/>
  <c r="D76" i="28"/>
  <c r="D75" i="28"/>
  <c r="D74" i="28"/>
  <c r="D73" i="28"/>
  <c r="E67" i="28"/>
  <c r="E66" i="28"/>
  <c r="E65" i="28"/>
  <c r="D71" i="28"/>
  <c r="D69" i="28"/>
  <c r="D68" i="28"/>
  <c r="D66" i="28"/>
  <c r="D65" i="28"/>
  <c r="E59" i="28"/>
  <c r="D63" i="28"/>
  <c r="D62" i="28"/>
  <c r="D61" i="28"/>
  <c r="D60" i="28"/>
  <c r="D59" i="28"/>
  <c r="E57" i="28"/>
  <c r="E56" i="28"/>
  <c r="E55" i="28"/>
  <c r="E53" i="28"/>
  <c r="D56" i="28"/>
  <c r="D54" i="28"/>
  <c r="D53" i="28"/>
  <c r="E47" i="28"/>
  <c r="E46" i="28"/>
  <c r="E44" i="28"/>
  <c r="E43" i="28"/>
  <c r="D47" i="28"/>
  <c r="D46" i="28"/>
  <c r="D45" i="28"/>
  <c r="D44" i="28"/>
  <c r="D43" i="28"/>
  <c r="E34" i="28"/>
  <c r="D41" i="28"/>
  <c r="D40" i="28"/>
  <c r="D39" i="28"/>
  <c r="D38" i="28"/>
  <c r="D37" i="28"/>
  <c r="D36" i="28"/>
  <c r="D35" i="28"/>
  <c r="D34" i="28"/>
  <c r="E27" i="28"/>
  <c r="E26" i="28"/>
  <c r="E25" i="28"/>
  <c r="D32" i="28"/>
  <c r="D30" i="28"/>
  <c r="D28" i="28"/>
  <c r="D27" i="28"/>
  <c r="D26" i="28"/>
  <c r="D25" i="28"/>
  <c r="E21" i="28"/>
  <c r="E20" i="28"/>
  <c r="E19" i="28"/>
  <c r="E18" i="28"/>
  <c r="D23" i="28"/>
  <c r="D22" i="28"/>
  <c r="D21" i="28"/>
  <c r="D20" i="28"/>
  <c r="D19" i="28"/>
  <c r="D18" i="28"/>
  <c r="E15" i="28"/>
  <c r="E14" i="28"/>
  <c r="E12" i="28"/>
  <c r="E11" i="28"/>
  <c r="D15" i="28"/>
  <c r="D14" i="28"/>
  <c r="D13" i="28"/>
  <c r="D12" i="28"/>
  <c r="D11" i="28"/>
  <c r="E9" i="28"/>
  <c r="E8" i="28"/>
  <c r="E7" i="28"/>
  <c r="E6" i="28"/>
  <c r="E4" i="28"/>
  <c r="D8" i="28"/>
  <c r="D7" i="28"/>
  <c r="D6" i="28"/>
  <c r="D5" i="28"/>
  <c r="D4" i="28"/>
  <c r="E37" i="27"/>
  <c r="E35" i="27"/>
  <c r="E34" i="27"/>
  <c r="E33" i="27"/>
  <c r="D37" i="27"/>
  <c r="D36" i="27"/>
  <c r="D35" i="27"/>
  <c r="D34" i="27"/>
  <c r="D33" i="27"/>
  <c r="E29" i="27"/>
  <c r="E28" i="27"/>
  <c r="D30" i="27"/>
  <c r="D28" i="27"/>
  <c r="E25" i="27"/>
  <c r="E24" i="27"/>
  <c r="E23" i="27"/>
  <c r="E22" i="27"/>
  <c r="D26" i="27"/>
  <c r="D25" i="27"/>
  <c r="D23" i="27"/>
  <c r="D22" i="27"/>
  <c r="E17" i="27"/>
  <c r="E16" i="27"/>
  <c r="E15" i="27"/>
  <c r="D18" i="27"/>
  <c r="D17" i="27"/>
  <c r="D16" i="27"/>
  <c r="D15" i="27"/>
  <c r="E11" i="27"/>
  <c r="E10" i="27"/>
  <c r="E9" i="27"/>
  <c r="D13" i="27"/>
  <c r="D12" i="27"/>
  <c r="D10" i="27"/>
  <c r="D9" i="27"/>
  <c r="E6" i="27"/>
  <c r="E5" i="27"/>
  <c r="E4" i="27"/>
  <c r="D7" i="27"/>
  <c r="D6" i="27"/>
  <c r="D5" i="27"/>
  <c r="D4" i="27"/>
  <c r="E77" i="26"/>
  <c r="E76" i="26"/>
  <c r="E74" i="26"/>
  <c r="E73" i="26"/>
  <c r="D77" i="26"/>
  <c r="D76" i="26"/>
  <c r="D74" i="26"/>
  <c r="D73" i="26"/>
  <c r="E71" i="26"/>
  <c r="E70" i="26"/>
  <c r="E69" i="26"/>
  <c r="D71" i="26"/>
  <c r="D70" i="26"/>
  <c r="D69" i="26"/>
  <c r="E65" i="26"/>
  <c r="E64" i="26"/>
  <c r="D67" i="26"/>
  <c r="D66" i="26"/>
  <c r="D65" i="26"/>
  <c r="D64" i="26"/>
  <c r="E60" i="26"/>
  <c r="E59" i="26"/>
  <c r="E58" i="26"/>
  <c r="D62" i="26"/>
  <c r="D60" i="26"/>
  <c r="D59" i="26"/>
  <c r="D58" i="26"/>
  <c r="E53" i="26"/>
  <c r="E52" i="26"/>
  <c r="E51" i="26"/>
  <c r="D54" i="26"/>
  <c r="D53" i="26"/>
  <c r="D52" i="26"/>
  <c r="D51" i="26"/>
  <c r="E48" i="26"/>
  <c r="E47" i="26"/>
  <c r="E46" i="26"/>
  <c r="D49" i="26"/>
  <c r="D48" i="26"/>
  <c r="D47" i="26"/>
  <c r="D46" i="26"/>
  <c r="E40" i="26"/>
  <c r="E39" i="26"/>
  <c r="E37" i="26"/>
  <c r="E36" i="26"/>
  <c r="E35" i="26"/>
  <c r="D38" i="26"/>
  <c r="D37" i="26"/>
  <c r="D36" i="26"/>
  <c r="D35" i="26"/>
  <c r="E30" i="26"/>
  <c r="E29" i="26"/>
  <c r="D33" i="26"/>
  <c r="D32" i="26"/>
  <c r="D30" i="26"/>
  <c r="D29" i="26"/>
  <c r="E23" i="26"/>
  <c r="E22" i="26"/>
  <c r="E21" i="26"/>
  <c r="D27" i="26"/>
  <c r="D26" i="26"/>
  <c r="D25" i="26"/>
  <c r="D24" i="26"/>
  <c r="D23" i="26"/>
  <c r="D21" i="26"/>
  <c r="E17" i="26"/>
  <c r="E16" i="26"/>
  <c r="E15" i="26"/>
  <c r="E14" i="26"/>
  <c r="D19" i="26"/>
  <c r="D18" i="26"/>
  <c r="D17" i="26"/>
  <c r="D16" i="26"/>
  <c r="D15" i="26"/>
  <c r="D14" i="26"/>
  <c r="E12" i="26"/>
  <c r="E11" i="26"/>
  <c r="E10" i="26"/>
  <c r="E9" i="26"/>
  <c r="D11" i="26"/>
  <c r="D10" i="26"/>
  <c r="D9" i="26"/>
  <c r="E6" i="26"/>
  <c r="E5" i="26"/>
  <c r="E4" i="26"/>
  <c r="D7" i="26"/>
  <c r="D6" i="26"/>
  <c r="D5" i="26"/>
  <c r="D4" i="26"/>
  <c r="E45" i="25"/>
  <c r="E44" i="25"/>
  <c r="D46" i="25"/>
  <c r="D45" i="25"/>
  <c r="D44" i="25"/>
  <c r="E42" i="25"/>
  <c r="E41" i="25"/>
  <c r="E40" i="25"/>
  <c r="E39" i="25"/>
  <c r="D42" i="25"/>
  <c r="D41" i="25"/>
  <c r="D40" i="25"/>
  <c r="D39" i="25"/>
  <c r="E37" i="25"/>
  <c r="E36" i="25"/>
  <c r="E35" i="25"/>
  <c r="E34" i="25"/>
  <c r="E33" i="25"/>
  <c r="D35" i="25"/>
  <c r="D34" i="25"/>
  <c r="D33" i="25"/>
  <c r="E30" i="25"/>
  <c r="E28" i="25"/>
  <c r="D31" i="25"/>
  <c r="D29" i="25"/>
  <c r="D28" i="25"/>
  <c r="E26" i="25"/>
  <c r="E25" i="25"/>
  <c r="E24" i="25"/>
  <c r="D26" i="25"/>
  <c r="D24" i="25"/>
  <c r="E22" i="25"/>
  <c r="E21" i="25"/>
  <c r="E20" i="25"/>
  <c r="D22" i="25"/>
  <c r="D21" i="25"/>
  <c r="D20" i="25"/>
  <c r="E17" i="25"/>
  <c r="E16" i="25"/>
  <c r="D18" i="25"/>
  <c r="D17" i="25"/>
  <c r="D16" i="25"/>
  <c r="E11" i="25"/>
  <c r="E10" i="25"/>
  <c r="D14" i="25"/>
  <c r="D13" i="25"/>
  <c r="D12" i="25"/>
  <c r="D11" i="25"/>
  <c r="D10" i="25"/>
  <c r="E6" i="25"/>
  <c r="E4" i="25"/>
  <c r="D8" i="25"/>
  <c r="D7" i="25"/>
  <c r="D6" i="25"/>
  <c r="D5" i="25"/>
  <c r="D4" i="25"/>
  <c r="D52" i="29"/>
  <c r="E13" i="28"/>
  <c r="E5" i="25"/>
  <c r="B50" i="29"/>
  <c r="B69" i="26"/>
  <c r="B41" i="29"/>
  <c r="B33" i="29"/>
  <c r="B28" i="29"/>
  <c r="B22" i="29"/>
  <c r="B17" i="29"/>
  <c r="B10" i="29"/>
  <c r="B4" i="29"/>
  <c r="B73" i="28"/>
  <c r="B65" i="28"/>
  <c r="B59" i="28"/>
  <c r="B53" i="28"/>
  <c r="B43" i="28"/>
  <c r="B34" i="28"/>
  <c r="B25" i="28"/>
  <c r="B18" i="28"/>
  <c r="B11" i="28"/>
  <c r="B4" i="28"/>
  <c r="B33" i="27"/>
  <c r="B28" i="27"/>
  <c r="B22" i="27"/>
  <c r="B15" i="27"/>
  <c r="B9" i="27"/>
  <c r="B4" i="27"/>
  <c r="B73" i="26"/>
  <c r="B64" i="26"/>
  <c r="B58" i="26"/>
  <c r="B51" i="26"/>
  <c r="B46" i="26"/>
  <c r="B35" i="26"/>
  <c r="B29" i="26"/>
  <c r="B21" i="26"/>
  <c r="B14" i="26"/>
  <c r="B9" i="26"/>
  <c r="B4" i="26"/>
  <c r="B44" i="25"/>
  <c r="B39" i="25"/>
  <c r="B33" i="25"/>
  <c r="B28" i="25"/>
  <c r="B24" i="25"/>
  <c r="B20" i="25"/>
  <c r="B16" i="25"/>
  <c r="B10" i="25"/>
  <c r="B4" i="25"/>
  <c r="E35" i="28"/>
  <c r="E26" i="26"/>
  <c r="E27" i="26"/>
  <c r="E25" i="26"/>
  <c r="E36" i="28"/>
  <c r="E37" i="28"/>
  <c r="E38" i="28"/>
  <c r="E39" i="28"/>
  <c r="E40" i="28"/>
  <c r="E44" i="26"/>
  <c r="E43" i="26"/>
  <c r="E42" i="26"/>
  <c r="D42" i="26"/>
  <c r="D44" i="26"/>
  <c r="D43" i="26"/>
</calcChain>
</file>

<file path=xl/sharedStrings.xml><?xml version="1.0" encoding="utf-8"?>
<sst xmlns="http://schemas.openxmlformats.org/spreadsheetml/2006/main" count="99" uniqueCount="70">
  <si>
    <t>気になる点</t>
    <rPh sb="0" eb="1">
      <t>キ</t>
    </rPh>
    <rPh sb="4" eb="5">
      <t>テン</t>
    </rPh>
    <phoneticPr fontId="2"/>
  </si>
  <si>
    <t>授業中居眠りをしてしまう</t>
    <rPh sb="0" eb="3">
      <t>ジュギョウチュウ</t>
    </rPh>
    <rPh sb="3" eb="5">
      <t>イネム</t>
    </rPh>
    <phoneticPr fontId="2"/>
  </si>
  <si>
    <t>④学習面</t>
    <rPh sb="1" eb="3">
      <t>ガクシュウ</t>
    </rPh>
    <rPh sb="3" eb="4">
      <t>メン</t>
    </rPh>
    <phoneticPr fontId="2"/>
  </si>
  <si>
    <t>具体的な特徴</t>
    <rPh sb="0" eb="2">
      <t>グタイ</t>
    </rPh>
    <rPh sb="2" eb="3">
      <t>テキ</t>
    </rPh>
    <rPh sb="4" eb="6">
      <t>トクチョウ</t>
    </rPh>
    <phoneticPr fontId="2"/>
  </si>
  <si>
    <t>気になる児童生徒がいる</t>
    <rPh sb="0" eb="1">
      <t>キ</t>
    </rPh>
    <rPh sb="4" eb="6">
      <t>ジドウ</t>
    </rPh>
    <rPh sb="6" eb="8">
      <t>セイト</t>
    </rPh>
    <phoneticPr fontId="2"/>
  </si>
  <si>
    <t>　　　　　　　↓Ｎｏ</t>
    <phoneticPr fontId="2"/>
  </si>
  <si>
    <t>　　　　　　　　　　　　　　　　　　　　　Ｙｅｓ</t>
    <phoneticPr fontId="2"/>
  </si>
  <si>
    <t>　　　　　　　　　　　　　　Ｙes</t>
    <phoneticPr fontId="2"/>
  </si>
  <si>
    <t>Yes</t>
    <phoneticPr fontId="2"/>
  </si>
  <si>
    <t>No</t>
    <phoneticPr fontId="2"/>
  </si>
  <si>
    <t>うそをつくことが多い</t>
    <rPh sb="8" eb="9">
      <t>オオ</t>
    </rPh>
    <phoneticPr fontId="2"/>
  </si>
  <si>
    <t>チック（顔や体をピクピクさせる）がある</t>
    <rPh sb="4" eb="5">
      <t>カオ</t>
    </rPh>
    <rPh sb="6" eb="7">
      <t>カラダ</t>
    </rPh>
    <phoneticPr fontId="2"/>
  </si>
  <si>
    <t>自分の物や学校の備品を粗末に扱う</t>
    <rPh sb="0" eb="2">
      <t>ジブン</t>
    </rPh>
    <rPh sb="3" eb="4">
      <t>モノ</t>
    </rPh>
    <rPh sb="5" eb="7">
      <t>ガッコウ</t>
    </rPh>
    <rPh sb="8" eb="10">
      <t>ビヒン</t>
    </rPh>
    <rPh sb="11" eb="13">
      <t>ソマツ</t>
    </rPh>
    <rPh sb="14" eb="15">
      <t>アツカ</t>
    </rPh>
    <phoneticPr fontId="2"/>
  </si>
  <si>
    <t>言葉づかいが乱暴である</t>
    <rPh sb="0" eb="2">
      <t>コトバ</t>
    </rPh>
    <rPh sb="6" eb="8">
      <t>ランボウ</t>
    </rPh>
    <phoneticPr fontId="2"/>
  </si>
  <si>
    <t>遅刻や欠席が多い</t>
    <rPh sb="0" eb="2">
      <t>チコク</t>
    </rPh>
    <rPh sb="3" eb="5">
      <t>ケッセキ</t>
    </rPh>
    <rPh sb="6" eb="7">
      <t>オオ</t>
    </rPh>
    <phoneticPr fontId="2"/>
  </si>
  <si>
    <t>机の中やロッカーを片づけられない</t>
    <rPh sb="0" eb="1">
      <t>ツクエ</t>
    </rPh>
    <rPh sb="2" eb="3">
      <t>ナカ</t>
    </rPh>
    <rPh sb="9" eb="10">
      <t>カタ</t>
    </rPh>
    <phoneticPr fontId="2"/>
  </si>
  <si>
    <t>忘れ物が多い</t>
    <rPh sb="0" eb="1">
      <t>ワス</t>
    </rPh>
    <rPh sb="2" eb="3">
      <t>モノ</t>
    </rPh>
    <rPh sb="4" eb="5">
      <t>オオ</t>
    </rPh>
    <phoneticPr fontId="2"/>
  </si>
  <si>
    <t>急激な体重の変化がある</t>
    <rPh sb="0" eb="2">
      <t>キュウゲキ</t>
    </rPh>
    <rPh sb="3" eb="5">
      <t>タイジュウ</t>
    </rPh>
    <rPh sb="6" eb="8">
      <t>ヘンカ</t>
    </rPh>
    <phoneticPr fontId="2"/>
  </si>
  <si>
    <t>原因不明の傷があったり，けがの原因をあいまいにしたりする</t>
    <rPh sb="0" eb="2">
      <t>ゲンイン</t>
    </rPh>
    <rPh sb="2" eb="4">
      <t>フメイ</t>
    </rPh>
    <rPh sb="5" eb="6">
      <t>キズ</t>
    </rPh>
    <rPh sb="15" eb="17">
      <t>ゲンイン</t>
    </rPh>
    <phoneticPr fontId="2"/>
  </si>
  <si>
    <t>一日の中で気持ちの変動が激しい</t>
    <rPh sb="0" eb="2">
      <t>イチニチ</t>
    </rPh>
    <rPh sb="3" eb="4">
      <t>ナカ</t>
    </rPh>
    <rPh sb="5" eb="7">
      <t>キモ</t>
    </rPh>
    <rPh sb="9" eb="11">
      <t>ヘンドウ</t>
    </rPh>
    <rPh sb="12" eb="13">
      <t>ハゲ</t>
    </rPh>
    <phoneticPr fontId="2"/>
  </si>
  <si>
    <t>集団活動，グループ活動が苦手である</t>
    <rPh sb="0" eb="2">
      <t>シュウダン</t>
    </rPh>
    <rPh sb="2" eb="4">
      <t>カツドウ</t>
    </rPh>
    <rPh sb="9" eb="11">
      <t>カツドウ</t>
    </rPh>
    <rPh sb="12" eb="14">
      <t>ニガテ</t>
    </rPh>
    <phoneticPr fontId="2"/>
  </si>
  <si>
    <t>ぼんやりしていることが多い</t>
    <rPh sb="11" eb="12">
      <t>オオ</t>
    </rPh>
    <phoneticPr fontId="2"/>
  </si>
  <si>
    <t>学習に集中できない</t>
    <rPh sb="0" eb="2">
      <t>ガクシュウ</t>
    </rPh>
    <rPh sb="3" eb="5">
      <t>シュウチュウ</t>
    </rPh>
    <phoneticPr fontId="2"/>
  </si>
  <si>
    <t>授業中すわっていられない</t>
    <rPh sb="0" eb="3">
      <t>ジュギョウチュウ</t>
    </rPh>
    <phoneticPr fontId="2"/>
  </si>
  <si>
    <t>先生の指示に従わない</t>
    <rPh sb="0" eb="2">
      <t>センセイ</t>
    </rPh>
    <rPh sb="3" eb="5">
      <t>シジ</t>
    </rPh>
    <rPh sb="6" eb="7">
      <t>シタガ</t>
    </rPh>
    <phoneticPr fontId="2"/>
  </si>
  <si>
    <t>成績が急に下がり始めた</t>
    <rPh sb="0" eb="2">
      <t>セイセキ</t>
    </rPh>
    <rPh sb="3" eb="4">
      <t>キュウ</t>
    </rPh>
    <rPh sb="5" eb="6">
      <t>サ</t>
    </rPh>
    <rPh sb="8" eb="9">
      <t>ハジ</t>
    </rPh>
    <phoneticPr fontId="2"/>
  </si>
  <si>
    <t>先生に反抗したり，抵抗したりする</t>
    <rPh sb="0" eb="2">
      <t>センセイ</t>
    </rPh>
    <rPh sb="3" eb="5">
      <t>ハンコウ</t>
    </rPh>
    <rPh sb="9" eb="11">
      <t>テイコウ</t>
    </rPh>
    <phoneticPr fontId="2"/>
  </si>
  <si>
    <t>いらいらしていることが多い</t>
    <rPh sb="11" eb="12">
      <t>オオ</t>
    </rPh>
    <phoneticPr fontId="2"/>
  </si>
  <si>
    <t>友だちに対して攻撃的な態度を示す</t>
    <rPh sb="0" eb="1">
      <t>トモ</t>
    </rPh>
    <rPh sb="4" eb="5">
      <t>タイ</t>
    </rPh>
    <rPh sb="7" eb="10">
      <t>コウゲキテキ</t>
    </rPh>
    <rPh sb="11" eb="13">
      <t>タイド</t>
    </rPh>
    <rPh sb="14" eb="15">
      <t>シメ</t>
    </rPh>
    <phoneticPr fontId="2"/>
  </si>
  <si>
    <t>一人ごとをいったり，奇声を発したりする</t>
    <rPh sb="0" eb="2">
      <t>ヒトリ</t>
    </rPh>
    <rPh sb="10" eb="12">
      <t>キセイ</t>
    </rPh>
    <rPh sb="13" eb="14">
      <t>ハッ</t>
    </rPh>
    <phoneticPr fontId="2"/>
  </si>
  <si>
    <t>パニックになる</t>
    <phoneticPr fontId="2"/>
  </si>
  <si>
    <t>一度怒るとなかなかおさまらない</t>
    <rPh sb="0" eb="2">
      <t>イチド</t>
    </rPh>
    <rPh sb="2" eb="3">
      <t>オコ</t>
    </rPh>
    <phoneticPr fontId="2"/>
  </si>
  <si>
    <t>ルールや順番を守ることができない</t>
    <rPh sb="4" eb="6">
      <t>ジュンバン</t>
    </rPh>
    <rPh sb="7" eb="8">
      <t>マモ</t>
    </rPh>
    <phoneticPr fontId="2"/>
  </si>
  <si>
    <t>やる気がない</t>
    <rPh sb="2" eb="3">
      <t>キ</t>
    </rPh>
    <phoneticPr fontId="2"/>
  </si>
  <si>
    <t>人に嫌われるような言動が見られる</t>
    <rPh sb="0" eb="1">
      <t>ヒト</t>
    </rPh>
    <rPh sb="2" eb="3">
      <t>キラ</t>
    </rPh>
    <rPh sb="9" eb="11">
      <t>ゲンドウ</t>
    </rPh>
    <rPh sb="12" eb="13">
      <t>ミ</t>
    </rPh>
    <phoneticPr fontId="2"/>
  </si>
  <si>
    <t>授業中おしゃべりが多い</t>
    <rPh sb="0" eb="3">
      <t>ジュギョウチュウ</t>
    </rPh>
    <rPh sb="9" eb="10">
      <t>オオ</t>
    </rPh>
    <phoneticPr fontId="2"/>
  </si>
  <si>
    <t>考えられる背景（本人）</t>
    <rPh sb="0" eb="1">
      <t>カンガ</t>
    </rPh>
    <rPh sb="5" eb="7">
      <t>ハイケイ</t>
    </rPh>
    <rPh sb="8" eb="10">
      <t>ホンニン</t>
    </rPh>
    <phoneticPr fontId="2"/>
  </si>
  <si>
    <t>考えられる背景（本人以外）</t>
    <rPh sb="0" eb="1">
      <t>カンガ</t>
    </rPh>
    <rPh sb="5" eb="7">
      <t>ハイケイ</t>
    </rPh>
    <rPh sb="8" eb="10">
      <t>ホンニン</t>
    </rPh>
    <rPh sb="10" eb="12">
      <t>イガイ</t>
    </rPh>
    <phoneticPr fontId="2"/>
  </si>
  <si>
    <t>何に対してもおどおどしている</t>
    <rPh sb="0" eb="1">
      <t>ナニ</t>
    </rPh>
    <rPh sb="2" eb="3">
      <t>タイ</t>
    </rPh>
    <phoneticPr fontId="2"/>
  </si>
  <si>
    <t>一人でいることが多い</t>
    <rPh sb="0" eb="2">
      <t>ヒトリ</t>
    </rPh>
    <rPh sb="8" eb="9">
      <t>オオ</t>
    </rPh>
    <phoneticPr fontId="2"/>
  </si>
  <si>
    <t>自分の感情をうまく表現できない</t>
    <rPh sb="0" eb="2">
      <t>ジブン</t>
    </rPh>
    <rPh sb="3" eb="5">
      <t>カンジョウ</t>
    </rPh>
    <rPh sb="9" eb="11">
      <t>ヒョウゲン</t>
    </rPh>
    <phoneticPr fontId="2"/>
  </si>
  <si>
    <t>教科によって学習態度が異なる</t>
    <rPh sb="0" eb="2">
      <t>キョウカ</t>
    </rPh>
    <rPh sb="6" eb="8">
      <t>ガクシュウ</t>
    </rPh>
    <rPh sb="8" eb="10">
      <t>タイド</t>
    </rPh>
    <rPh sb="11" eb="12">
      <t>コト</t>
    </rPh>
    <phoneticPr fontId="2"/>
  </si>
  <si>
    <t>先生を極端にさける
先生の顔色や様子を見ながら行動する</t>
    <rPh sb="0" eb="2">
      <t>センセイ</t>
    </rPh>
    <rPh sb="3" eb="5">
      <t>キョクタン</t>
    </rPh>
    <phoneticPr fontId="2"/>
  </si>
  <si>
    <t>わがままである
自己中心的である</t>
    <rPh sb="8" eb="10">
      <t>ジコ</t>
    </rPh>
    <rPh sb="10" eb="12">
      <t>チュウシン</t>
    </rPh>
    <rPh sb="12" eb="13">
      <t>テキ</t>
    </rPh>
    <phoneticPr fontId="2"/>
  </si>
  <si>
    <t>異性にさわったり，甘えたりする</t>
    <rPh sb="0" eb="2">
      <t>イセイ</t>
    </rPh>
    <rPh sb="9" eb="10">
      <t>アマ</t>
    </rPh>
    <phoneticPr fontId="2"/>
  </si>
  <si>
    <t>ルールや順番を守ることができない</t>
  </si>
  <si>
    <t>①生活面</t>
    <rPh sb="1" eb="3">
      <t>セイカツ</t>
    </rPh>
    <rPh sb="3" eb="4">
      <t>メン</t>
    </rPh>
    <phoneticPr fontId="2"/>
  </si>
  <si>
    <t>②行動面</t>
    <rPh sb="1" eb="3">
      <t>コウドウ</t>
    </rPh>
    <rPh sb="3" eb="4">
      <t>メン</t>
    </rPh>
    <phoneticPr fontId="2"/>
  </si>
  <si>
    <t>③情緒面</t>
    <rPh sb="1" eb="3">
      <t>ジョウチョ</t>
    </rPh>
    <rPh sb="3" eb="4">
      <t>メン</t>
    </rPh>
    <phoneticPr fontId="2"/>
  </si>
  <si>
    <t>⑤人間関係面</t>
    <rPh sb="1" eb="3">
      <t>ニンゲン</t>
    </rPh>
    <rPh sb="3" eb="5">
      <t>カンケイ</t>
    </rPh>
    <rPh sb="5" eb="6">
      <t>メン</t>
    </rPh>
    <phoneticPr fontId="2"/>
  </si>
  <si>
    <t>具体的な特徴</t>
    <rPh sb="0" eb="3">
      <t>グタイテキ</t>
    </rPh>
    <rPh sb="4" eb="6">
      <t>トクチョウ</t>
    </rPh>
    <phoneticPr fontId="2"/>
  </si>
  <si>
    <t>頭痛や腹痛を訴えることが多い</t>
    <rPh sb="0" eb="2">
      <t>ズツウ</t>
    </rPh>
    <rPh sb="3" eb="5">
      <t>フクツウ</t>
    </rPh>
    <rPh sb="6" eb="7">
      <t>ウッタ</t>
    </rPh>
    <rPh sb="12" eb="13">
      <t>オオ</t>
    </rPh>
    <phoneticPr fontId="2"/>
  </si>
  <si>
    <t>先生に過剰に甘える</t>
    <rPh sb="0" eb="2">
      <t>センセイ</t>
    </rPh>
    <rPh sb="3" eb="5">
      <t>カジョウ</t>
    </rPh>
    <rPh sb="6" eb="7">
      <t>アマ</t>
    </rPh>
    <phoneticPr fontId="2"/>
  </si>
  <si>
    <t>自分の体を傷つけることがある（リストカット・抜毛等）</t>
    <rPh sb="0" eb="2">
      <t>ジブン</t>
    </rPh>
    <rPh sb="3" eb="4">
      <t>カラダ</t>
    </rPh>
    <rPh sb="5" eb="6">
      <t>キズ</t>
    </rPh>
    <rPh sb="22" eb="23">
      <t>バツ</t>
    </rPh>
    <rPh sb="23" eb="24">
      <t>ケ</t>
    </rPh>
    <rPh sb="24" eb="25">
      <t>トウ</t>
    </rPh>
    <phoneticPr fontId="2"/>
  </si>
  <si>
    <t>表情，声のトーンが暗かったり，明るすぎたりする</t>
    <rPh sb="0" eb="2">
      <t>ヒョウジョウ</t>
    </rPh>
    <rPh sb="3" eb="4">
      <t>コエ</t>
    </rPh>
    <rPh sb="9" eb="10">
      <t>クラ</t>
    </rPh>
    <rPh sb="15" eb="16">
      <t>アカ</t>
    </rPh>
    <phoneticPr fontId="2"/>
  </si>
  <si>
    <t>友だちと一緒に遊べない
友だちとのトラブルが多い</t>
    <rPh sb="0" eb="1">
      <t>トモ</t>
    </rPh>
    <rPh sb="4" eb="6">
      <t>イッショ</t>
    </rPh>
    <rPh sb="7" eb="8">
      <t>アソ</t>
    </rPh>
    <rPh sb="12" eb="13">
      <t>トモ</t>
    </rPh>
    <rPh sb="22" eb="23">
      <t>オオ</t>
    </rPh>
    <phoneticPr fontId="2"/>
  </si>
  <si>
    <t>友だち関係をうまく作れない</t>
    <rPh sb="0" eb="1">
      <t>トモ</t>
    </rPh>
    <rPh sb="3" eb="5">
      <t>カンケイ</t>
    </rPh>
    <rPh sb="9" eb="10">
      <t>ツク</t>
    </rPh>
    <phoneticPr fontId="2"/>
  </si>
  <si>
    <t>人の話を聞くことができない</t>
    <rPh sb="0" eb="1">
      <t>ヒト</t>
    </rPh>
    <rPh sb="2" eb="3">
      <t>ハナシ</t>
    </rPh>
    <rPh sb="4" eb="5">
      <t>キ</t>
    </rPh>
    <phoneticPr fontId="2"/>
  </si>
  <si>
    <t>黒板の文字を写すことが苦手である</t>
    <rPh sb="0" eb="2">
      <t>コクバン</t>
    </rPh>
    <rPh sb="3" eb="5">
      <t>モジ</t>
    </rPh>
    <rPh sb="6" eb="7">
      <t>ウツ</t>
    </rPh>
    <rPh sb="11" eb="13">
      <t>ニガテ</t>
    </rPh>
    <phoneticPr fontId="2"/>
  </si>
  <si>
    <t>眠そうな顔をしている</t>
    <rPh sb="0" eb="1">
      <t>ネム</t>
    </rPh>
    <rPh sb="4" eb="5">
      <t>カオ</t>
    </rPh>
    <phoneticPr fontId="2"/>
  </si>
  <si>
    <t>気になる点の具体的な特徴をチェックし，子どもを理解しましょう。
さらにチェックシートの気になる点ごとのシートを開けてみると考えられる背景が出てきます。
子どもの見立てをするときの参考にしてください。</t>
    <rPh sb="0" eb="1">
      <t>キ</t>
    </rPh>
    <rPh sb="4" eb="5">
      <t>テン</t>
    </rPh>
    <rPh sb="6" eb="9">
      <t>グタイテキ</t>
    </rPh>
    <rPh sb="10" eb="12">
      <t>トクチョウ</t>
    </rPh>
    <rPh sb="19" eb="20">
      <t>コ</t>
    </rPh>
    <rPh sb="23" eb="25">
      <t>リカイ</t>
    </rPh>
    <rPh sb="43" eb="44">
      <t>キ</t>
    </rPh>
    <rPh sb="47" eb="48">
      <t>テン</t>
    </rPh>
    <rPh sb="55" eb="56">
      <t>ア</t>
    </rPh>
    <rPh sb="61" eb="62">
      <t>カンガ</t>
    </rPh>
    <rPh sb="66" eb="68">
      <t>ハイケイ</t>
    </rPh>
    <rPh sb="69" eb="70">
      <t>デ</t>
    </rPh>
    <rPh sb="76" eb="77">
      <t>コ</t>
    </rPh>
    <rPh sb="80" eb="82">
      <t>ミタ</t>
    </rPh>
    <rPh sb="89" eb="91">
      <t>サンコウ</t>
    </rPh>
    <phoneticPr fontId="2"/>
  </si>
  <si>
    <t>服装に無頓着である</t>
    <rPh sb="0" eb="2">
      <t>フクソウ</t>
    </rPh>
    <rPh sb="3" eb="6">
      <t>ムトンチャク</t>
    </rPh>
    <phoneticPr fontId="2"/>
  </si>
  <si>
    <t>落ち着きがない</t>
    <rPh sb="0" eb="1">
      <t>オ</t>
    </rPh>
    <rPh sb="2" eb="3">
      <t>ツ</t>
    </rPh>
    <phoneticPr fontId="2"/>
  </si>
  <si>
    <r>
      <t xml:space="preserve">
　　</t>
    </r>
    <r>
      <rPr>
        <sz val="11"/>
        <color rgb="FFFF0000"/>
        <rFont val="HGS創英角ﾎﾟｯﾌﾟ体"/>
        <family val="3"/>
        <charset val="128"/>
      </rPr>
      <t/>
    </r>
    <phoneticPr fontId="2"/>
  </si>
  <si>
    <t>生活面チェックシート</t>
    <phoneticPr fontId="2"/>
  </si>
  <si>
    <t>行動面チェックシート</t>
    <rPh sb="0" eb="2">
      <t>コウドウ</t>
    </rPh>
    <phoneticPr fontId="2"/>
  </si>
  <si>
    <t>情緒面チェックシート</t>
    <rPh sb="0" eb="2">
      <t>ジョウチョ</t>
    </rPh>
    <phoneticPr fontId="2"/>
  </si>
  <si>
    <t>学習面チェックシート</t>
    <rPh sb="0" eb="2">
      <t>ガクシュウ</t>
    </rPh>
    <rPh sb="2" eb="3">
      <t>メン</t>
    </rPh>
    <phoneticPr fontId="2"/>
  </si>
  <si>
    <t>人間関係面チェックシート</t>
    <rPh sb="0" eb="2">
      <t>ニンゲン</t>
    </rPh>
    <rPh sb="2" eb="4">
      <t>カンケイ</t>
    </rPh>
    <rPh sb="4" eb="5">
      <t>メン</t>
    </rPh>
    <phoneticPr fontId="2"/>
  </si>
  <si>
    <r>
      <rPr>
        <sz val="16"/>
        <color rgb="FF7030A0"/>
        <rFont val="HGS創英角ﾎﾟｯﾌﾟ体"/>
        <family val="3"/>
        <charset val="128"/>
      </rPr>
      <t>　子どもを理解するための</t>
    </r>
    <r>
      <rPr>
        <sz val="16"/>
        <rFont val="HGS創英角ﾎﾟｯﾌﾟ体"/>
        <family val="3"/>
        <charset val="128"/>
      </rPr>
      <t xml:space="preserve">
　気になる児童生徒チェックシート</t>
    </r>
    <rPh sb="14" eb="15">
      <t>キ</t>
    </rPh>
    <rPh sb="18" eb="20">
      <t>ジドウ</t>
    </rPh>
    <rPh sb="20" eb="22">
      <t>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</si>
</sst>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HGS創英角ﾎﾟｯﾌﾟ体"/>
      <family val="3"/>
      <charset val="128"/>
    </font>
    <font>
      <b/>
      <sz val="12"/>
      <color rgb="FF0000FF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HGS創英角ﾎﾟｯﾌﾟ体"/>
      <family val="3"/>
      <charset val="128"/>
    </font>
    <font>
      <sz val="16"/>
      <color rgb="FF7030A0"/>
      <name val="HGS創英角ﾎﾟｯﾌﾟ体"/>
      <family val="3"/>
      <charset val="128"/>
    </font>
    <font>
      <sz val="24"/>
      <color rgb="FFFF0000"/>
      <name val="HGP創英角ﾎﾟｯﾌﾟ体"/>
      <family val="3"/>
      <charset val="128"/>
    </font>
    <font>
      <sz val="11"/>
      <color rgb="FF7030A0"/>
      <name val="ＭＳ Ｐゴシック"/>
      <family val="3"/>
      <charset val="128"/>
    </font>
    <font>
      <sz val="24"/>
      <color rgb="FF00FF00"/>
      <name val="HGP創英角ﾎﾟｯﾌﾟ体"/>
      <family val="3"/>
      <charset val="128"/>
    </font>
    <font>
      <sz val="24"/>
      <color rgb="FF0000FF"/>
      <name val="HGP創英角ﾎﾟｯﾌﾟ体"/>
      <family val="3"/>
      <charset val="128"/>
    </font>
    <font>
      <sz val="24"/>
      <color theme="9" tint="-0.499984740745262"/>
      <name val="HGP創英角ﾎﾟｯﾌﾟ体"/>
      <family val="3"/>
      <charset val="128"/>
    </font>
    <font>
      <sz val="24"/>
      <color rgb="FF7030A0"/>
      <name val="HGP創英角ﾎﾟｯﾌﾟ体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Protection="1">
      <alignment vertical="center"/>
      <protection hidden="1"/>
    </xf>
    <xf numFmtId="0" fontId="0" fillId="0" borderId="2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0" xfId="0" applyBorder="1">
      <alignment vertical="center"/>
    </xf>
    <xf numFmtId="0" fontId="0" fillId="0" borderId="37" xfId="0" applyBorder="1">
      <alignment vertical="center"/>
    </xf>
    <xf numFmtId="0" fontId="0" fillId="0" borderId="3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5" xfId="0" applyBorder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4" xfId="0" applyBorder="1" applyAlignment="1" applyProtection="1">
      <alignment vertical="center" wrapText="1"/>
      <protection hidden="1"/>
    </xf>
    <xf numFmtId="0" fontId="0" fillId="0" borderId="32" xfId="0" applyBorder="1" applyAlignment="1" applyProtection="1">
      <alignment vertical="center" wrapText="1"/>
      <protection hidden="1"/>
    </xf>
    <xf numFmtId="0" fontId="0" fillId="0" borderId="30" xfId="0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vertical="center" wrapText="1"/>
      <protection hidden="1"/>
    </xf>
    <xf numFmtId="0" fontId="0" fillId="0" borderId="33" xfId="0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39" xfId="0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0" fillId="0" borderId="0" xfId="0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locked="0" hidden="1"/>
    </xf>
    <xf numFmtId="0" fontId="0" fillId="0" borderId="31" xfId="0" applyBorder="1" applyAlignment="1" applyProtection="1">
      <alignment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3" fillId="0" borderId="9" xfId="0" applyFont="1" applyBorder="1" applyAlignment="1" applyProtection="1">
      <alignment vertical="center" wrapText="1"/>
      <protection locked="0" hidden="1"/>
    </xf>
    <xf numFmtId="0" fontId="0" fillId="0" borderId="4" xfId="0" applyBorder="1" applyAlignment="1" applyProtection="1">
      <alignment vertical="center" wrapText="1"/>
      <protection locked="0" hidden="1"/>
    </xf>
    <xf numFmtId="0" fontId="3" fillId="0" borderId="4" xfId="0" applyFont="1" applyBorder="1" applyAlignment="1" applyProtection="1">
      <alignment vertical="center" wrapText="1"/>
      <protection locked="0" hidden="1"/>
    </xf>
    <xf numFmtId="0" fontId="3" fillId="0" borderId="3" xfId="0" applyFont="1" applyBorder="1" applyAlignment="1" applyProtection="1">
      <alignment vertical="center" wrapText="1"/>
      <protection locked="0" hidden="1"/>
    </xf>
    <xf numFmtId="0" fontId="3" fillId="0" borderId="5" xfId="0" applyFont="1" applyBorder="1" applyAlignment="1" applyProtection="1">
      <alignment vertical="center" wrapText="1"/>
      <protection locked="0" hidden="1"/>
    </xf>
    <xf numFmtId="0" fontId="3" fillId="0" borderId="21" xfId="0" applyFont="1" applyBorder="1" applyAlignment="1" applyProtection="1">
      <alignment vertical="center" wrapText="1"/>
      <protection locked="0" hidden="1"/>
    </xf>
    <xf numFmtId="0" fontId="0" fillId="0" borderId="0" xfId="0" applyProtection="1">
      <alignment vertical="center"/>
      <protection locked="0" hidden="1"/>
    </xf>
    <xf numFmtId="0" fontId="0" fillId="0" borderId="3" xfId="0" applyBorder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0" fontId="0" fillId="0" borderId="0" xfId="0" applyAlignment="1" applyProtection="1">
      <alignment vertical="center" wrapText="1"/>
      <protection locked="0" hidden="1"/>
    </xf>
    <xf numFmtId="0" fontId="3" fillId="0" borderId="8" xfId="0" applyFont="1" applyBorder="1" applyAlignment="1" applyProtection="1">
      <alignment vertical="center" wrapText="1"/>
      <protection locked="0" hidden="1"/>
    </xf>
    <xf numFmtId="0" fontId="3" fillId="0" borderId="6" xfId="0" applyFont="1" applyBorder="1" applyAlignment="1" applyProtection="1">
      <alignment vertical="center" wrapText="1"/>
      <protection locked="0" hidden="1"/>
    </xf>
    <xf numFmtId="0" fontId="3" fillId="0" borderId="40" xfId="0" applyFont="1" applyBorder="1" applyAlignment="1" applyProtection="1">
      <alignment vertical="center" wrapText="1"/>
      <protection locked="0" hidden="1"/>
    </xf>
    <xf numFmtId="0" fontId="0" fillId="0" borderId="41" xfId="0" applyBorder="1" applyProtection="1">
      <alignment vertical="center"/>
      <protection locked="0" hidden="1"/>
    </xf>
    <xf numFmtId="0" fontId="8" fillId="0" borderId="0" xfId="0" applyFont="1" applyAlignment="1">
      <alignment vertical="center" wrapText="1"/>
    </xf>
    <xf numFmtId="0" fontId="0" fillId="3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0" borderId="5" xfId="0" applyBorder="1" applyProtection="1">
      <alignment vertical="center"/>
      <protection locked="0" hidden="1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8" fillId="0" borderId="41" xfId="0" applyFont="1" applyBorder="1" applyAlignment="1">
      <alignment vertical="center" wrapText="1"/>
    </xf>
    <xf numFmtId="0" fontId="3" fillId="0" borderId="41" xfId="0" applyFont="1" applyBorder="1" applyAlignment="1" applyProtection="1">
      <alignment vertical="center" wrapText="1"/>
      <protection locked="0" hidden="1"/>
    </xf>
    <xf numFmtId="0" fontId="0" fillId="10" borderId="27" xfId="0" applyFill="1" applyBorder="1" applyAlignment="1">
      <alignment vertical="center" wrapText="1"/>
    </xf>
    <xf numFmtId="0" fontId="0" fillId="10" borderId="28" xfId="0" applyFill="1" applyBorder="1" applyAlignment="1">
      <alignment vertical="center" wrapText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3" borderId="0" xfId="0" applyFill="1">
      <alignment vertical="center"/>
    </xf>
    <xf numFmtId="0" fontId="5" fillId="0" borderId="0" xfId="0" applyFont="1" applyAlignment="1" applyProtection="1">
      <alignment vertical="center" wrapText="1"/>
      <protection hidden="1"/>
    </xf>
    <xf numFmtId="0" fontId="0" fillId="0" borderId="0" xfId="0">
      <alignment vertical="center"/>
    </xf>
    <xf numFmtId="0" fontId="0" fillId="6" borderId="25" xfId="0" applyFill="1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0" borderId="0" xfId="0" applyProtection="1">
      <alignment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11" borderId="25" xfId="0" applyFill="1" applyBorder="1" applyAlignment="1">
      <alignment vertical="center" wrapText="1"/>
    </xf>
    <xf numFmtId="0" fontId="0" fillId="11" borderId="27" xfId="0" applyFill="1" applyBorder="1" applyAlignment="1">
      <alignment vertical="center" wrapText="1"/>
    </xf>
    <xf numFmtId="0" fontId="0" fillId="11" borderId="28" xfId="0" applyFill="1" applyBorder="1" applyAlignment="1">
      <alignment vertical="center" wrapText="1"/>
    </xf>
    <xf numFmtId="0" fontId="0" fillId="8" borderId="25" xfId="0" applyFill="1" applyBorder="1" applyAlignment="1">
      <alignment vertical="center" wrapText="1"/>
    </xf>
    <xf numFmtId="0" fontId="0" fillId="8" borderId="27" xfId="0" applyFill="1" applyBorder="1" applyAlignment="1">
      <alignment vertical="center" wrapText="1"/>
    </xf>
    <xf numFmtId="0" fontId="0" fillId="8" borderId="28" xfId="0" applyFill="1" applyBorder="1" applyAlignment="1">
      <alignment vertical="center" wrapText="1"/>
    </xf>
    <xf numFmtId="0" fontId="0" fillId="9" borderId="25" xfId="0" applyFill="1" applyBorder="1" applyAlignment="1">
      <alignment vertical="center" wrapText="1"/>
    </xf>
    <xf numFmtId="0" fontId="0" fillId="9" borderId="27" xfId="0" applyFill="1" applyBorder="1" applyAlignment="1">
      <alignment vertical="center" wrapText="1"/>
    </xf>
    <xf numFmtId="0" fontId="0" fillId="9" borderId="28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 applyProtection="1">
      <alignment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32" xfId="0" applyBorder="1" applyAlignment="1" applyProtection="1">
      <alignment vertical="center" wrapText="1"/>
      <protection hidden="1"/>
    </xf>
    <xf numFmtId="0" fontId="13" fillId="0" borderId="41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33" xfId="0" applyBorder="1" applyAlignment="1" applyProtection="1">
      <alignment vertical="center" wrapText="1"/>
      <protection hidden="1"/>
    </xf>
    <xf numFmtId="0" fontId="14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5" fillId="7" borderId="41" xfId="0" applyFont="1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5050"/>
      <color rgb="FFFFCCFF"/>
      <color rgb="FFFFFF00"/>
      <color rgb="FFFF9900"/>
      <color rgb="FFFFFF66"/>
      <color rgb="FF0000FF"/>
      <color rgb="FF336600"/>
      <color rgb="FF00FF00"/>
      <color rgb="FFFF4747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生活面!$C$4" lockText="1" noThreeD="1"/>
</file>

<file path=xl/ctrlProps/ctrlProp10.xml><?xml version="1.0" encoding="utf-8"?>
<formControlPr xmlns="http://schemas.microsoft.com/office/spreadsheetml/2009/9/main" objectType="CheckBox" fmlaLink="行動面!$C$4" lockText="1" noThreeD="1"/>
</file>

<file path=xl/ctrlProps/ctrlProp11.xml><?xml version="1.0" encoding="utf-8"?>
<formControlPr xmlns="http://schemas.microsoft.com/office/spreadsheetml/2009/9/main" objectType="CheckBox" fmlaLink="生活面!$C$10" lockText="1" noThreeD="1"/>
</file>

<file path=xl/ctrlProps/ctrlProp12.xml><?xml version="1.0" encoding="utf-8"?>
<formControlPr xmlns="http://schemas.microsoft.com/office/spreadsheetml/2009/9/main" objectType="CheckBox" fmlaLink="行動面!$C$9" lockText="1" noThreeD="1"/>
</file>

<file path=xl/ctrlProps/ctrlProp13.xml><?xml version="1.0" encoding="utf-8"?>
<formControlPr xmlns="http://schemas.microsoft.com/office/spreadsheetml/2009/9/main" objectType="CheckBox" fmlaLink="行動面!$C$14" lockText="1" noThreeD="1"/>
</file>

<file path=xl/ctrlProps/ctrlProp14.xml><?xml version="1.0" encoding="utf-8"?>
<formControlPr xmlns="http://schemas.microsoft.com/office/spreadsheetml/2009/9/main" objectType="CheckBox" fmlaLink="行動面!$C$21" lockText="1" noThreeD="1"/>
</file>

<file path=xl/ctrlProps/ctrlProp15.xml><?xml version="1.0" encoding="utf-8"?>
<formControlPr xmlns="http://schemas.microsoft.com/office/spreadsheetml/2009/9/main" objectType="CheckBox" fmlaLink="行動面!$C$29" lockText="1" noThreeD="1"/>
</file>

<file path=xl/ctrlProps/ctrlProp16.xml><?xml version="1.0" encoding="utf-8"?>
<formControlPr xmlns="http://schemas.microsoft.com/office/spreadsheetml/2009/9/main" objectType="CheckBox" fmlaLink="行動面!$C$35" lockText="1" noThreeD="1"/>
</file>

<file path=xl/ctrlProps/ctrlProp17.xml><?xml version="1.0" encoding="utf-8"?>
<formControlPr xmlns="http://schemas.microsoft.com/office/spreadsheetml/2009/9/main" objectType="CheckBox" fmlaLink="行動面!$C$46" lockText="1" noThreeD="1"/>
</file>

<file path=xl/ctrlProps/ctrlProp18.xml><?xml version="1.0" encoding="utf-8"?>
<formControlPr xmlns="http://schemas.microsoft.com/office/spreadsheetml/2009/9/main" objectType="CheckBox" fmlaLink="行動面!$C$51" lockText="1" noThreeD="1"/>
</file>

<file path=xl/ctrlProps/ctrlProp19.xml><?xml version="1.0" encoding="utf-8"?>
<formControlPr xmlns="http://schemas.microsoft.com/office/spreadsheetml/2009/9/main" objectType="CheckBox" fmlaLink="行動面!$C$58" lockText="1" noThreeD="1"/>
</file>

<file path=xl/ctrlProps/ctrlProp2.xml><?xml version="1.0" encoding="utf-8"?>
<formControlPr xmlns="http://schemas.microsoft.com/office/spreadsheetml/2009/9/main" objectType="CheckBox" fmlaLink="生活面!$C$16" lockText="1" noThreeD="1"/>
</file>

<file path=xl/ctrlProps/ctrlProp20.xml><?xml version="1.0" encoding="utf-8"?>
<formControlPr xmlns="http://schemas.microsoft.com/office/spreadsheetml/2009/9/main" objectType="CheckBox" fmlaLink="行動面!$C$64" lockText="1" noThreeD="1"/>
</file>

<file path=xl/ctrlProps/ctrlProp21.xml><?xml version="1.0" encoding="utf-8"?>
<formControlPr xmlns="http://schemas.microsoft.com/office/spreadsheetml/2009/9/main" objectType="CheckBox" fmlaLink="行動面!$C$69" lockText="1" noThreeD="1"/>
</file>

<file path=xl/ctrlProps/ctrlProp22.xml><?xml version="1.0" encoding="utf-8"?>
<formControlPr xmlns="http://schemas.microsoft.com/office/spreadsheetml/2009/9/main" objectType="CheckBox" fmlaLink="情緒面!$C$4" lockText="1" noThreeD="1"/>
</file>

<file path=xl/ctrlProps/ctrlProp23.xml><?xml version="1.0" encoding="utf-8"?>
<formControlPr xmlns="http://schemas.microsoft.com/office/spreadsheetml/2009/9/main" objectType="CheckBox" fmlaLink="情緒面!$C$9" lockText="1" noThreeD="1"/>
</file>

<file path=xl/ctrlProps/ctrlProp24.xml><?xml version="1.0" encoding="utf-8"?>
<formControlPr xmlns="http://schemas.microsoft.com/office/spreadsheetml/2009/9/main" objectType="CheckBox" fmlaLink="情緒面!$C$15" lockText="1" noThreeD="1"/>
</file>

<file path=xl/ctrlProps/ctrlProp25.xml><?xml version="1.0" encoding="utf-8"?>
<formControlPr xmlns="http://schemas.microsoft.com/office/spreadsheetml/2009/9/main" objectType="CheckBox" fmlaLink="情緒面!$C$22" lockText="1" noThreeD="1"/>
</file>

<file path=xl/ctrlProps/ctrlProp26.xml><?xml version="1.0" encoding="utf-8"?>
<formControlPr xmlns="http://schemas.microsoft.com/office/spreadsheetml/2009/9/main" objectType="CheckBox" fmlaLink="情緒面!$C$28" lockText="1" noThreeD="1"/>
</file>

<file path=xl/ctrlProps/ctrlProp27.xml><?xml version="1.0" encoding="utf-8"?>
<formControlPr xmlns="http://schemas.microsoft.com/office/spreadsheetml/2009/9/main" objectType="CheckBox" fmlaLink="情緒面!$C$33" lockText="1" noThreeD="1"/>
</file>

<file path=xl/ctrlProps/ctrlProp28.xml><?xml version="1.0" encoding="utf-8"?>
<formControlPr xmlns="http://schemas.microsoft.com/office/spreadsheetml/2009/9/main" objectType="CheckBox" fmlaLink="学習面!$C$4" lockText="1" noThreeD="1"/>
</file>

<file path=xl/ctrlProps/ctrlProp29.xml><?xml version="1.0" encoding="utf-8"?>
<formControlPr xmlns="http://schemas.microsoft.com/office/spreadsheetml/2009/9/main" objectType="CheckBox" fmlaLink="学習面!$C$11" lockText="1" noThreeD="1"/>
</file>

<file path=xl/ctrlProps/ctrlProp3.xml><?xml version="1.0" encoding="utf-8"?>
<formControlPr xmlns="http://schemas.microsoft.com/office/spreadsheetml/2009/9/main" objectType="CheckBox" fmlaLink="生活面!$C$20" lockText="1" noThreeD="1"/>
</file>

<file path=xl/ctrlProps/ctrlProp30.xml><?xml version="1.0" encoding="utf-8"?>
<formControlPr xmlns="http://schemas.microsoft.com/office/spreadsheetml/2009/9/main" objectType="CheckBox" fmlaLink="学習面!$C$18" lockText="1" noThreeD="1"/>
</file>

<file path=xl/ctrlProps/ctrlProp31.xml><?xml version="1.0" encoding="utf-8"?>
<formControlPr xmlns="http://schemas.microsoft.com/office/spreadsheetml/2009/9/main" objectType="CheckBox" fmlaLink="学習面!$C$25" lockText="1" noThreeD="1"/>
</file>

<file path=xl/ctrlProps/ctrlProp32.xml><?xml version="1.0" encoding="utf-8"?>
<formControlPr xmlns="http://schemas.microsoft.com/office/spreadsheetml/2009/9/main" objectType="CheckBox" fmlaLink="学習面!$C$34" lockText="1" noThreeD="1"/>
</file>

<file path=xl/ctrlProps/ctrlProp33.xml><?xml version="1.0" encoding="utf-8"?>
<formControlPr xmlns="http://schemas.microsoft.com/office/spreadsheetml/2009/9/main" objectType="CheckBox" fmlaLink="学習面!$C$43" lockText="1" noThreeD="1"/>
</file>

<file path=xl/ctrlProps/ctrlProp34.xml><?xml version="1.0" encoding="utf-8"?>
<formControlPr xmlns="http://schemas.microsoft.com/office/spreadsheetml/2009/9/main" objectType="CheckBox" fmlaLink="学習面!$C$53" lockText="1" noThreeD="1"/>
</file>

<file path=xl/ctrlProps/ctrlProp35.xml><?xml version="1.0" encoding="utf-8"?>
<formControlPr xmlns="http://schemas.microsoft.com/office/spreadsheetml/2009/9/main" objectType="CheckBox" fmlaLink="学習面!$C$59" lockText="1" noThreeD="1"/>
</file>

<file path=xl/ctrlProps/ctrlProp36.xml><?xml version="1.0" encoding="utf-8"?>
<formControlPr xmlns="http://schemas.microsoft.com/office/spreadsheetml/2009/9/main" objectType="CheckBox" fmlaLink="学習面!$C$65" lockText="1" noThreeD="1"/>
</file>

<file path=xl/ctrlProps/ctrlProp37.xml><?xml version="1.0" encoding="utf-8"?>
<formControlPr xmlns="http://schemas.microsoft.com/office/spreadsheetml/2009/9/main" objectType="CheckBox" fmlaLink="学習面!$C$73" lockText="1" noThreeD="1"/>
</file>

<file path=xl/ctrlProps/ctrlProp38.xml><?xml version="1.0" encoding="utf-8"?>
<formControlPr xmlns="http://schemas.microsoft.com/office/spreadsheetml/2009/9/main" objectType="CheckBox" fmlaLink="人間関係面!$C$4" lockText="1" noThreeD="1"/>
</file>

<file path=xl/ctrlProps/ctrlProp39.xml><?xml version="1.0" encoding="utf-8"?>
<formControlPr xmlns="http://schemas.microsoft.com/office/spreadsheetml/2009/9/main" objectType="CheckBox" fmlaLink="人間関係面!$C$10" lockText="1" noThreeD="1"/>
</file>

<file path=xl/ctrlProps/ctrlProp4.xml><?xml version="1.0" encoding="utf-8"?>
<formControlPr xmlns="http://schemas.microsoft.com/office/spreadsheetml/2009/9/main" objectType="CheckBox" fmlaLink="行動面!$C$73" lockText="1" noThreeD="1"/>
</file>

<file path=xl/ctrlProps/ctrlProp40.xml><?xml version="1.0" encoding="utf-8"?>
<formControlPr xmlns="http://schemas.microsoft.com/office/spreadsheetml/2009/9/main" objectType="CheckBox" fmlaLink="人間関係面!$C$17" lockText="1" noThreeD="1"/>
</file>

<file path=xl/ctrlProps/ctrlProp41.xml><?xml version="1.0" encoding="utf-8"?>
<formControlPr xmlns="http://schemas.microsoft.com/office/spreadsheetml/2009/9/main" objectType="CheckBox" fmlaLink="人間関係面!$C$22" lockText="1" noThreeD="1"/>
</file>

<file path=xl/ctrlProps/ctrlProp42.xml><?xml version="1.0" encoding="utf-8"?>
<formControlPr xmlns="http://schemas.microsoft.com/office/spreadsheetml/2009/9/main" objectType="CheckBox" fmlaLink="人間関係面!$C$28" lockText="1" noThreeD="1"/>
</file>

<file path=xl/ctrlProps/ctrlProp43.xml><?xml version="1.0" encoding="utf-8"?>
<formControlPr xmlns="http://schemas.microsoft.com/office/spreadsheetml/2009/9/main" objectType="CheckBox" fmlaLink="人間関係面!$C$33" lockText="1" noThreeD="1"/>
</file>

<file path=xl/ctrlProps/ctrlProp44.xml><?xml version="1.0" encoding="utf-8"?>
<formControlPr xmlns="http://schemas.microsoft.com/office/spreadsheetml/2009/9/main" objectType="CheckBox" fmlaLink="人間関係面!$C$41" lockText="1" noThreeD="1"/>
</file>

<file path=xl/ctrlProps/ctrlProp45.xml><?xml version="1.0" encoding="utf-8"?>
<formControlPr xmlns="http://schemas.microsoft.com/office/spreadsheetml/2009/9/main" objectType="CheckBox" fmlaLink="人間関係面!$C$50" lockText="1" noThreeD="1"/>
</file>

<file path=xl/ctrlProps/ctrlProp5.xml><?xml version="1.0" encoding="utf-8"?>
<formControlPr xmlns="http://schemas.microsoft.com/office/spreadsheetml/2009/9/main" objectType="CheckBox" fmlaLink="生活面!$C$24" lockText="1" noThreeD="1"/>
</file>

<file path=xl/ctrlProps/ctrlProp6.xml><?xml version="1.0" encoding="utf-8"?>
<formControlPr xmlns="http://schemas.microsoft.com/office/spreadsheetml/2009/9/main" objectType="CheckBox" fmlaLink="生活面!$C$28" lockText="1" noThreeD="1"/>
</file>

<file path=xl/ctrlProps/ctrlProp7.xml><?xml version="1.0" encoding="utf-8"?>
<formControlPr xmlns="http://schemas.microsoft.com/office/spreadsheetml/2009/9/main" objectType="CheckBox" fmlaLink="生活面!$C$33" lockText="1" noThreeD="1"/>
</file>

<file path=xl/ctrlProps/ctrlProp8.xml><?xml version="1.0" encoding="utf-8"?>
<formControlPr xmlns="http://schemas.microsoft.com/office/spreadsheetml/2009/9/main" objectType="CheckBox" fmlaLink="生活面!$C$39" lockText="1" noThreeD="1"/>
</file>

<file path=xl/ctrlProps/ctrlProp9.xml><?xml version="1.0" encoding="utf-8"?>
<formControlPr xmlns="http://schemas.microsoft.com/office/spreadsheetml/2009/9/main" objectType="CheckBox" fmlaLink="生活面!$C$4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297657</xdr:rowOff>
    </xdr:from>
    <xdr:to>
      <xdr:col>6</xdr:col>
      <xdr:colOff>2500312</xdr:colOff>
      <xdr:row>62</xdr:row>
      <xdr:rowOff>71438</xdr:rowOff>
    </xdr:to>
    <xdr:sp macro="" textlink="">
      <xdr:nvSpPr>
        <xdr:cNvPr id="15" name="雲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16460391"/>
          <a:ext cx="6625828" cy="2422922"/>
        </a:xfrm>
        <a:prstGeom prst="cloud">
          <a:avLst/>
        </a:prstGeom>
        <a:solidFill>
          <a:srgbClr val="FFFF66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600">
              <a:solidFill>
                <a:srgbClr val="0000FF"/>
              </a:solidFill>
              <a:latin typeface="HGP創英角ﾎﾟｯﾌﾟ体" pitchFamily="50" charset="-128"/>
              <a:ea typeface="HGP創英角ﾎﾟｯﾌﾟ体" pitchFamily="50" charset="-128"/>
            </a:rPr>
            <a:t>このシートは児童生徒への支援の視点を</a:t>
          </a:r>
          <a:endParaRPr kumimoji="1" lang="en-US" altLang="ja-JP" sz="1600">
            <a:solidFill>
              <a:srgbClr val="0000FF"/>
            </a:solidFill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ja-JP" altLang="en-US" sz="1600">
              <a:solidFill>
                <a:srgbClr val="0000FF"/>
              </a:solidFill>
              <a:latin typeface="HGP創英角ﾎﾟｯﾌﾟ体" pitchFamily="50" charset="-128"/>
              <a:ea typeface="HGP創英角ﾎﾟｯﾌﾟ体" pitchFamily="50" charset="-128"/>
            </a:rPr>
            <a:t>広げるためのものです。児童生徒の</a:t>
          </a:r>
          <a:endParaRPr kumimoji="1" lang="en-US" altLang="ja-JP" sz="1600">
            <a:solidFill>
              <a:srgbClr val="0000FF"/>
            </a:solidFill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HGP創英角ﾎﾟｯﾌﾟ体" pitchFamily="50" charset="-128"/>
              <a:ea typeface="HGP創英角ﾎﾟｯﾌﾟ体" pitchFamily="50" charset="-128"/>
            </a:rPr>
            <a:t>よい面を伸ばす</a:t>
          </a:r>
          <a:endParaRPr kumimoji="1" lang="en-US" altLang="ja-JP" sz="2800">
            <a:solidFill>
              <a:srgbClr val="FF0000"/>
            </a:solidFill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kumimoji="1" lang="ja-JP" altLang="en-US" sz="1600">
              <a:solidFill>
                <a:srgbClr val="0000FF"/>
              </a:solidFill>
              <a:latin typeface="HGP創英角ﾎﾟｯﾌﾟ体" pitchFamily="50" charset="-128"/>
              <a:ea typeface="HGP創英角ﾎﾟｯﾌﾟ体" pitchFamily="50" charset="-128"/>
            </a:rPr>
            <a:t>という視点で活用してください。</a:t>
          </a:r>
        </a:p>
      </xdr:txBody>
    </xdr:sp>
    <xdr:clientData/>
  </xdr:twoCellAnchor>
  <xdr:twoCellAnchor>
    <xdr:from>
      <xdr:col>2</xdr:col>
      <xdr:colOff>200030</xdr:colOff>
      <xdr:row>3</xdr:row>
      <xdr:rowOff>0</xdr:rowOff>
    </xdr:from>
    <xdr:to>
      <xdr:col>3</xdr:col>
      <xdr:colOff>219076</xdr:colOff>
      <xdr:row>3</xdr:row>
      <xdr:rowOff>238126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10800000" flipV="1">
          <a:off x="1323980" y="1038225"/>
          <a:ext cx="314321" cy="238126"/>
        </a:xfrm>
        <a:prstGeom prst="straightConnector1">
          <a:avLst/>
        </a:prstGeom>
        <a:ln>
          <a:solidFill>
            <a:srgbClr val="7030A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4</xdr:row>
      <xdr:rowOff>1</xdr:rowOff>
    </xdr:from>
    <xdr:to>
      <xdr:col>3</xdr:col>
      <xdr:colOff>1171575</xdr:colOff>
      <xdr:row>12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1450" y="1285876"/>
          <a:ext cx="2419350" cy="145732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 anchorCtr="0"/>
        <a:lstStyle/>
        <a:p>
          <a:pPr algn="ctr"/>
          <a:r>
            <a:rPr kumimoji="1" lang="ja-JP" altLang="en-US" sz="1100"/>
            <a:t>気になる点</a:t>
          </a:r>
          <a:endParaRPr kumimoji="1" lang="en-US" altLang="ja-JP" sz="1100"/>
        </a:p>
        <a:p>
          <a:pPr algn="l"/>
          <a:r>
            <a:rPr kumimoji="1" lang="ja-JP" altLang="en-US" sz="1100"/>
            <a:t> 　　　　　　①生活面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 ②行動面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 ③情緒面　　</a:t>
          </a:r>
          <a:endParaRPr kumimoji="1" lang="en-US" altLang="ja-JP" sz="1100"/>
        </a:p>
        <a:p>
          <a:pPr algn="l"/>
          <a:r>
            <a:rPr kumimoji="1" lang="ja-JP" altLang="en-US" sz="1100"/>
            <a:t> 　　　　　　④学習面　　</a:t>
          </a:r>
          <a:endParaRPr kumimoji="1" lang="en-US" altLang="ja-JP" sz="1100"/>
        </a:p>
        <a:p>
          <a:pPr algn="l"/>
          <a:r>
            <a:rPr kumimoji="1" lang="ja-JP" altLang="en-US" sz="1100"/>
            <a:t> 　　　　　　⑤人間関係面　　　　</a:t>
          </a:r>
          <a:r>
            <a:rPr kumimoji="1" lang="ja-JP" altLang="en-US" sz="1100" baseline="0"/>
            <a:t> </a:t>
          </a:r>
          <a:r>
            <a:rPr kumimoji="1" lang="ja-JP" altLang="en-US" sz="1100"/>
            <a:t>　　　　　</a:t>
          </a:r>
        </a:p>
      </xdr:txBody>
    </xdr:sp>
    <xdr:clientData/>
  </xdr:twoCellAnchor>
  <xdr:twoCellAnchor>
    <xdr:from>
      <xdr:col>0</xdr:col>
      <xdr:colOff>828675</xdr:colOff>
      <xdr:row>12</xdr:row>
      <xdr:rowOff>85725</xdr:rowOff>
    </xdr:from>
    <xdr:to>
      <xdr:col>3</xdr:col>
      <xdr:colOff>323850</xdr:colOff>
      <xdr:row>13</xdr:row>
      <xdr:rowOff>152400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8675" y="2743200"/>
          <a:ext cx="914400" cy="238125"/>
        </a:xfrm>
        <a:prstGeom prst="downArrow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1943100</xdr:colOff>
      <xdr:row>9</xdr:row>
      <xdr:rowOff>9526</xdr:rowOff>
    </xdr:from>
    <xdr:to>
      <xdr:col>6</xdr:col>
      <xdr:colOff>1924050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62325" y="1647826"/>
          <a:ext cx="2686050" cy="68579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l"/>
          <a:r>
            <a:rPr kumimoji="1" lang="ja-JP" altLang="en-US" sz="1100"/>
            <a:t>クラスの雰囲気で気になるところがあったり，学級経営で困難さを感じている　　　</a:t>
          </a:r>
        </a:p>
      </xdr:txBody>
    </xdr:sp>
    <xdr:clientData/>
  </xdr:twoCellAnchor>
  <xdr:twoCellAnchor>
    <xdr:from>
      <xdr:col>3</xdr:col>
      <xdr:colOff>1981200</xdr:colOff>
      <xdr:row>4</xdr:row>
      <xdr:rowOff>0</xdr:rowOff>
    </xdr:from>
    <xdr:to>
      <xdr:col>6</xdr:col>
      <xdr:colOff>1885950</xdr:colOff>
      <xdr:row>8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00425" y="781050"/>
          <a:ext cx="2609850" cy="6858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 anchorCtr="0"/>
        <a:lstStyle/>
        <a:p>
          <a:pPr algn="l"/>
          <a:r>
            <a:rPr kumimoji="1" lang="ja-JP" altLang="en-US" sz="1100"/>
            <a:t>他の先生，児童生徒から，気になる児童生徒がいるという情報がある　　　　</a:t>
          </a:r>
        </a:p>
      </xdr:txBody>
    </xdr:sp>
    <xdr:clientData/>
  </xdr:twoCellAnchor>
  <xdr:twoCellAnchor>
    <xdr:from>
      <xdr:col>5</xdr:col>
      <xdr:colOff>3</xdr:colOff>
      <xdr:row>2</xdr:row>
      <xdr:rowOff>123826</xdr:rowOff>
    </xdr:from>
    <xdr:to>
      <xdr:col>6</xdr:col>
      <xdr:colOff>1924050</xdr:colOff>
      <xdr:row>11</xdr:row>
      <xdr:rowOff>9526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3"/>
        </xdr:cNvCxnSpPr>
      </xdr:nvCxnSpPr>
      <xdr:spPr>
        <a:xfrm flipH="1" flipV="1">
          <a:off x="3848103" y="542926"/>
          <a:ext cx="2200272" cy="1447800"/>
        </a:xfrm>
        <a:prstGeom prst="bentConnector3">
          <a:avLst>
            <a:gd name="adj1" fmla="val -10390"/>
          </a:avLst>
        </a:prstGeom>
        <a:ln>
          <a:solidFill>
            <a:srgbClr val="7030A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1171576</xdr:colOff>
      <xdr:row>5</xdr:row>
      <xdr:rowOff>171449</xdr:rowOff>
    </xdr:from>
    <xdr:to>
      <xdr:col>3</xdr:col>
      <xdr:colOff>1981201</xdr:colOff>
      <xdr:row>8</xdr:row>
      <xdr:rowOff>42862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5" idx="1"/>
          <a:endCxn id="2" idx="3"/>
        </xdr:cNvCxnSpPr>
      </xdr:nvCxnSpPr>
      <xdr:spPr>
        <a:xfrm rot="10800000" flipV="1">
          <a:off x="2590801" y="1628774"/>
          <a:ext cx="809625" cy="385763"/>
        </a:xfrm>
        <a:prstGeom prst="straightConnector1">
          <a:avLst/>
        </a:prstGeom>
        <a:ln>
          <a:solidFill>
            <a:srgbClr val="7030A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2105025</xdr:colOff>
      <xdr:row>3</xdr:row>
      <xdr:rowOff>0</xdr:rowOff>
    </xdr:from>
    <xdr:to>
      <xdr:col>5</xdr:col>
      <xdr:colOff>28575</xdr:colOff>
      <xdr:row>4</xdr:row>
      <xdr:rowOff>9525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24250" y="628650"/>
          <a:ext cx="352425" cy="1809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422671</xdr:colOff>
      <xdr:row>0</xdr:row>
      <xdr:rowOff>0</xdr:rowOff>
    </xdr:from>
    <xdr:to>
      <xdr:col>6</xdr:col>
      <xdr:colOff>2232422</xdr:colOff>
      <xdr:row>2</xdr:row>
      <xdr:rowOff>83344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548187" y="0"/>
          <a:ext cx="1809751" cy="904875"/>
        </a:xfrm>
        <a:prstGeom prst="ellipse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6</xdr:col>
      <xdr:colOff>803672</xdr:colOff>
      <xdr:row>54</xdr:row>
      <xdr:rowOff>89297</xdr:rowOff>
    </xdr:from>
    <xdr:to>
      <xdr:col>6</xdr:col>
      <xdr:colOff>1832612</xdr:colOff>
      <xdr:row>54</xdr:row>
      <xdr:rowOff>720329</xdr:rowOff>
    </xdr:to>
    <xdr:pic>
      <xdr:nvPicPr>
        <xdr:cNvPr id="30776" name="Picture 56" descr="C:\Users\y.ikd29\AppData\Local\Microsoft\Windows\Temporary Internet Files\Content.IE5\JLDNNFER\MC900418298[1].wmf">
          <a:extLst>
            <a:ext uri="{FF2B5EF4-FFF2-40B4-BE49-F238E27FC236}">
              <a16:creationId xmlns:a16="http://schemas.microsoft.com/office/drawing/2014/main" id="{00000000-0008-0000-0000-000038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29188" y="16942594"/>
          <a:ext cx="1028940" cy="63103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190500</xdr:rowOff>
        </xdr:from>
        <xdr:to>
          <xdr:col>3</xdr:col>
          <xdr:colOff>22860</xdr:colOff>
          <xdr:row>16</xdr:row>
          <xdr:rowOff>243840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0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17</xdr:row>
          <xdr:rowOff>274320</xdr:rowOff>
        </xdr:from>
        <xdr:to>
          <xdr:col>3</xdr:col>
          <xdr:colOff>22860</xdr:colOff>
          <xdr:row>18</xdr:row>
          <xdr:rowOff>236220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0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274320</xdr:rowOff>
        </xdr:from>
        <xdr:to>
          <xdr:col>3</xdr:col>
          <xdr:colOff>22860</xdr:colOff>
          <xdr:row>19</xdr:row>
          <xdr:rowOff>236220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0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28</xdr:row>
          <xdr:rowOff>251460</xdr:rowOff>
        </xdr:from>
        <xdr:to>
          <xdr:col>6</xdr:col>
          <xdr:colOff>45720</xdr:colOff>
          <xdr:row>29</xdr:row>
          <xdr:rowOff>213360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0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15</xdr:row>
          <xdr:rowOff>190500</xdr:rowOff>
        </xdr:from>
        <xdr:to>
          <xdr:col>6</xdr:col>
          <xdr:colOff>45720</xdr:colOff>
          <xdr:row>16</xdr:row>
          <xdr:rowOff>243840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0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274320</xdr:rowOff>
        </xdr:from>
        <xdr:to>
          <xdr:col>6</xdr:col>
          <xdr:colOff>45720</xdr:colOff>
          <xdr:row>17</xdr:row>
          <xdr:rowOff>236220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0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17</xdr:row>
          <xdr:rowOff>274320</xdr:rowOff>
        </xdr:from>
        <xdr:to>
          <xdr:col>6</xdr:col>
          <xdr:colOff>45720</xdr:colOff>
          <xdr:row>18</xdr:row>
          <xdr:rowOff>236220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0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18</xdr:row>
          <xdr:rowOff>274320</xdr:rowOff>
        </xdr:from>
        <xdr:to>
          <xdr:col>6</xdr:col>
          <xdr:colOff>45720</xdr:colOff>
          <xdr:row>19</xdr:row>
          <xdr:rowOff>236220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0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19</xdr:row>
          <xdr:rowOff>266700</xdr:rowOff>
        </xdr:from>
        <xdr:to>
          <xdr:col>6</xdr:col>
          <xdr:colOff>45720</xdr:colOff>
          <xdr:row>20</xdr:row>
          <xdr:rowOff>228600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00000000-0008-0000-0000-00000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</xdr:row>
          <xdr:rowOff>175260</xdr:rowOff>
        </xdr:from>
        <xdr:to>
          <xdr:col>3</xdr:col>
          <xdr:colOff>22860</xdr:colOff>
          <xdr:row>24</xdr:row>
          <xdr:rowOff>228600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00000000-0008-0000-0000-00001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16</xdr:row>
          <xdr:rowOff>274320</xdr:rowOff>
        </xdr:from>
        <xdr:to>
          <xdr:col>3</xdr:col>
          <xdr:colOff>22860</xdr:colOff>
          <xdr:row>17</xdr:row>
          <xdr:rowOff>236220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00000000-0008-0000-0000-00001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</xdr:row>
          <xdr:rowOff>259080</xdr:rowOff>
        </xdr:from>
        <xdr:to>
          <xdr:col>3</xdr:col>
          <xdr:colOff>22860</xdr:colOff>
          <xdr:row>25</xdr:row>
          <xdr:rowOff>220980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00000000-0008-0000-0000-00001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</xdr:row>
          <xdr:rowOff>259080</xdr:rowOff>
        </xdr:from>
        <xdr:to>
          <xdr:col>3</xdr:col>
          <xdr:colOff>22860</xdr:colOff>
          <xdr:row>26</xdr:row>
          <xdr:rowOff>220980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00000000-0008-0000-0000-00001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</xdr:row>
          <xdr:rowOff>259080</xdr:rowOff>
        </xdr:from>
        <xdr:to>
          <xdr:col>3</xdr:col>
          <xdr:colOff>22860</xdr:colOff>
          <xdr:row>27</xdr:row>
          <xdr:rowOff>220980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00000000-0008-0000-0000-00001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27</xdr:row>
          <xdr:rowOff>251460</xdr:rowOff>
        </xdr:from>
        <xdr:to>
          <xdr:col>3</xdr:col>
          <xdr:colOff>22860</xdr:colOff>
          <xdr:row>28</xdr:row>
          <xdr:rowOff>213360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00000000-0008-0000-0000-00001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28</xdr:row>
          <xdr:rowOff>251460</xdr:rowOff>
        </xdr:from>
        <xdr:to>
          <xdr:col>3</xdr:col>
          <xdr:colOff>22860</xdr:colOff>
          <xdr:row>29</xdr:row>
          <xdr:rowOff>213360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00000000-0008-0000-0000-00001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23</xdr:row>
          <xdr:rowOff>175260</xdr:rowOff>
        </xdr:from>
        <xdr:to>
          <xdr:col>6</xdr:col>
          <xdr:colOff>45720</xdr:colOff>
          <xdr:row>24</xdr:row>
          <xdr:rowOff>228600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00000000-0008-0000-0000-00001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24</xdr:row>
          <xdr:rowOff>259080</xdr:rowOff>
        </xdr:from>
        <xdr:to>
          <xdr:col>6</xdr:col>
          <xdr:colOff>45720</xdr:colOff>
          <xdr:row>25</xdr:row>
          <xdr:rowOff>220980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00000000-0008-0000-0000-00001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25</xdr:row>
          <xdr:rowOff>259080</xdr:rowOff>
        </xdr:from>
        <xdr:to>
          <xdr:col>6</xdr:col>
          <xdr:colOff>45720</xdr:colOff>
          <xdr:row>26</xdr:row>
          <xdr:rowOff>220980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00000000-0008-0000-0000-00001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26</xdr:row>
          <xdr:rowOff>259080</xdr:rowOff>
        </xdr:from>
        <xdr:to>
          <xdr:col>6</xdr:col>
          <xdr:colOff>45720</xdr:colOff>
          <xdr:row>27</xdr:row>
          <xdr:rowOff>220980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00000000-0008-0000-0000-00001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27</xdr:row>
          <xdr:rowOff>251460</xdr:rowOff>
        </xdr:from>
        <xdr:to>
          <xdr:col>6</xdr:col>
          <xdr:colOff>45720</xdr:colOff>
          <xdr:row>28</xdr:row>
          <xdr:rowOff>213360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0000000-0008-0000-0000-00001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32</xdr:row>
          <xdr:rowOff>152400</xdr:rowOff>
        </xdr:from>
        <xdr:to>
          <xdr:col>3</xdr:col>
          <xdr:colOff>22860</xdr:colOff>
          <xdr:row>33</xdr:row>
          <xdr:rowOff>205740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00000000-0008-0000-0000-00001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33</xdr:row>
          <xdr:rowOff>243840</xdr:rowOff>
        </xdr:from>
        <xdr:to>
          <xdr:col>3</xdr:col>
          <xdr:colOff>22860</xdr:colOff>
          <xdr:row>34</xdr:row>
          <xdr:rowOff>205740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  <a:ext uri="{FF2B5EF4-FFF2-40B4-BE49-F238E27FC236}">
                  <a16:creationId xmlns:a16="http://schemas.microsoft.com/office/drawing/2014/main" id="{00000000-0008-0000-0000-00001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</xdr:row>
          <xdr:rowOff>243840</xdr:rowOff>
        </xdr:from>
        <xdr:to>
          <xdr:col>3</xdr:col>
          <xdr:colOff>22860</xdr:colOff>
          <xdr:row>35</xdr:row>
          <xdr:rowOff>205740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  <a:ext uri="{FF2B5EF4-FFF2-40B4-BE49-F238E27FC236}">
                  <a16:creationId xmlns:a16="http://schemas.microsoft.com/office/drawing/2014/main" id="{00000000-0008-0000-0000-00001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32</xdr:row>
          <xdr:rowOff>152400</xdr:rowOff>
        </xdr:from>
        <xdr:to>
          <xdr:col>6</xdr:col>
          <xdr:colOff>45720</xdr:colOff>
          <xdr:row>33</xdr:row>
          <xdr:rowOff>205740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  <a:ext uri="{FF2B5EF4-FFF2-40B4-BE49-F238E27FC236}">
                  <a16:creationId xmlns:a16="http://schemas.microsoft.com/office/drawing/2014/main" id="{00000000-0008-0000-0000-00001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33</xdr:row>
          <xdr:rowOff>243840</xdr:rowOff>
        </xdr:from>
        <xdr:to>
          <xdr:col>6</xdr:col>
          <xdr:colOff>45720</xdr:colOff>
          <xdr:row>34</xdr:row>
          <xdr:rowOff>205740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  <a:ext uri="{FF2B5EF4-FFF2-40B4-BE49-F238E27FC236}">
                  <a16:creationId xmlns:a16="http://schemas.microsoft.com/office/drawing/2014/main" id="{00000000-0008-0000-0000-00002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34</xdr:row>
          <xdr:rowOff>243840</xdr:rowOff>
        </xdr:from>
        <xdr:to>
          <xdr:col>6</xdr:col>
          <xdr:colOff>45720</xdr:colOff>
          <xdr:row>35</xdr:row>
          <xdr:rowOff>205740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  <a:ext uri="{FF2B5EF4-FFF2-40B4-BE49-F238E27FC236}">
                  <a16:creationId xmlns:a16="http://schemas.microsoft.com/office/drawing/2014/main" id="{00000000-0008-0000-0000-00002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38</xdr:row>
          <xdr:rowOff>144780</xdr:rowOff>
        </xdr:from>
        <xdr:to>
          <xdr:col>3</xdr:col>
          <xdr:colOff>22860</xdr:colOff>
          <xdr:row>39</xdr:row>
          <xdr:rowOff>198120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  <a:ext uri="{FF2B5EF4-FFF2-40B4-BE49-F238E27FC236}">
                  <a16:creationId xmlns:a16="http://schemas.microsoft.com/office/drawing/2014/main" id="{00000000-0008-0000-0000-00002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39</xdr:row>
          <xdr:rowOff>236220</xdr:rowOff>
        </xdr:from>
        <xdr:to>
          <xdr:col>3</xdr:col>
          <xdr:colOff>22860</xdr:colOff>
          <xdr:row>40</xdr:row>
          <xdr:rowOff>198120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  <a:ext uri="{FF2B5EF4-FFF2-40B4-BE49-F238E27FC236}">
                  <a16:creationId xmlns:a16="http://schemas.microsoft.com/office/drawing/2014/main" id="{00000000-0008-0000-0000-00002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40</xdr:row>
          <xdr:rowOff>236220</xdr:rowOff>
        </xdr:from>
        <xdr:to>
          <xdr:col>3</xdr:col>
          <xdr:colOff>22860</xdr:colOff>
          <xdr:row>41</xdr:row>
          <xdr:rowOff>198120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  <a:ext uri="{FF2B5EF4-FFF2-40B4-BE49-F238E27FC236}">
                  <a16:creationId xmlns:a16="http://schemas.microsoft.com/office/drawing/2014/main" id="{00000000-0008-0000-0000-00002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41</xdr:row>
          <xdr:rowOff>228600</xdr:rowOff>
        </xdr:from>
        <xdr:to>
          <xdr:col>3</xdr:col>
          <xdr:colOff>22860</xdr:colOff>
          <xdr:row>42</xdr:row>
          <xdr:rowOff>190500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  <a:ext uri="{FF2B5EF4-FFF2-40B4-BE49-F238E27FC236}">
                  <a16:creationId xmlns:a16="http://schemas.microsoft.com/office/drawing/2014/main" id="{00000000-0008-0000-0000-00002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228600</xdr:rowOff>
        </xdr:from>
        <xdr:to>
          <xdr:col>3</xdr:col>
          <xdr:colOff>22860</xdr:colOff>
          <xdr:row>43</xdr:row>
          <xdr:rowOff>190500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  <a:ext uri="{FF2B5EF4-FFF2-40B4-BE49-F238E27FC236}">
                  <a16:creationId xmlns:a16="http://schemas.microsoft.com/office/drawing/2014/main" id="{00000000-0008-0000-0000-00002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38</xdr:row>
          <xdr:rowOff>144780</xdr:rowOff>
        </xdr:from>
        <xdr:to>
          <xdr:col>6</xdr:col>
          <xdr:colOff>45720</xdr:colOff>
          <xdr:row>39</xdr:row>
          <xdr:rowOff>198120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  <a:ext uri="{FF2B5EF4-FFF2-40B4-BE49-F238E27FC236}">
                  <a16:creationId xmlns:a16="http://schemas.microsoft.com/office/drawing/2014/main" id="{00000000-0008-0000-0000-00002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39</xdr:row>
          <xdr:rowOff>236220</xdr:rowOff>
        </xdr:from>
        <xdr:to>
          <xdr:col>6</xdr:col>
          <xdr:colOff>45720</xdr:colOff>
          <xdr:row>40</xdr:row>
          <xdr:rowOff>198120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  <a:ext uri="{FF2B5EF4-FFF2-40B4-BE49-F238E27FC236}">
                  <a16:creationId xmlns:a16="http://schemas.microsoft.com/office/drawing/2014/main" id="{00000000-0008-0000-0000-00002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40</xdr:row>
          <xdr:rowOff>236220</xdr:rowOff>
        </xdr:from>
        <xdr:to>
          <xdr:col>6</xdr:col>
          <xdr:colOff>45720</xdr:colOff>
          <xdr:row>41</xdr:row>
          <xdr:rowOff>198120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  <a:ext uri="{FF2B5EF4-FFF2-40B4-BE49-F238E27FC236}">
                  <a16:creationId xmlns:a16="http://schemas.microsoft.com/office/drawing/2014/main" id="{00000000-0008-0000-0000-00002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41</xdr:row>
          <xdr:rowOff>228600</xdr:rowOff>
        </xdr:from>
        <xdr:to>
          <xdr:col>6</xdr:col>
          <xdr:colOff>45720</xdr:colOff>
          <xdr:row>42</xdr:row>
          <xdr:rowOff>190500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  <a:ext uri="{FF2B5EF4-FFF2-40B4-BE49-F238E27FC236}">
                  <a16:creationId xmlns:a16="http://schemas.microsoft.com/office/drawing/2014/main" id="{00000000-0008-0000-0000-00002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42</xdr:row>
          <xdr:rowOff>228600</xdr:rowOff>
        </xdr:from>
        <xdr:to>
          <xdr:col>6</xdr:col>
          <xdr:colOff>45720</xdr:colOff>
          <xdr:row>43</xdr:row>
          <xdr:rowOff>190500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  <a:ext uri="{FF2B5EF4-FFF2-40B4-BE49-F238E27FC236}">
                  <a16:creationId xmlns:a16="http://schemas.microsoft.com/office/drawing/2014/main" id="{00000000-0008-0000-0000-00002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46</xdr:row>
          <xdr:rowOff>129540</xdr:rowOff>
        </xdr:from>
        <xdr:to>
          <xdr:col>3</xdr:col>
          <xdr:colOff>22860</xdr:colOff>
          <xdr:row>47</xdr:row>
          <xdr:rowOff>182880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  <a:ext uri="{FF2B5EF4-FFF2-40B4-BE49-F238E27FC236}">
                  <a16:creationId xmlns:a16="http://schemas.microsoft.com/office/drawing/2014/main" id="{00000000-0008-0000-0000-00002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48</xdr:row>
          <xdr:rowOff>99060</xdr:rowOff>
        </xdr:from>
        <xdr:to>
          <xdr:col>3</xdr:col>
          <xdr:colOff>30480</xdr:colOff>
          <xdr:row>49</xdr:row>
          <xdr:rowOff>60960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  <a:ext uri="{FF2B5EF4-FFF2-40B4-BE49-F238E27FC236}">
                  <a16:creationId xmlns:a16="http://schemas.microsoft.com/office/drawing/2014/main" id="{00000000-0008-0000-0000-00002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49</xdr:row>
          <xdr:rowOff>213360</xdr:rowOff>
        </xdr:from>
        <xdr:to>
          <xdr:col>3</xdr:col>
          <xdr:colOff>22860</xdr:colOff>
          <xdr:row>50</xdr:row>
          <xdr:rowOff>175260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  <a:ext uri="{FF2B5EF4-FFF2-40B4-BE49-F238E27FC236}">
                  <a16:creationId xmlns:a16="http://schemas.microsoft.com/office/drawing/2014/main" id="{00000000-0008-0000-0000-00002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50</xdr:row>
          <xdr:rowOff>213360</xdr:rowOff>
        </xdr:from>
        <xdr:to>
          <xdr:col>3</xdr:col>
          <xdr:colOff>22860</xdr:colOff>
          <xdr:row>51</xdr:row>
          <xdr:rowOff>175260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  <a:ext uri="{FF2B5EF4-FFF2-40B4-BE49-F238E27FC236}">
                  <a16:creationId xmlns:a16="http://schemas.microsoft.com/office/drawing/2014/main" id="{00000000-0008-0000-0000-00002F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46</xdr:row>
          <xdr:rowOff>129540</xdr:rowOff>
        </xdr:from>
        <xdr:to>
          <xdr:col>6</xdr:col>
          <xdr:colOff>45720</xdr:colOff>
          <xdr:row>47</xdr:row>
          <xdr:rowOff>182880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  <a:ext uri="{FF2B5EF4-FFF2-40B4-BE49-F238E27FC236}">
                  <a16:creationId xmlns:a16="http://schemas.microsoft.com/office/drawing/2014/main" id="{00000000-0008-0000-0000-000030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47</xdr:row>
          <xdr:rowOff>220980</xdr:rowOff>
        </xdr:from>
        <xdr:to>
          <xdr:col>6</xdr:col>
          <xdr:colOff>45720</xdr:colOff>
          <xdr:row>48</xdr:row>
          <xdr:rowOff>182880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  <a:ext uri="{FF2B5EF4-FFF2-40B4-BE49-F238E27FC236}">
                  <a16:creationId xmlns:a16="http://schemas.microsoft.com/office/drawing/2014/main" id="{00000000-0008-0000-0000-00003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48</xdr:row>
          <xdr:rowOff>220980</xdr:rowOff>
        </xdr:from>
        <xdr:to>
          <xdr:col>6</xdr:col>
          <xdr:colOff>45720</xdr:colOff>
          <xdr:row>49</xdr:row>
          <xdr:rowOff>182880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  <a:ext uri="{FF2B5EF4-FFF2-40B4-BE49-F238E27FC236}">
                  <a16:creationId xmlns:a16="http://schemas.microsoft.com/office/drawing/2014/main" id="{00000000-0008-0000-0000-00003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49</xdr:row>
          <xdr:rowOff>213360</xdr:rowOff>
        </xdr:from>
        <xdr:to>
          <xdr:col>6</xdr:col>
          <xdr:colOff>45720</xdr:colOff>
          <xdr:row>50</xdr:row>
          <xdr:rowOff>175260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  <a:ext uri="{FF2B5EF4-FFF2-40B4-BE49-F238E27FC236}">
                  <a16:creationId xmlns:a16="http://schemas.microsoft.com/office/drawing/2014/main" id="{00000000-0008-0000-0000-00003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47625</xdr:rowOff>
    </xdr:from>
    <xdr:to>
      <xdr:col>4</xdr:col>
      <xdr:colOff>1743076</xdr:colOff>
      <xdr:row>0</xdr:row>
      <xdr:rowOff>704850</xdr:rowOff>
    </xdr:to>
    <xdr:sp macro="" textlink="">
      <xdr:nvSpPr>
        <xdr:cNvPr id="8" name="雲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4301" y="47625"/>
          <a:ext cx="5695950" cy="657225"/>
        </a:xfrm>
        <a:prstGeom prst="cloudCallout">
          <a:avLst>
            <a:gd name="adj1" fmla="val -19889"/>
            <a:gd name="adj2" fmla="val 79891"/>
          </a:avLst>
        </a:prstGeom>
        <a:solidFill>
          <a:srgbClr val="FF0066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P創英角ﾎﾟｯﾌﾟ体" pitchFamily="50" charset="-128"/>
              <a:ea typeface="HGP創英角ﾎﾟｯﾌﾟ体" pitchFamily="50" charset="-128"/>
            </a:rPr>
            <a:t>子どもを理解するための</a:t>
          </a:r>
        </a:p>
      </xdr:txBody>
    </xdr:sp>
    <xdr:clientData/>
  </xdr:twoCellAnchor>
  <xdr:twoCellAnchor editAs="oneCell">
    <xdr:from>
      <xdr:col>4</xdr:col>
      <xdr:colOff>1771650</xdr:colOff>
      <xdr:row>0</xdr:row>
      <xdr:rowOff>123825</xdr:rowOff>
    </xdr:from>
    <xdr:to>
      <xdr:col>5</xdr:col>
      <xdr:colOff>1905</xdr:colOff>
      <xdr:row>1</xdr:row>
      <xdr:rowOff>227330</xdr:rowOff>
    </xdr:to>
    <xdr:pic>
      <xdr:nvPicPr>
        <xdr:cNvPr id="31751" name="Picture 7" descr="C:\Users\y.ikd29\AppData\Local\Microsoft\Windows\Temporary Internet Files\Content.IE5\1A5QNAXA\MC900446306[1].wmf">
          <a:extLst>
            <a:ext uri="{FF2B5EF4-FFF2-40B4-BE49-F238E27FC236}">
              <a16:creationId xmlns:a16="http://schemas.microsoft.com/office/drawing/2014/main" id="{00000000-0008-0000-0100-000007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8825" y="123825"/>
          <a:ext cx="866775" cy="87503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</xdr:colOff>
      <xdr:row>0</xdr:row>
      <xdr:rowOff>47625</xdr:rowOff>
    </xdr:from>
    <xdr:to>
      <xdr:col>4</xdr:col>
      <xdr:colOff>1743075</xdr:colOff>
      <xdr:row>0</xdr:row>
      <xdr:rowOff>704850</xdr:rowOff>
    </xdr:to>
    <xdr:sp macro="" textlink="">
      <xdr:nvSpPr>
        <xdr:cNvPr id="2" name="雲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672" y="47625"/>
          <a:ext cx="5773341" cy="657225"/>
        </a:xfrm>
        <a:prstGeom prst="cloudCallout">
          <a:avLst>
            <a:gd name="adj1" fmla="val -22565"/>
            <a:gd name="adj2" fmla="val 66848"/>
          </a:avLst>
        </a:prstGeom>
        <a:solidFill>
          <a:srgbClr val="00B050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P創英角ﾎﾟｯﾌﾟ体" pitchFamily="50" charset="-128"/>
              <a:ea typeface="HGP創英角ﾎﾟｯﾌﾟ体" pitchFamily="50" charset="-128"/>
            </a:rPr>
            <a:t>子どもを理解するための</a:t>
          </a:r>
        </a:p>
      </xdr:txBody>
    </xdr:sp>
    <xdr:clientData/>
  </xdr:twoCellAnchor>
  <xdr:twoCellAnchor editAs="oneCell">
    <xdr:from>
      <xdr:col>4</xdr:col>
      <xdr:colOff>1583532</xdr:colOff>
      <xdr:row>0</xdr:row>
      <xdr:rowOff>309562</xdr:rowOff>
    </xdr:from>
    <xdr:to>
      <xdr:col>4</xdr:col>
      <xdr:colOff>2599384</xdr:colOff>
      <xdr:row>1</xdr:row>
      <xdr:rowOff>345281</xdr:rowOff>
    </xdr:to>
    <xdr:pic>
      <xdr:nvPicPr>
        <xdr:cNvPr id="35842" name="Picture 2" descr="C:\Users\y.ikd29\AppData\Local\Microsoft\Windows\Temporary Internet Files\Content.IE5\W9Y44S9F\MC900222287[1].wmf">
          <a:extLst>
            <a:ext uri="{FF2B5EF4-FFF2-40B4-BE49-F238E27FC236}">
              <a16:creationId xmlns:a16="http://schemas.microsoft.com/office/drawing/2014/main" id="{00000000-0008-0000-0200-000002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55470" y="309562"/>
          <a:ext cx="1061572" cy="809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47625</xdr:rowOff>
    </xdr:from>
    <xdr:to>
      <xdr:col>4</xdr:col>
      <xdr:colOff>1743075</xdr:colOff>
      <xdr:row>0</xdr:row>
      <xdr:rowOff>704850</xdr:rowOff>
    </xdr:to>
    <xdr:sp macro="" textlink="">
      <xdr:nvSpPr>
        <xdr:cNvPr id="2" name="雲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7650" y="47625"/>
          <a:ext cx="5715000" cy="657225"/>
        </a:xfrm>
        <a:prstGeom prst="cloudCallout">
          <a:avLst>
            <a:gd name="adj1" fmla="val -22565"/>
            <a:gd name="adj2" fmla="val 66848"/>
          </a:avLst>
        </a:prstGeom>
        <a:solidFill>
          <a:schemeClr val="tx2">
            <a:lumMod val="60000"/>
            <a:lumOff val="40000"/>
          </a:schemeClr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P創英角ﾎﾟｯﾌﾟ体" pitchFamily="50" charset="-128"/>
              <a:ea typeface="HGP創英角ﾎﾟｯﾌﾟ体" pitchFamily="50" charset="-128"/>
            </a:rPr>
            <a:t>子どもを理解するための</a:t>
          </a:r>
        </a:p>
      </xdr:txBody>
    </xdr:sp>
    <xdr:clientData/>
  </xdr:twoCellAnchor>
  <xdr:twoCellAnchor editAs="oneCell">
    <xdr:from>
      <xdr:col>4</xdr:col>
      <xdr:colOff>1133475</xdr:colOff>
      <xdr:row>0</xdr:row>
      <xdr:rowOff>533400</xdr:rowOff>
    </xdr:from>
    <xdr:to>
      <xdr:col>4</xdr:col>
      <xdr:colOff>2594610</xdr:colOff>
      <xdr:row>1</xdr:row>
      <xdr:rowOff>314324</xdr:rowOff>
    </xdr:to>
    <xdr:pic>
      <xdr:nvPicPr>
        <xdr:cNvPr id="33794" name="Picture 2" descr="C:\Users\y.ikd29\AppData\Local\Microsoft\Windows\Temporary Internet Files\Content.IE5\DY7XERWM\MC900438465[1].jpg">
          <a:extLst>
            <a:ext uri="{FF2B5EF4-FFF2-40B4-BE49-F238E27FC236}">
              <a16:creationId xmlns:a16="http://schemas.microsoft.com/office/drawing/2014/main" id="{00000000-0008-0000-03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533400"/>
          <a:ext cx="1666875" cy="5524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4</xdr:col>
      <xdr:colOff>1743076</xdr:colOff>
      <xdr:row>0</xdr:row>
      <xdr:rowOff>704850</xdr:rowOff>
    </xdr:to>
    <xdr:sp macro="" textlink="">
      <xdr:nvSpPr>
        <xdr:cNvPr id="3" name="雲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8101" y="47625"/>
          <a:ext cx="5695950" cy="657225"/>
        </a:xfrm>
        <a:prstGeom prst="cloudCallout">
          <a:avLst>
            <a:gd name="adj1" fmla="val -22565"/>
            <a:gd name="adj2" fmla="val 66848"/>
          </a:avLst>
        </a:prstGeom>
        <a:solidFill>
          <a:srgbClr val="FF9900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P創英角ﾎﾟｯﾌﾟ体" pitchFamily="50" charset="-128"/>
              <a:ea typeface="HGP創英角ﾎﾟｯﾌﾟ体" pitchFamily="50" charset="-128"/>
            </a:rPr>
            <a:t>子どもを理解するための</a:t>
          </a:r>
        </a:p>
      </xdr:txBody>
    </xdr:sp>
    <xdr:clientData/>
  </xdr:twoCellAnchor>
  <xdr:twoCellAnchor editAs="oneCell">
    <xdr:from>
      <xdr:col>4</xdr:col>
      <xdr:colOff>1447800</xdr:colOff>
      <xdr:row>0</xdr:row>
      <xdr:rowOff>390525</xdr:rowOff>
    </xdr:from>
    <xdr:to>
      <xdr:col>4</xdr:col>
      <xdr:colOff>2410786</xdr:colOff>
      <xdr:row>1</xdr:row>
      <xdr:rowOff>342900</xdr:rowOff>
    </xdr:to>
    <xdr:pic>
      <xdr:nvPicPr>
        <xdr:cNvPr id="4" name="Picture 6" descr="C:\Users\y.ikd29\AppData\Local\Microsoft\Windows\Temporary Internet Files\Content.IE5\W9Y44S9F\MC900446304[1].wmf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6875" y="390525"/>
          <a:ext cx="962986" cy="7239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47625</xdr:rowOff>
    </xdr:from>
    <xdr:to>
      <xdr:col>4</xdr:col>
      <xdr:colOff>1895475</xdr:colOff>
      <xdr:row>1</xdr:row>
      <xdr:rowOff>66675</xdr:rowOff>
    </xdr:to>
    <xdr:sp macro="" textlink="">
      <xdr:nvSpPr>
        <xdr:cNvPr id="2" name="雲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6675" y="47625"/>
          <a:ext cx="5743575" cy="685800"/>
        </a:xfrm>
        <a:prstGeom prst="cloudCallout">
          <a:avLst>
            <a:gd name="adj1" fmla="val -29924"/>
            <a:gd name="adj2" fmla="val 64070"/>
          </a:avLst>
        </a:prstGeom>
        <a:solidFill>
          <a:schemeClr val="accent4">
            <a:lumMod val="50000"/>
          </a:schemeClr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latin typeface="HGP創英角ﾎﾟｯﾌﾟ体" pitchFamily="50" charset="-128"/>
              <a:ea typeface="HGP創英角ﾎﾟｯﾌﾟ体" pitchFamily="50" charset="-128"/>
            </a:rPr>
            <a:t>子どもを理解するための</a:t>
          </a:r>
        </a:p>
      </xdr:txBody>
    </xdr:sp>
    <xdr:clientData/>
  </xdr:twoCellAnchor>
  <xdr:twoCellAnchor editAs="oneCell">
    <xdr:from>
      <xdr:col>4</xdr:col>
      <xdr:colOff>1152526</xdr:colOff>
      <xdr:row>0</xdr:row>
      <xdr:rowOff>428626</xdr:rowOff>
    </xdr:from>
    <xdr:to>
      <xdr:col>4</xdr:col>
      <xdr:colOff>2593976</xdr:colOff>
      <xdr:row>1</xdr:row>
      <xdr:rowOff>390526</xdr:rowOff>
    </xdr:to>
    <xdr:pic>
      <xdr:nvPicPr>
        <xdr:cNvPr id="32769" name="Picture 1" descr="C:\Users\y.ikd29\AppData\Local\Microsoft\Windows\Temporary Internet Files\Content.IE5\Q3UA9F6W\MC900223233[1].wmf">
          <a:extLst>
            <a:ext uri="{FF2B5EF4-FFF2-40B4-BE49-F238E27FC236}">
              <a16:creationId xmlns:a16="http://schemas.microsoft.com/office/drawing/2014/main" id="{00000000-0008-0000-05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01" y="428626"/>
          <a:ext cx="1441450" cy="628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5050"/>
  </sheetPr>
  <dimension ref="A1:G55"/>
  <sheetViews>
    <sheetView topLeftCell="A5" zoomScaleNormal="100" workbookViewId="0">
      <selection activeCell="G22" sqref="G22"/>
    </sheetView>
  </sheetViews>
  <sheetFormatPr defaultRowHeight="13.2" x14ac:dyDescent="0.2"/>
  <cols>
    <col min="1" max="1" width="14" customWidth="1"/>
    <col min="2" max="2" width="0.77734375" customWidth="1"/>
    <col min="3" max="3" width="3.88671875" customWidth="1"/>
    <col min="4" max="4" width="31.21875" customWidth="1"/>
    <col min="5" max="5" width="0.6640625" customWidth="1"/>
    <col min="6" max="6" width="3.6640625" customWidth="1"/>
    <col min="7" max="7" width="33.33203125" customWidth="1"/>
    <col min="9" max="9" width="4.33203125" customWidth="1"/>
  </cols>
  <sheetData>
    <row r="1" spans="1:7" ht="54.75" customHeight="1" x14ac:dyDescent="0.2">
      <c r="A1" s="78" t="s">
        <v>69</v>
      </c>
      <c r="B1" s="79"/>
      <c r="C1" s="79"/>
      <c r="D1" s="79"/>
      <c r="E1" s="79"/>
      <c r="F1" s="79"/>
      <c r="G1" s="2"/>
    </row>
    <row r="2" spans="1:7" ht="9.75" customHeight="1" thickBot="1" x14ac:dyDescent="0.25">
      <c r="A2" s="2"/>
      <c r="B2" s="2"/>
      <c r="C2" s="2"/>
      <c r="D2" s="2"/>
      <c r="E2" s="2"/>
      <c r="F2" s="2"/>
      <c r="G2" s="3"/>
    </row>
    <row r="3" spans="1:7" ht="24" customHeight="1" thickBot="1" x14ac:dyDescent="0.25">
      <c r="A3" s="2"/>
      <c r="B3" s="2"/>
      <c r="C3" s="2"/>
      <c r="D3" s="4" t="s">
        <v>4</v>
      </c>
      <c r="E3" s="2"/>
      <c r="F3" s="2"/>
      <c r="G3" s="2"/>
    </row>
    <row r="4" spans="1:7" ht="19.5" customHeight="1" x14ac:dyDescent="0.2">
      <c r="A4" s="2"/>
      <c r="B4" s="2"/>
      <c r="C4" s="2" t="s">
        <v>8</v>
      </c>
      <c r="D4" s="5"/>
      <c r="E4" s="2"/>
      <c r="F4" s="2" t="s">
        <v>9</v>
      </c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 t="s">
        <v>7</v>
      </c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 t="s">
        <v>5</v>
      </c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 t="s">
        <v>6</v>
      </c>
    </row>
    <row r="13" spans="1:7" x14ac:dyDescent="0.2">
      <c r="A13" s="2"/>
      <c r="B13" s="2"/>
      <c r="C13" s="2"/>
      <c r="D13" s="2"/>
      <c r="E13" s="2"/>
      <c r="F13" s="2"/>
      <c r="G13" s="2"/>
    </row>
    <row r="14" spans="1:7" x14ac:dyDescent="0.2">
      <c r="A14" s="2"/>
      <c r="B14" s="2"/>
      <c r="C14" s="2"/>
      <c r="D14" s="2"/>
      <c r="E14" s="2"/>
      <c r="F14" s="2"/>
      <c r="G14" s="2"/>
    </row>
    <row r="15" spans="1:7" ht="63.75" customHeight="1" thickBot="1" x14ac:dyDescent="0.25">
      <c r="A15" s="80" t="s">
        <v>60</v>
      </c>
      <c r="B15" s="86"/>
      <c r="C15" s="86"/>
      <c r="D15" s="86"/>
      <c r="E15" s="86"/>
      <c r="F15" s="86"/>
      <c r="G15" s="86"/>
    </row>
    <row r="16" spans="1:7" ht="19.5" customHeight="1" thickBot="1" x14ac:dyDescent="0.25">
      <c r="A16" s="8" t="s">
        <v>0</v>
      </c>
      <c r="B16" s="9"/>
      <c r="C16" s="87" t="s">
        <v>3</v>
      </c>
      <c r="D16" s="87"/>
      <c r="E16" s="87"/>
      <c r="F16" s="87"/>
      <c r="G16" s="88"/>
    </row>
    <row r="17" spans="1:7" ht="28.5" customHeight="1" x14ac:dyDescent="0.2">
      <c r="A17" s="92" t="s">
        <v>46</v>
      </c>
      <c r="B17" s="10"/>
      <c r="C17" s="10"/>
      <c r="D17" s="10" t="s">
        <v>54</v>
      </c>
      <c r="E17" s="10"/>
      <c r="F17" s="10"/>
      <c r="G17" s="12" t="s">
        <v>43</v>
      </c>
    </row>
    <row r="18" spans="1:7" ht="28.5" customHeight="1" x14ac:dyDescent="0.2">
      <c r="A18" s="93"/>
      <c r="B18" s="22"/>
      <c r="C18" s="22"/>
      <c r="D18" s="23" t="s">
        <v>59</v>
      </c>
      <c r="E18" s="22"/>
      <c r="F18" s="22"/>
      <c r="G18" s="12" t="s">
        <v>18</v>
      </c>
    </row>
    <row r="19" spans="1:7" ht="28.5" customHeight="1" x14ac:dyDescent="0.2">
      <c r="A19" s="93"/>
      <c r="B19" s="22"/>
      <c r="C19" s="22"/>
      <c r="D19" s="23" t="s">
        <v>11</v>
      </c>
      <c r="E19" s="22"/>
      <c r="F19" s="22"/>
      <c r="G19" s="12" t="s">
        <v>17</v>
      </c>
    </row>
    <row r="20" spans="1:7" ht="28.5" customHeight="1" x14ac:dyDescent="0.2">
      <c r="A20" s="93"/>
      <c r="B20" s="22"/>
      <c r="C20" s="22"/>
      <c r="D20" s="23" t="s">
        <v>61</v>
      </c>
      <c r="E20" s="22"/>
      <c r="F20" s="22"/>
      <c r="G20" s="12" t="s">
        <v>51</v>
      </c>
    </row>
    <row r="21" spans="1:7" ht="28.5" customHeight="1" x14ac:dyDescent="0.2">
      <c r="A21" s="93"/>
      <c r="B21" s="23"/>
      <c r="C21" s="23"/>
      <c r="D21" s="23"/>
      <c r="E21" s="28"/>
      <c r="F21" s="23"/>
      <c r="G21" s="12" t="s">
        <v>39</v>
      </c>
    </row>
    <row r="22" spans="1:7" ht="28.5" customHeight="1" thickBot="1" x14ac:dyDescent="0.25">
      <c r="A22" s="94"/>
      <c r="B22" s="13"/>
      <c r="C22" s="17"/>
      <c r="D22" s="17"/>
      <c r="E22" s="17"/>
      <c r="F22" s="17"/>
      <c r="G22" s="20"/>
    </row>
    <row r="23" spans="1:7" ht="16.5" customHeight="1" thickBot="1" x14ac:dyDescent="0.25">
      <c r="A23" s="1"/>
      <c r="B23" s="1"/>
      <c r="C23" s="1"/>
      <c r="D23" s="1"/>
      <c r="E23" s="1"/>
      <c r="F23" s="1"/>
      <c r="G23" s="1"/>
    </row>
    <row r="24" spans="1:7" ht="19.5" customHeight="1" thickBot="1" x14ac:dyDescent="0.25">
      <c r="A24" s="8" t="s">
        <v>0</v>
      </c>
      <c r="B24" s="9"/>
      <c r="C24" s="87" t="s">
        <v>3</v>
      </c>
      <c r="D24" s="87"/>
      <c r="E24" s="87"/>
      <c r="F24" s="87"/>
      <c r="G24" s="88"/>
    </row>
    <row r="25" spans="1:7" ht="28.5" customHeight="1" x14ac:dyDescent="0.2">
      <c r="A25" s="95" t="s">
        <v>47</v>
      </c>
      <c r="B25" s="10"/>
      <c r="C25" s="10"/>
      <c r="D25" s="10" t="s">
        <v>62</v>
      </c>
      <c r="E25" s="10"/>
      <c r="F25" s="10"/>
      <c r="G25" s="11" t="s">
        <v>32</v>
      </c>
    </row>
    <row r="26" spans="1:7" ht="28.5" customHeight="1" x14ac:dyDescent="0.2">
      <c r="A26" s="96"/>
      <c r="B26" s="22"/>
      <c r="C26" s="22"/>
      <c r="D26" s="23" t="s">
        <v>15</v>
      </c>
      <c r="E26" s="22"/>
      <c r="F26" s="22"/>
      <c r="G26" s="12" t="s">
        <v>44</v>
      </c>
    </row>
    <row r="27" spans="1:7" ht="28.5" customHeight="1" x14ac:dyDescent="0.2">
      <c r="A27" s="96"/>
      <c r="B27" s="22"/>
      <c r="C27" s="22"/>
      <c r="D27" s="23" t="s">
        <v>14</v>
      </c>
      <c r="E27" s="22"/>
      <c r="F27" s="22"/>
      <c r="G27" s="12" t="s">
        <v>30</v>
      </c>
    </row>
    <row r="28" spans="1:7" ht="28.5" customHeight="1" x14ac:dyDescent="0.2">
      <c r="A28" s="96"/>
      <c r="B28" s="22"/>
      <c r="C28" s="22"/>
      <c r="D28" s="23" t="s">
        <v>16</v>
      </c>
      <c r="E28" s="22"/>
      <c r="F28" s="22"/>
      <c r="G28" s="12" t="s">
        <v>29</v>
      </c>
    </row>
    <row r="29" spans="1:7" ht="28.5" customHeight="1" x14ac:dyDescent="0.2">
      <c r="A29" s="96"/>
      <c r="B29" s="22"/>
      <c r="C29" s="22"/>
      <c r="D29" s="23" t="s">
        <v>12</v>
      </c>
      <c r="E29" s="18"/>
      <c r="F29" s="22"/>
      <c r="G29" s="12" t="s">
        <v>53</v>
      </c>
    </row>
    <row r="30" spans="1:7" ht="28.5" customHeight="1" x14ac:dyDescent="0.2">
      <c r="A30" s="96"/>
      <c r="B30" s="24"/>
      <c r="C30" s="23"/>
      <c r="D30" s="23" t="s">
        <v>13</v>
      </c>
      <c r="E30" s="28"/>
      <c r="F30" s="23"/>
      <c r="G30" s="12" t="s">
        <v>10</v>
      </c>
    </row>
    <row r="31" spans="1:7" ht="28.5" customHeight="1" thickBot="1" x14ac:dyDescent="0.25">
      <c r="A31" s="97"/>
      <c r="B31" s="17"/>
      <c r="C31" s="17"/>
      <c r="D31" s="17"/>
      <c r="E31" s="26"/>
      <c r="F31" s="17"/>
      <c r="G31" s="20"/>
    </row>
    <row r="32" spans="1:7" ht="16.5" customHeight="1" thickBot="1" x14ac:dyDescent="0.25">
      <c r="A32" s="1"/>
      <c r="B32" s="1"/>
      <c r="C32" s="1"/>
      <c r="D32" s="1"/>
      <c r="E32" s="1"/>
      <c r="F32" s="1"/>
      <c r="G32" s="1"/>
    </row>
    <row r="33" spans="1:7" ht="19.5" customHeight="1" thickBot="1" x14ac:dyDescent="0.25">
      <c r="A33" s="8" t="s">
        <v>0</v>
      </c>
      <c r="B33" s="9"/>
      <c r="C33" s="87" t="s">
        <v>3</v>
      </c>
      <c r="D33" s="87"/>
      <c r="E33" s="87"/>
      <c r="F33" s="87"/>
      <c r="G33" s="88"/>
    </row>
    <row r="34" spans="1:7" ht="28.5" customHeight="1" x14ac:dyDescent="0.2">
      <c r="A34" s="76" t="s">
        <v>48</v>
      </c>
      <c r="B34" s="22"/>
      <c r="C34" s="22"/>
      <c r="D34" s="22" t="s">
        <v>19</v>
      </c>
      <c r="E34" s="22"/>
      <c r="F34" s="22"/>
      <c r="G34" s="16" t="s">
        <v>27</v>
      </c>
    </row>
    <row r="35" spans="1:7" ht="28.5" customHeight="1" x14ac:dyDescent="0.2">
      <c r="A35" s="76"/>
      <c r="B35" s="23"/>
      <c r="C35" s="23"/>
      <c r="D35" s="23" t="s">
        <v>40</v>
      </c>
      <c r="E35" s="23"/>
      <c r="F35" s="23"/>
      <c r="G35" s="12" t="s">
        <v>31</v>
      </c>
    </row>
    <row r="36" spans="1:7" ht="28.5" customHeight="1" x14ac:dyDescent="0.2">
      <c r="A36" s="76"/>
      <c r="B36" s="23"/>
      <c r="C36" s="23"/>
      <c r="D36" s="23" t="s">
        <v>33</v>
      </c>
      <c r="E36" s="23"/>
      <c r="F36" s="23"/>
      <c r="G36" s="16" t="s">
        <v>38</v>
      </c>
    </row>
    <row r="37" spans="1:7" ht="28.5" customHeight="1" thickBot="1" x14ac:dyDescent="0.25">
      <c r="A37" s="77"/>
      <c r="B37" s="13"/>
      <c r="C37" s="13"/>
      <c r="D37" s="29"/>
      <c r="E37" s="13"/>
      <c r="F37" s="13"/>
      <c r="G37" s="30"/>
    </row>
    <row r="38" spans="1:7" ht="16.5" customHeight="1" thickBot="1" x14ac:dyDescent="0.25">
      <c r="A38" s="1"/>
      <c r="B38" s="1"/>
      <c r="C38" s="1"/>
      <c r="D38" s="1"/>
      <c r="E38" s="1"/>
      <c r="F38" s="1"/>
      <c r="G38" s="1"/>
    </row>
    <row r="39" spans="1:7" ht="19.5" customHeight="1" thickBot="1" x14ac:dyDescent="0.25">
      <c r="A39" s="8" t="s">
        <v>0</v>
      </c>
      <c r="B39" s="9"/>
      <c r="C39" s="87" t="s">
        <v>3</v>
      </c>
      <c r="D39" s="87"/>
      <c r="E39" s="87"/>
      <c r="F39" s="87"/>
      <c r="G39" s="88"/>
    </row>
    <row r="40" spans="1:7" ht="28.5" customHeight="1" x14ac:dyDescent="0.2">
      <c r="A40" s="89" t="s">
        <v>2</v>
      </c>
      <c r="B40" s="10"/>
      <c r="C40" s="10"/>
      <c r="D40" s="10" t="s">
        <v>21</v>
      </c>
      <c r="E40" s="15"/>
      <c r="F40" s="10"/>
      <c r="G40" s="27" t="s">
        <v>57</v>
      </c>
    </row>
    <row r="41" spans="1:7" ht="28.5" customHeight="1" x14ac:dyDescent="0.2">
      <c r="A41" s="90"/>
      <c r="B41" s="22"/>
      <c r="C41" s="22"/>
      <c r="D41" s="22" t="s">
        <v>22</v>
      </c>
      <c r="E41" s="22"/>
      <c r="F41" s="22"/>
      <c r="G41" s="12" t="s">
        <v>24</v>
      </c>
    </row>
    <row r="42" spans="1:7" ht="28.5" customHeight="1" x14ac:dyDescent="0.2">
      <c r="A42" s="90"/>
      <c r="B42" s="22"/>
      <c r="C42" s="22"/>
      <c r="D42" s="22" t="s">
        <v>23</v>
      </c>
      <c r="E42" s="22"/>
      <c r="F42" s="22"/>
      <c r="G42" s="16" t="s">
        <v>58</v>
      </c>
    </row>
    <row r="43" spans="1:7" ht="28.5" customHeight="1" x14ac:dyDescent="0.2">
      <c r="A43" s="90"/>
      <c r="B43" s="22"/>
      <c r="C43" s="22"/>
      <c r="D43" s="22" t="s">
        <v>1</v>
      </c>
      <c r="E43" s="22"/>
      <c r="F43" s="22"/>
      <c r="G43" s="16" t="s">
        <v>25</v>
      </c>
    </row>
    <row r="44" spans="1:7" ht="28.5" customHeight="1" x14ac:dyDescent="0.2">
      <c r="A44" s="90"/>
      <c r="B44" s="22"/>
      <c r="C44" s="22"/>
      <c r="D44" s="22" t="s">
        <v>35</v>
      </c>
      <c r="E44" s="22"/>
      <c r="F44" s="22"/>
      <c r="G44" s="12" t="s">
        <v>41</v>
      </c>
    </row>
    <row r="45" spans="1:7" ht="28.5" customHeight="1" thickBot="1" x14ac:dyDescent="0.25">
      <c r="A45" s="91"/>
      <c r="B45" s="17"/>
      <c r="C45" s="17"/>
      <c r="D45" s="13"/>
      <c r="E45" s="17"/>
      <c r="F45" s="17"/>
      <c r="G45" s="14"/>
    </row>
    <row r="46" spans="1:7" ht="16.5" customHeight="1" thickBot="1" x14ac:dyDescent="0.25">
      <c r="A46" s="1"/>
      <c r="B46" s="1"/>
      <c r="C46" s="1"/>
      <c r="D46" s="1"/>
      <c r="E46" s="1"/>
      <c r="F46" s="1"/>
      <c r="G46" s="1"/>
    </row>
    <row r="47" spans="1:7" ht="19.5" customHeight="1" thickBot="1" x14ac:dyDescent="0.25">
      <c r="A47" s="8" t="s">
        <v>0</v>
      </c>
      <c r="B47" s="9"/>
      <c r="C47" s="87" t="s">
        <v>3</v>
      </c>
      <c r="D47" s="87"/>
      <c r="E47" s="87"/>
      <c r="F47" s="87"/>
      <c r="G47" s="88"/>
    </row>
    <row r="48" spans="1:7" ht="28.5" customHeight="1" x14ac:dyDescent="0.2">
      <c r="A48" s="82" t="s">
        <v>49</v>
      </c>
      <c r="B48" s="21"/>
      <c r="C48" s="21"/>
      <c r="D48" s="21" t="s">
        <v>52</v>
      </c>
      <c r="E48" s="10"/>
      <c r="F48" s="10"/>
      <c r="G48" s="11" t="s">
        <v>55</v>
      </c>
    </row>
    <row r="49" spans="1:7" ht="28.5" customHeight="1" x14ac:dyDescent="0.2">
      <c r="A49" s="83"/>
      <c r="B49" s="98"/>
      <c r="C49" s="98"/>
      <c r="D49" s="98" t="s">
        <v>42</v>
      </c>
      <c r="E49" s="18"/>
      <c r="F49" s="22"/>
      <c r="G49" s="16" t="s">
        <v>34</v>
      </c>
    </row>
    <row r="50" spans="1:7" ht="28.5" customHeight="1" x14ac:dyDescent="0.2">
      <c r="A50" s="84"/>
      <c r="B50" s="99"/>
      <c r="C50" s="99"/>
      <c r="D50" s="99"/>
      <c r="E50" s="18"/>
      <c r="F50" s="22"/>
      <c r="G50" s="16" t="s">
        <v>56</v>
      </c>
    </row>
    <row r="51" spans="1:7" ht="28.5" customHeight="1" x14ac:dyDescent="0.2">
      <c r="A51" s="84"/>
      <c r="B51" s="22"/>
      <c r="C51" s="22"/>
      <c r="D51" s="22" t="s">
        <v>26</v>
      </c>
      <c r="E51" s="18"/>
      <c r="F51" s="22"/>
      <c r="G51" s="12" t="s">
        <v>20</v>
      </c>
    </row>
    <row r="52" spans="1:7" ht="28.5" customHeight="1" x14ac:dyDescent="0.2">
      <c r="A52" s="84"/>
      <c r="B52" s="24"/>
      <c r="C52" s="25"/>
      <c r="D52" s="23" t="s">
        <v>28</v>
      </c>
      <c r="E52" s="19"/>
      <c r="F52" s="23"/>
      <c r="G52" s="12"/>
    </row>
    <row r="53" spans="1:7" ht="28.5" customHeight="1" thickBot="1" x14ac:dyDescent="0.25">
      <c r="A53" s="85"/>
      <c r="B53" s="17"/>
      <c r="C53" s="17"/>
      <c r="D53" s="17"/>
      <c r="E53" s="17"/>
      <c r="F53" s="17"/>
      <c r="G53" s="20"/>
    </row>
    <row r="54" spans="1:7" ht="12.75" customHeight="1" x14ac:dyDescent="0.2"/>
    <row r="55" spans="1:7" ht="72" customHeight="1" x14ac:dyDescent="0.2">
      <c r="A55" s="80" t="s">
        <v>63</v>
      </c>
      <c r="B55" s="81"/>
      <c r="C55" s="81"/>
      <c r="D55" s="81"/>
      <c r="E55" s="81"/>
      <c r="F55" s="81"/>
      <c r="G55" s="81"/>
    </row>
  </sheetData>
  <sheetProtection password="C7D0" sheet="1" objects="1" scenarios="1"/>
  <mergeCells count="15">
    <mergeCell ref="A1:F1"/>
    <mergeCell ref="A55:G55"/>
    <mergeCell ref="A48:A53"/>
    <mergeCell ref="A15:G15"/>
    <mergeCell ref="C16:G16"/>
    <mergeCell ref="A40:A45"/>
    <mergeCell ref="C39:G39"/>
    <mergeCell ref="C47:G47"/>
    <mergeCell ref="A17:A22"/>
    <mergeCell ref="A25:A31"/>
    <mergeCell ref="C24:G24"/>
    <mergeCell ref="C33:G33"/>
    <mergeCell ref="D49:D50"/>
    <mergeCell ref="C49:C50"/>
    <mergeCell ref="B49:B50"/>
  </mergeCells>
  <phoneticPr fontId="2"/>
  <pageMargins left="0.70866141732283472" right="0.70866141732283472" top="1.1417322834645669" bottom="0.94488188976377963" header="0.31496062992125984" footer="0.31496062992125984"/>
  <pageSetup paperSize="9" scale="98" orientation="portrait" r:id="rId1"/>
  <rowBreaks count="1" manualBreakCount="1">
    <brk id="3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4" r:id="rId4" name="Check Box 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15</xdr:row>
                    <xdr:rowOff>190500</xdr:rowOff>
                  </from>
                  <to>
                    <xdr:col>3</xdr:col>
                    <xdr:colOff>22860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5" name="Check Box 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17</xdr:row>
                    <xdr:rowOff>274320</xdr:rowOff>
                  </from>
                  <to>
                    <xdr:col>3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6" name="Check Box 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18</xdr:row>
                    <xdr:rowOff>274320</xdr:rowOff>
                  </from>
                  <to>
                    <xdr:col>3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7" name="Check Box 10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28</xdr:row>
                    <xdr:rowOff>251460</xdr:rowOff>
                  </from>
                  <to>
                    <xdr:col>6</xdr:col>
                    <xdr:colOff>45720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8" name="Check Box 11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15</xdr:row>
                    <xdr:rowOff>190500</xdr:rowOff>
                  </from>
                  <to>
                    <xdr:col>6</xdr:col>
                    <xdr:colOff>45720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9" name="Check Box 12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16</xdr:row>
                    <xdr:rowOff>274320</xdr:rowOff>
                  </from>
                  <to>
                    <xdr:col>6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0" name="Check Box 13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17</xdr:row>
                    <xdr:rowOff>274320</xdr:rowOff>
                  </from>
                  <to>
                    <xdr:col>6</xdr:col>
                    <xdr:colOff>45720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1" name="Check Box 14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18</xdr:row>
                    <xdr:rowOff>274320</xdr:rowOff>
                  </from>
                  <to>
                    <xdr:col>6</xdr:col>
                    <xdr:colOff>45720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2" name="Check Box 15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19</xdr:row>
                    <xdr:rowOff>266700</xdr:rowOff>
                  </from>
                  <to>
                    <xdr:col>6</xdr:col>
                    <xdr:colOff>45720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3" name="Check Box 1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23</xdr:row>
                    <xdr:rowOff>175260</xdr:rowOff>
                  </from>
                  <to>
                    <xdr:col>3</xdr:col>
                    <xdr:colOff>22860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14" name="Check Box 1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16</xdr:row>
                    <xdr:rowOff>274320</xdr:rowOff>
                  </from>
                  <to>
                    <xdr:col>3</xdr:col>
                    <xdr:colOff>22860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15" name="Check Box 1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24</xdr:row>
                    <xdr:rowOff>259080</xdr:rowOff>
                  </from>
                  <to>
                    <xdr:col>3</xdr:col>
                    <xdr:colOff>22860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16" name="Check Box 1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25</xdr:row>
                    <xdr:rowOff>259080</xdr:rowOff>
                  </from>
                  <to>
                    <xdr:col>3</xdr:col>
                    <xdr:colOff>22860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17" name="Check Box 2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26</xdr:row>
                    <xdr:rowOff>259080</xdr:rowOff>
                  </from>
                  <to>
                    <xdr:col>3</xdr:col>
                    <xdr:colOff>22860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18" name="Check Box 21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27</xdr:row>
                    <xdr:rowOff>251460</xdr:rowOff>
                  </from>
                  <to>
                    <xdr:col>3</xdr:col>
                    <xdr:colOff>22860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19" name="Check Box 22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28</xdr:row>
                    <xdr:rowOff>251460</xdr:rowOff>
                  </from>
                  <to>
                    <xdr:col>3</xdr:col>
                    <xdr:colOff>22860</xdr:colOff>
                    <xdr:row>29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0" name="Check Box 23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23</xdr:row>
                    <xdr:rowOff>175260</xdr:rowOff>
                  </from>
                  <to>
                    <xdr:col>6</xdr:col>
                    <xdr:colOff>45720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1" name="Check Box 24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24</xdr:row>
                    <xdr:rowOff>259080</xdr:rowOff>
                  </from>
                  <to>
                    <xdr:col>6</xdr:col>
                    <xdr:colOff>45720</xdr:colOff>
                    <xdr:row>25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2" name="Check Box 25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25</xdr:row>
                    <xdr:rowOff>259080</xdr:rowOff>
                  </from>
                  <to>
                    <xdr:col>6</xdr:col>
                    <xdr:colOff>45720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3" name="Check Box 26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26</xdr:row>
                    <xdr:rowOff>259080</xdr:rowOff>
                  </from>
                  <to>
                    <xdr:col>6</xdr:col>
                    <xdr:colOff>45720</xdr:colOff>
                    <xdr:row>27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24" name="Check Box 27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27</xdr:row>
                    <xdr:rowOff>251460</xdr:rowOff>
                  </from>
                  <to>
                    <xdr:col>6</xdr:col>
                    <xdr:colOff>45720</xdr:colOff>
                    <xdr:row>28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25" name="Check Box 2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32</xdr:row>
                    <xdr:rowOff>152400</xdr:rowOff>
                  </from>
                  <to>
                    <xdr:col>3</xdr:col>
                    <xdr:colOff>22860</xdr:colOff>
                    <xdr:row>33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26" name="Check Box 29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33</xdr:row>
                    <xdr:rowOff>243840</xdr:rowOff>
                  </from>
                  <to>
                    <xdr:col>3</xdr:col>
                    <xdr:colOff>22860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27" name="Check Box 30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34</xdr:row>
                    <xdr:rowOff>243840</xdr:rowOff>
                  </from>
                  <to>
                    <xdr:col>3</xdr:col>
                    <xdr:colOff>22860</xdr:colOff>
                    <xdr:row>35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28" name="Check Box 31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32</xdr:row>
                    <xdr:rowOff>152400</xdr:rowOff>
                  </from>
                  <to>
                    <xdr:col>6</xdr:col>
                    <xdr:colOff>45720</xdr:colOff>
                    <xdr:row>33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29" name="Check Box 32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33</xdr:row>
                    <xdr:rowOff>243840</xdr:rowOff>
                  </from>
                  <to>
                    <xdr:col>6</xdr:col>
                    <xdr:colOff>45720</xdr:colOff>
                    <xdr:row>34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0" name="Check Box 33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34</xdr:row>
                    <xdr:rowOff>243840</xdr:rowOff>
                  </from>
                  <to>
                    <xdr:col>6</xdr:col>
                    <xdr:colOff>45720</xdr:colOff>
                    <xdr:row>35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1" name="Check Box 3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38</xdr:row>
                    <xdr:rowOff>144780</xdr:rowOff>
                  </from>
                  <to>
                    <xdr:col>3</xdr:col>
                    <xdr:colOff>22860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2" name="Check Box 35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39</xdr:row>
                    <xdr:rowOff>236220</xdr:rowOff>
                  </from>
                  <to>
                    <xdr:col>3</xdr:col>
                    <xdr:colOff>22860</xdr:colOff>
                    <xdr:row>40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3" name="Check Box 3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40</xdr:row>
                    <xdr:rowOff>236220</xdr:rowOff>
                  </from>
                  <to>
                    <xdr:col>3</xdr:col>
                    <xdr:colOff>22860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34" name="Check Box 3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41</xdr:row>
                    <xdr:rowOff>228600</xdr:rowOff>
                  </from>
                  <to>
                    <xdr:col>3</xdr:col>
                    <xdr:colOff>22860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35" name="Check Box 38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42</xdr:row>
                    <xdr:rowOff>228600</xdr:rowOff>
                  </from>
                  <to>
                    <xdr:col>3</xdr:col>
                    <xdr:colOff>22860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36" name="Check Box 39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38</xdr:row>
                    <xdr:rowOff>144780</xdr:rowOff>
                  </from>
                  <to>
                    <xdr:col>6</xdr:col>
                    <xdr:colOff>45720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37" name="Check Box 40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39</xdr:row>
                    <xdr:rowOff>236220</xdr:rowOff>
                  </from>
                  <to>
                    <xdr:col>6</xdr:col>
                    <xdr:colOff>45720</xdr:colOff>
                    <xdr:row>40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38" name="Check Box 41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40</xdr:row>
                    <xdr:rowOff>236220</xdr:rowOff>
                  </from>
                  <to>
                    <xdr:col>6</xdr:col>
                    <xdr:colOff>45720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39" name="Check Box 42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41</xdr:row>
                    <xdr:rowOff>228600</xdr:rowOff>
                  </from>
                  <to>
                    <xdr:col>6</xdr:col>
                    <xdr:colOff>45720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0" name="Check Box 43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42</xdr:row>
                    <xdr:rowOff>228600</xdr:rowOff>
                  </from>
                  <to>
                    <xdr:col>6</xdr:col>
                    <xdr:colOff>45720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1" name="Check Box 44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46</xdr:row>
                    <xdr:rowOff>129540</xdr:rowOff>
                  </from>
                  <to>
                    <xdr:col>3</xdr:col>
                    <xdr:colOff>22860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2" name="Check Box 45">
              <controlPr defaultSize="0" autoFill="0" autoLine="0" autoPict="0" altText="">
                <anchor moveWithCells="1">
                  <from>
                    <xdr:col>2</xdr:col>
                    <xdr:colOff>30480</xdr:colOff>
                    <xdr:row>48</xdr:row>
                    <xdr:rowOff>99060</xdr:rowOff>
                  </from>
                  <to>
                    <xdr:col>3</xdr:col>
                    <xdr:colOff>30480</xdr:colOff>
                    <xdr:row>49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3" name="Check Box 46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49</xdr:row>
                    <xdr:rowOff>213360</xdr:rowOff>
                  </from>
                  <to>
                    <xdr:col>3</xdr:col>
                    <xdr:colOff>22860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44" name="Check Box 47">
              <controlPr defaultSize="0" autoFill="0" autoLine="0" autoPict="0" altText="">
                <anchor moveWithCells="1">
                  <from>
                    <xdr:col>2</xdr:col>
                    <xdr:colOff>22860</xdr:colOff>
                    <xdr:row>50</xdr:row>
                    <xdr:rowOff>213360</xdr:rowOff>
                  </from>
                  <to>
                    <xdr:col>3</xdr:col>
                    <xdr:colOff>22860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45" name="Check Box 48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46</xdr:row>
                    <xdr:rowOff>129540</xdr:rowOff>
                  </from>
                  <to>
                    <xdr:col>6</xdr:col>
                    <xdr:colOff>45720</xdr:colOff>
                    <xdr:row>47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46" name="Check Box 49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47</xdr:row>
                    <xdr:rowOff>220980</xdr:rowOff>
                  </from>
                  <to>
                    <xdr:col>6</xdr:col>
                    <xdr:colOff>45720</xdr:colOff>
                    <xdr:row>48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47" name="Check Box 50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48</xdr:row>
                    <xdr:rowOff>220980</xdr:rowOff>
                  </from>
                  <to>
                    <xdr:col>6</xdr:col>
                    <xdr:colOff>45720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48" name="Check Box 51">
              <controlPr defaultSize="0" autoFill="0" autoLine="0" autoPict="0" altText="">
                <anchor moveWithCells="1">
                  <from>
                    <xdr:col>5</xdr:col>
                    <xdr:colOff>22860</xdr:colOff>
                    <xdr:row>49</xdr:row>
                    <xdr:rowOff>213360</xdr:rowOff>
                  </from>
                  <to>
                    <xdr:col>6</xdr:col>
                    <xdr:colOff>45720</xdr:colOff>
                    <xdr:row>50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E47"/>
  <sheetViews>
    <sheetView zoomScaleNormal="100" workbookViewId="0">
      <pane ySplit="3" topLeftCell="A22" activePane="bottomLeft" state="frozen"/>
      <selection pane="bottomLeft"/>
    </sheetView>
  </sheetViews>
  <sheetFormatPr defaultRowHeight="13.2" x14ac:dyDescent="0.2"/>
  <cols>
    <col min="1" max="1" width="1.88671875" customWidth="1"/>
    <col min="2" max="2" width="13.21875" customWidth="1"/>
    <col min="3" max="3" width="0.33203125" style="58" customWidth="1"/>
    <col min="4" max="4" width="37.88671875" customWidth="1"/>
    <col min="5" max="5" width="37.77734375" customWidth="1"/>
  </cols>
  <sheetData>
    <row r="1" spans="2:5" ht="60.75" customHeight="1" x14ac:dyDescent="0.2">
      <c r="B1" s="81"/>
      <c r="C1" s="81"/>
      <c r="D1" s="81"/>
    </row>
    <row r="2" spans="2:5" ht="27.75" customHeight="1" x14ac:dyDescent="0.2">
      <c r="B2" s="101" t="s">
        <v>64</v>
      </c>
      <c r="C2" s="102"/>
      <c r="D2" s="102"/>
      <c r="E2" s="102"/>
    </row>
    <row r="3" spans="2:5" x14ac:dyDescent="0.2">
      <c r="B3" s="67" t="s">
        <v>50</v>
      </c>
      <c r="C3" s="51"/>
      <c r="D3" s="68" t="s">
        <v>36</v>
      </c>
      <c r="E3" s="69" t="s">
        <v>37</v>
      </c>
    </row>
    <row r="4" spans="2:5" ht="15" customHeight="1" x14ac:dyDescent="0.2">
      <c r="B4" s="98" t="str">
        <f>チェックシート!$D$17</f>
        <v>表情，声のトーンが暗かったり，明るすぎたりする</v>
      </c>
      <c r="C4" s="52" t="b">
        <v>0</v>
      </c>
      <c r="D4" s="7" t="str">
        <f>IF($C$4=TRUE,"①感情をうまくコントロールできない","")</f>
        <v/>
      </c>
      <c r="E4" s="40" t="str">
        <f>IF($C$4=TRUE,"①友だち関係に問題を抱えている","")</f>
        <v/>
      </c>
    </row>
    <row r="5" spans="2:5" ht="15" customHeight="1" x14ac:dyDescent="0.2">
      <c r="B5" s="100"/>
      <c r="C5" s="53"/>
      <c r="D5" s="39" t="str">
        <f>IF($C$4=TRUE,"②学校生活に対して意欲がない","")</f>
        <v/>
      </c>
      <c r="E5" s="38" t="str">
        <f>IF($C$4=TRUE,"②家庭環境の影響をうけている","")</f>
        <v/>
      </c>
    </row>
    <row r="6" spans="2:5" ht="15" customHeight="1" x14ac:dyDescent="0.2">
      <c r="B6" s="100"/>
      <c r="C6" s="53"/>
      <c r="D6" s="38" t="str">
        <f>IF($C$4=TRUE,"③睡眠が十分にとれていない","")</f>
        <v/>
      </c>
      <c r="E6" s="38" t="str">
        <f>IF($C$4=TRUE,"③しっかり食事をとっていない","")</f>
        <v/>
      </c>
    </row>
    <row r="7" spans="2:5" ht="15" customHeight="1" x14ac:dyDescent="0.2">
      <c r="B7" s="100"/>
      <c r="C7" s="53"/>
      <c r="D7" s="39" t="str">
        <f>IF($C$4=TRUE,"④疲れがたまっている","")</f>
        <v/>
      </c>
      <c r="E7" s="7"/>
    </row>
    <row r="8" spans="2:5" ht="15" customHeight="1" x14ac:dyDescent="0.2">
      <c r="B8" s="100"/>
      <c r="C8" s="53"/>
      <c r="D8" s="38" t="str">
        <f>IF($C$4=TRUE,"⑤不安やストレスを抱えている","")</f>
        <v/>
      </c>
      <c r="E8" s="39"/>
    </row>
    <row r="9" spans="2:5" ht="15" customHeight="1" x14ac:dyDescent="0.2">
      <c r="B9" s="99"/>
      <c r="C9" s="49"/>
      <c r="D9" s="45"/>
      <c r="E9" s="50"/>
    </row>
    <row r="10" spans="2:5" ht="15" customHeight="1" x14ac:dyDescent="0.2">
      <c r="B10" s="98" t="str">
        <f>チェックシート!$D$18</f>
        <v>眠そうな顔をしている</v>
      </c>
      <c r="C10" s="52" t="b">
        <v>0</v>
      </c>
      <c r="D10" s="7" t="str">
        <f>IF($C$10=TRUE,"①睡眠が十分にとれていない","")</f>
        <v/>
      </c>
      <c r="E10" s="40" t="str">
        <f>IF($C$10=TRUE,"①家庭環境の影響をうけている","")</f>
        <v/>
      </c>
    </row>
    <row r="11" spans="2:5" ht="15" customHeight="1" x14ac:dyDescent="0.2">
      <c r="B11" s="100"/>
      <c r="C11" s="53"/>
      <c r="D11" s="39" t="str">
        <f>IF($C$10=TRUE,"②学校生活に対して意欲がない","")</f>
        <v/>
      </c>
      <c r="E11" s="41" t="str">
        <f>IF($C$10=TRUE,"②家族の生活スタイルが夜型である","")</f>
        <v/>
      </c>
    </row>
    <row r="12" spans="2:5" ht="15" customHeight="1" x14ac:dyDescent="0.2">
      <c r="B12" s="100"/>
      <c r="C12" s="53"/>
      <c r="D12" s="39" t="str">
        <f>IF($C$10=TRUE,"③疲れがたまっている","")</f>
        <v/>
      </c>
      <c r="E12" s="39"/>
    </row>
    <row r="13" spans="2:5" ht="15" customHeight="1" x14ac:dyDescent="0.2">
      <c r="B13" s="100"/>
      <c r="C13" s="53"/>
      <c r="D13" s="38" t="str">
        <f>IF($C$10=TRUE,"④不安やストレスを抱えている","")</f>
        <v/>
      </c>
      <c r="E13" s="39"/>
    </row>
    <row r="14" spans="2:5" ht="15" customHeight="1" x14ac:dyDescent="0.2">
      <c r="B14" s="100"/>
      <c r="C14" s="53"/>
      <c r="D14" s="38" t="str">
        <f>IF($C$10=TRUE,"⑤薬を飲んでいる","")</f>
        <v/>
      </c>
      <c r="E14" s="39"/>
    </row>
    <row r="15" spans="2:5" ht="15" customHeight="1" x14ac:dyDescent="0.2">
      <c r="B15" s="99"/>
      <c r="C15" s="53"/>
      <c r="D15" s="7"/>
      <c r="E15" s="39"/>
    </row>
    <row r="16" spans="2:5" ht="15" customHeight="1" x14ac:dyDescent="0.2">
      <c r="B16" s="98" t="str">
        <f>チェックシート!$D$19</f>
        <v>チック（顔や体をピクピクさせる）がある</v>
      </c>
      <c r="C16" s="52" t="b">
        <v>0</v>
      </c>
      <c r="D16" s="6" t="str">
        <f>IF($C$16=TRUE,"①人前だと特に緊張してしまう","")</f>
        <v/>
      </c>
      <c r="E16" s="40" t="str">
        <f>IF($C$16=TRUE,"①家庭環境の影響をうけている","")</f>
        <v/>
      </c>
    </row>
    <row r="17" spans="2:5" ht="15" customHeight="1" x14ac:dyDescent="0.2">
      <c r="B17" s="100"/>
      <c r="C17" s="53"/>
      <c r="D17" s="39" t="str">
        <f>IF($C$16=TRUE,"②自分自身に関する悩みがある","")</f>
        <v/>
      </c>
      <c r="E17" s="7" t="str">
        <f>IF($C$16=TRUE,"②先生との信頼関係が十分でない","")</f>
        <v/>
      </c>
    </row>
    <row r="18" spans="2:5" ht="15" customHeight="1" x14ac:dyDescent="0.2">
      <c r="B18" s="100"/>
      <c r="C18" s="53"/>
      <c r="D18" s="39" t="str">
        <f>IF($C$16=TRUE,"③不安やストレスを抱えている","")</f>
        <v/>
      </c>
      <c r="E18" s="32"/>
    </row>
    <row r="19" spans="2:5" ht="15" customHeight="1" x14ac:dyDescent="0.2">
      <c r="B19" s="99"/>
      <c r="C19" s="49"/>
      <c r="D19" s="31"/>
      <c r="E19" s="31"/>
    </row>
    <row r="20" spans="2:5" ht="15" customHeight="1" x14ac:dyDescent="0.2">
      <c r="B20" s="98" t="str">
        <f>チェックシート!$D$20</f>
        <v>服装に無頓着である</v>
      </c>
      <c r="C20" s="54" t="b">
        <v>0</v>
      </c>
      <c r="D20" s="6" t="str">
        <f>IF($C$20=TRUE,"①身だしなみに関心がない","")</f>
        <v/>
      </c>
      <c r="E20" s="40" t="str">
        <f>IF($C$20=TRUE,"①家庭環境の影響をうけている","")</f>
        <v/>
      </c>
    </row>
    <row r="21" spans="2:5" ht="15" customHeight="1" x14ac:dyDescent="0.2">
      <c r="B21" s="100"/>
      <c r="C21" s="54"/>
      <c r="D21" s="39" t="str">
        <f>IF($C$20=TRUE,"②気温の変化がよくわからない","")</f>
        <v/>
      </c>
      <c r="E21" s="38" t="str">
        <f>IF($C$20=TRUE,"②あまり面倒をみてもらえない","")</f>
        <v/>
      </c>
    </row>
    <row r="22" spans="2:5" ht="15" customHeight="1" x14ac:dyDescent="0.2">
      <c r="B22" s="100"/>
      <c r="C22" s="54"/>
      <c r="D22" s="38" t="str">
        <f>IF($C$20=TRUE,"③同じ服ばかり好んで着てしまう","")</f>
        <v/>
      </c>
      <c r="E22" s="38" t="str">
        <f>IF($C$20=TRUE,"③経済的に苦しい","")</f>
        <v/>
      </c>
    </row>
    <row r="23" spans="2:5" ht="15" customHeight="1" x14ac:dyDescent="0.2">
      <c r="B23" s="99"/>
      <c r="C23" s="54"/>
      <c r="D23" s="31"/>
      <c r="E23" s="22"/>
    </row>
    <row r="24" spans="2:5" ht="15" customHeight="1" x14ac:dyDescent="0.2">
      <c r="B24" s="98" t="str">
        <f>チェックシート!$G$17</f>
        <v>わがままである
自己中心的である</v>
      </c>
      <c r="C24" s="55" t="b">
        <v>0</v>
      </c>
      <c r="D24" s="103" t="str">
        <f>IF($C$24=TRUE,"①自分を認めてほしい，分かってほしいという気持ちが強い","")</f>
        <v/>
      </c>
      <c r="E24" s="41" t="str">
        <f>IF($C$24=TRUE,"①甘やかされていることが多い","")</f>
        <v/>
      </c>
    </row>
    <row r="25" spans="2:5" ht="15" customHeight="1" x14ac:dyDescent="0.2">
      <c r="B25" s="100"/>
      <c r="C25" s="54"/>
      <c r="D25" s="104"/>
      <c r="E25" s="41" t="str">
        <f>IF($C$24=TRUE,"②かなり厳しくしつけられている","")</f>
        <v/>
      </c>
    </row>
    <row r="26" spans="2:5" ht="15" customHeight="1" x14ac:dyDescent="0.2">
      <c r="B26" s="100"/>
      <c r="C26" s="54"/>
      <c r="D26" s="41" t="str">
        <f>IF($C$24=TRUE,"②こだわりが強い","")</f>
        <v/>
      </c>
      <c r="E26" s="41" t="str">
        <f>IF($C$24=TRUE,"③まわりの人のかかわり方が適切でない","")</f>
        <v/>
      </c>
    </row>
    <row r="27" spans="2:5" ht="15" customHeight="1" x14ac:dyDescent="0.2">
      <c r="B27" s="99"/>
      <c r="C27" s="56"/>
      <c r="D27" s="31"/>
      <c r="E27" s="31"/>
    </row>
    <row r="28" spans="2:5" ht="15" customHeight="1" x14ac:dyDescent="0.2">
      <c r="B28" s="98" t="str">
        <f>チェックシート!$G$18</f>
        <v>原因不明の傷があったり，けがの原因をあいまいにしたりする</v>
      </c>
      <c r="C28" s="55" t="b">
        <v>0</v>
      </c>
      <c r="D28" s="40" t="str">
        <f>IF($C$28=TRUE,"①体にコンプレックスを抱えている","")</f>
        <v/>
      </c>
      <c r="E28" s="103" t="str">
        <f>IF($C$28=TRUE,"①家庭環境の影響をうけている（暴力等）
","")</f>
        <v/>
      </c>
    </row>
    <row r="29" spans="2:5" ht="15" customHeight="1" x14ac:dyDescent="0.2">
      <c r="B29" s="100"/>
      <c r="C29" s="54"/>
      <c r="D29" s="105" t="str">
        <f>IF($C$28=TRUE,"②友だちに体のことでからかわれた経験がある","")</f>
        <v/>
      </c>
      <c r="E29" s="104"/>
    </row>
    <row r="30" spans="2:5" ht="15" customHeight="1" x14ac:dyDescent="0.2">
      <c r="B30" s="100"/>
      <c r="C30" s="54"/>
      <c r="D30" s="104"/>
      <c r="E30" s="41" t="str">
        <f>IF($C$28=TRUE,"②友だち関係に問題を抱えている","")</f>
        <v/>
      </c>
    </row>
    <row r="31" spans="2:5" ht="15" customHeight="1" x14ac:dyDescent="0.2">
      <c r="B31" s="100"/>
      <c r="C31" s="54"/>
      <c r="D31" s="41" t="str">
        <f>IF($C$28=TRUE,"③見られたくないあざや傷がある","")</f>
        <v/>
      </c>
      <c r="E31" s="32"/>
    </row>
    <row r="32" spans="2:5" ht="15" customHeight="1" x14ac:dyDescent="0.2">
      <c r="B32" s="99"/>
      <c r="C32" s="56"/>
      <c r="D32" s="31"/>
      <c r="E32" s="22"/>
    </row>
    <row r="33" spans="2:5" ht="15" customHeight="1" x14ac:dyDescent="0.2">
      <c r="B33" s="98" t="str">
        <f>チェックシート!$G$19</f>
        <v>急激な体重の変化がある</v>
      </c>
      <c r="C33" s="54" t="b">
        <v>0</v>
      </c>
      <c r="D33" s="40" t="str">
        <f>IF($C$33=TRUE,"①不安やストレスを抱えている","")</f>
        <v/>
      </c>
      <c r="E33" s="40" t="str">
        <f>IF($C$33=TRUE,"①食生活に問題を抱えている","")</f>
        <v/>
      </c>
    </row>
    <row r="34" spans="2:5" ht="15" customHeight="1" x14ac:dyDescent="0.2">
      <c r="B34" s="100"/>
      <c r="C34" s="54"/>
      <c r="D34" s="41" t="str">
        <f>IF($C$33=TRUE,"②体型にコンプレックスを抱えている","")</f>
        <v/>
      </c>
      <c r="E34" s="38" t="str">
        <f>IF($C$33=TRUE,"②生活スタイルに変化があった","")</f>
        <v/>
      </c>
    </row>
    <row r="35" spans="2:5" ht="15" customHeight="1" x14ac:dyDescent="0.2">
      <c r="B35" s="100"/>
      <c r="C35" s="57"/>
      <c r="D35" s="41" t="str">
        <f>IF($C$33=TRUE,"③病気の疑いがある","")</f>
        <v/>
      </c>
      <c r="E35" s="38" t="str">
        <f>IF($C$33=TRUE,"③親子関係が影響している","")</f>
        <v/>
      </c>
    </row>
    <row r="36" spans="2:5" ht="15" customHeight="1" x14ac:dyDescent="0.2">
      <c r="B36" s="100"/>
      <c r="C36" s="57"/>
      <c r="D36" s="37"/>
      <c r="E36" s="38" t="str">
        <f>IF($C$33=TRUE,"④あまり面倒をみてもらえない","")</f>
        <v/>
      </c>
    </row>
    <row r="37" spans="2:5" ht="15" customHeight="1" x14ac:dyDescent="0.2">
      <c r="B37" s="100"/>
      <c r="C37" s="57"/>
      <c r="D37" s="37"/>
      <c r="E37" s="41" t="str">
        <f>IF($C$33=TRUE,"⑤経済的に苦しい","")</f>
        <v/>
      </c>
    </row>
    <row r="38" spans="2:5" ht="15" customHeight="1" x14ac:dyDescent="0.2">
      <c r="B38" s="99"/>
      <c r="C38" s="56"/>
      <c r="D38" s="31"/>
      <c r="E38" s="22"/>
    </row>
    <row r="39" spans="2:5" ht="15" customHeight="1" x14ac:dyDescent="0.2">
      <c r="B39" s="98" t="str">
        <f>チェックシート!$G$20</f>
        <v>頭痛や腹痛を訴えることが多い</v>
      </c>
      <c r="C39" s="55" t="b">
        <v>0</v>
      </c>
      <c r="D39" s="40" t="str">
        <f>IF($C$39=TRUE,"①体調がすぐれない","")</f>
        <v/>
      </c>
      <c r="E39" s="40" t="str">
        <f>IF($C$39=TRUE,"①クラスに居場所がない","")</f>
        <v/>
      </c>
    </row>
    <row r="40" spans="2:5" ht="15" customHeight="1" x14ac:dyDescent="0.2">
      <c r="B40" s="100"/>
      <c r="C40" s="54"/>
      <c r="D40" s="38" t="str">
        <f>IF($C$39=TRUE,"②学校に行くことをつらいと感じている","")</f>
        <v/>
      </c>
      <c r="E40" s="38" t="str">
        <f>IF($C$39=TRUE,"②クラスの雰囲気に問題がある","")</f>
        <v/>
      </c>
    </row>
    <row r="41" spans="2:5" ht="15" customHeight="1" x14ac:dyDescent="0.2">
      <c r="B41" s="100"/>
      <c r="C41" s="54"/>
      <c r="D41" s="38" t="str">
        <f>IF($C$39=TRUE,"③学習についていけない","")</f>
        <v/>
      </c>
      <c r="E41" s="38" t="str">
        <f>IF($C$39=TRUE,"③先生との信頼関係が十分でない","")</f>
        <v/>
      </c>
    </row>
    <row r="42" spans="2:5" ht="15" customHeight="1" x14ac:dyDescent="0.2">
      <c r="B42" s="100"/>
      <c r="C42" s="54"/>
      <c r="D42" s="41" t="str">
        <f>IF($C$39=TRUE,"④不安やストレスを抱えている","")</f>
        <v/>
      </c>
      <c r="E42" s="41" t="str">
        <f>IF($C$39=TRUE,"④友だち関係に問題を抱えている","")</f>
        <v/>
      </c>
    </row>
    <row r="43" spans="2:5" ht="15" customHeight="1" x14ac:dyDescent="0.2">
      <c r="B43" s="99"/>
      <c r="C43" s="56"/>
      <c r="D43" s="31"/>
      <c r="E43" s="33"/>
    </row>
    <row r="44" spans="2:5" ht="15" customHeight="1" x14ac:dyDescent="0.2">
      <c r="B44" s="98" t="str">
        <f>チェックシート!$G$21</f>
        <v>一人でいることが多い</v>
      </c>
      <c r="C44" s="55" t="b">
        <v>0</v>
      </c>
      <c r="D44" s="40" t="str">
        <f>IF($C$44=TRUE,"①友だち関係をうまく築くことができない","")</f>
        <v/>
      </c>
      <c r="E44" s="40" t="str">
        <f>IF($C$44=TRUE,"①十分に愛情を注がれて育っていない","")</f>
        <v/>
      </c>
    </row>
    <row r="45" spans="2:5" ht="15" customHeight="1" x14ac:dyDescent="0.2">
      <c r="B45" s="100"/>
      <c r="C45" s="54"/>
      <c r="D45" s="38" t="str">
        <f>IF($C$44=TRUE,"②自分に自信がないと感じている","")</f>
        <v/>
      </c>
      <c r="E45" s="38" t="str">
        <f>IF($C$44=TRUE,"②クラスの雰囲気に問題がある","")</f>
        <v/>
      </c>
    </row>
    <row r="46" spans="2:5" ht="15" customHeight="1" x14ac:dyDescent="0.2">
      <c r="B46" s="100"/>
      <c r="C46" s="54"/>
      <c r="D46" s="41" t="str">
        <f>IF($C$44=TRUE,"③人の前だと緊張して萎縮してしまう","")</f>
        <v/>
      </c>
      <c r="E46" s="42"/>
    </row>
    <row r="47" spans="2:5" ht="15" customHeight="1" x14ac:dyDescent="0.2">
      <c r="B47" s="99"/>
      <c r="C47" s="56"/>
      <c r="D47" s="31"/>
      <c r="E47" s="33"/>
    </row>
  </sheetData>
  <sheetProtection password="C7D0" sheet="1" objects="1" scenarios="1"/>
  <mergeCells count="14">
    <mergeCell ref="B33:B38"/>
    <mergeCell ref="B39:B43"/>
    <mergeCell ref="B44:B47"/>
    <mergeCell ref="B1:D1"/>
    <mergeCell ref="B2:E2"/>
    <mergeCell ref="D24:D25"/>
    <mergeCell ref="D29:D30"/>
    <mergeCell ref="B4:B9"/>
    <mergeCell ref="B10:B15"/>
    <mergeCell ref="B16:B19"/>
    <mergeCell ref="B20:B23"/>
    <mergeCell ref="B24:B27"/>
    <mergeCell ref="E28:E29"/>
    <mergeCell ref="B28:B32"/>
  </mergeCells>
  <phoneticPr fontId="2"/>
  <pageMargins left="0.51181102362204722" right="0.51181102362204722" top="0.9448818897637796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E78"/>
  <sheetViews>
    <sheetView zoomScaleNormal="100" workbookViewId="0">
      <pane ySplit="3" topLeftCell="A47" activePane="bottomLeft" state="frozen"/>
      <selection pane="bottomLeft"/>
    </sheetView>
  </sheetViews>
  <sheetFormatPr defaultRowHeight="13.2" x14ac:dyDescent="0.2"/>
  <cols>
    <col min="1" max="1" width="1.88671875" customWidth="1"/>
    <col min="2" max="2" width="13.21875" customWidth="1"/>
    <col min="3" max="3" width="0.33203125" style="58" customWidth="1"/>
    <col min="4" max="5" width="37.88671875" customWidth="1"/>
  </cols>
  <sheetData>
    <row r="1" spans="2:5" ht="60.75" customHeight="1" x14ac:dyDescent="0.2">
      <c r="B1" s="81"/>
      <c r="C1" s="81"/>
      <c r="D1" s="81"/>
    </row>
    <row r="2" spans="2:5" ht="27.75" customHeight="1" x14ac:dyDescent="0.2">
      <c r="B2" s="106" t="s">
        <v>65</v>
      </c>
      <c r="C2" s="102"/>
      <c r="D2" s="102"/>
      <c r="E2" s="102"/>
    </row>
    <row r="3" spans="2:5" x14ac:dyDescent="0.2">
      <c r="B3" s="67" t="s">
        <v>50</v>
      </c>
      <c r="C3" s="51"/>
      <c r="D3" s="68" t="s">
        <v>36</v>
      </c>
      <c r="E3" s="69" t="s">
        <v>37</v>
      </c>
    </row>
    <row r="4" spans="2:5" ht="15" customHeight="1" x14ac:dyDescent="0.2">
      <c r="B4" s="98" t="str">
        <f>チェックシート!$D$25</f>
        <v>落ち着きがない</v>
      </c>
      <c r="C4" s="54" t="b">
        <v>0</v>
      </c>
      <c r="D4" s="40" t="str">
        <f>IF($C$4=TRUE,"①何をしていいのかわからない","")</f>
        <v/>
      </c>
      <c r="E4" s="40" t="str">
        <f>IF($C$4=TRUE,"①家庭環境の影響をうけている","")</f>
        <v/>
      </c>
    </row>
    <row r="5" spans="2:5" ht="15" customHeight="1" x14ac:dyDescent="0.2">
      <c r="B5" s="100"/>
      <c r="C5" s="54"/>
      <c r="D5" s="38" t="str">
        <f>IF($C$4=TRUE,"②先生の話している内容が理解できない","")</f>
        <v/>
      </c>
      <c r="E5" s="38" t="str">
        <f>IF($C$4=TRUE,"②先生の指示がわかりにくい","")</f>
        <v/>
      </c>
    </row>
    <row r="6" spans="2:5" ht="15" customHeight="1" x14ac:dyDescent="0.2">
      <c r="B6" s="100"/>
      <c r="C6" s="54"/>
      <c r="D6" s="38" t="str">
        <f>IF($C$4=TRUE,"③不安やストレスを抱えている","")</f>
        <v/>
      </c>
      <c r="E6" s="38" t="str">
        <f>IF($C$4=TRUE,"③クラスの雰囲気が落ち着いていない","")</f>
        <v/>
      </c>
    </row>
    <row r="7" spans="2:5" ht="15" customHeight="1" x14ac:dyDescent="0.2">
      <c r="B7" s="100"/>
      <c r="C7" s="54"/>
      <c r="D7" s="38" t="str">
        <f>IF($C$4=TRUE,"④まわりのことがすぐ気になってしまう","")</f>
        <v/>
      </c>
      <c r="E7" s="38"/>
    </row>
    <row r="8" spans="2:5" ht="15" customHeight="1" x14ac:dyDescent="0.2">
      <c r="B8" s="99"/>
      <c r="C8" s="56"/>
      <c r="D8" s="22"/>
      <c r="E8" s="24"/>
    </row>
    <row r="9" spans="2:5" ht="15" customHeight="1" x14ac:dyDescent="0.2">
      <c r="B9" s="98" t="str">
        <f>チェックシート!$D$26</f>
        <v>机の中やロッカーを片づけられない</v>
      </c>
      <c r="C9" s="54" t="b">
        <v>0</v>
      </c>
      <c r="D9" s="40" t="str">
        <f>IF($C$9=TRUE,"①片づけ方がわからない","")</f>
        <v/>
      </c>
      <c r="E9" s="40" t="str">
        <f>IF($C$9=TRUE,"①一人で物を片づける経験が少ない","")</f>
        <v/>
      </c>
    </row>
    <row r="10" spans="2:5" ht="15" customHeight="1" x14ac:dyDescent="0.2">
      <c r="B10" s="100"/>
      <c r="C10" s="54"/>
      <c r="D10" s="38" t="str">
        <f>IF($C$9=TRUE,"②時間を気にしない","")</f>
        <v/>
      </c>
      <c r="E10" s="38" t="str">
        <f>IF($C$9=TRUE,"②片づける時間が十分でない","")</f>
        <v/>
      </c>
    </row>
    <row r="11" spans="2:5" ht="15" customHeight="1" x14ac:dyDescent="0.2">
      <c r="B11" s="100"/>
      <c r="C11" s="54"/>
      <c r="D11" s="38" t="str">
        <f>IF($C$9=TRUE,"③学校生活に対して意欲がない","")</f>
        <v/>
      </c>
      <c r="E11" s="38" t="str">
        <f>IF($C$9=TRUE,"③家庭環境の影響をうけている","")</f>
        <v/>
      </c>
    </row>
    <row r="12" spans="2:5" ht="15" customHeight="1" x14ac:dyDescent="0.2">
      <c r="B12" s="100"/>
      <c r="C12" s="54"/>
      <c r="D12" s="38"/>
      <c r="E12" s="38" t="str">
        <f>IF($C$9=TRUE,"④友だちから不快な言動を受けている","")</f>
        <v/>
      </c>
    </row>
    <row r="13" spans="2:5" ht="15" customHeight="1" x14ac:dyDescent="0.2">
      <c r="B13" s="99"/>
      <c r="C13" s="54"/>
      <c r="D13" s="24"/>
      <c r="E13" s="22"/>
    </row>
    <row r="14" spans="2:5" ht="15" customHeight="1" x14ac:dyDescent="0.2">
      <c r="B14" s="98" t="str">
        <f>チェックシート!$D$27</f>
        <v>遅刻や欠席が多い</v>
      </c>
      <c r="C14" s="55" t="b">
        <v>0</v>
      </c>
      <c r="D14" s="40" t="str">
        <f>IF($C$14=TRUE,"①学校に行くことをつらいと感じている","")</f>
        <v/>
      </c>
      <c r="E14" s="6" t="str">
        <f>IF($C$14=TRUE,"①家庭環境の影響をうけている","")</f>
        <v/>
      </c>
    </row>
    <row r="15" spans="2:5" ht="15" customHeight="1" x14ac:dyDescent="0.2">
      <c r="B15" s="100"/>
      <c r="C15" s="54"/>
      <c r="D15" s="7" t="str">
        <f>IF($C$14=TRUE,"②友だち関係をうまく築くことができない","")</f>
        <v/>
      </c>
      <c r="E15" s="39" t="str">
        <f>IF($C$14=TRUE,"②あまり面倒をみてもらえない","")</f>
        <v/>
      </c>
    </row>
    <row r="16" spans="2:5" ht="15" customHeight="1" x14ac:dyDescent="0.2">
      <c r="B16" s="100"/>
      <c r="C16" s="54"/>
      <c r="D16" s="39" t="str">
        <f>IF($C$14=TRUE,"③集団になじめない，一人でいることが多い","")</f>
        <v/>
      </c>
      <c r="E16" s="39" t="str">
        <f>IF($C$14=TRUE,"③友だち関係に問題を抱えている","")</f>
        <v/>
      </c>
    </row>
    <row r="17" spans="2:5" ht="15" customHeight="1" x14ac:dyDescent="0.2">
      <c r="B17" s="100"/>
      <c r="C17" s="54"/>
      <c r="D17" s="39" t="str">
        <f>IF($C$14=TRUE,"④学習についていけない","")</f>
        <v/>
      </c>
      <c r="E17" s="38" t="str">
        <f>IF($C$14=TRUE,"④先生との信頼関係が十分でない","")</f>
        <v/>
      </c>
    </row>
    <row r="18" spans="2:5" ht="15" customHeight="1" x14ac:dyDescent="0.2">
      <c r="B18" s="100"/>
      <c r="C18" s="54"/>
      <c r="D18" s="39" t="str">
        <f>IF($C$14=TRUE,"⑤時間を気にしない","")</f>
        <v/>
      </c>
      <c r="E18" s="38"/>
    </row>
    <row r="19" spans="2:5" ht="15" customHeight="1" x14ac:dyDescent="0.2">
      <c r="B19" s="100"/>
      <c r="C19" s="54"/>
      <c r="D19" s="39" t="str">
        <f>IF($C$14=TRUE,"⑥学校生活に対して意欲がない","")</f>
        <v/>
      </c>
      <c r="E19" s="38"/>
    </row>
    <row r="20" spans="2:5" ht="15" customHeight="1" x14ac:dyDescent="0.2">
      <c r="B20" s="99"/>
      <c r="C20" s="54"/>
      <c r="D20" s="31"/>
      <c r="E20" s="24"/>
    </row>
    <row r="21" spans="2:5" ht="15" customHeight="1" x14ac:dyDescent="0.2">
      <c r="B21" s="98" t="str">
        <f>チェックシート!$D$28</f>
        <v>忘れ物が多い</v>
      </c>
      <c r="C21" s="55" t="b">
        <v>0</v>
      </c>
      <c r="D21" s="103" t="str">
        <f>IF($C$21=TRUE,"①身の回りに物が散乱している，持ち物が整理できない","")</f>
        <v/>
      </c>
      <c r="E21" s="40" t="str">
        <f>IF($C$21=TRUE,"①あまり面倒をみてもらえない","")</f>
        <v/>
      </c>
    </row>
    <row r="22" spans="2:5" ht="15" customHeight="1" x14ac:dyDescent="0.2">
      <c r="B22" s="100"/>
      <c r="C22" s="54"/>
      <c r="D22" s="100"/>
      <c r="E22" s="38" t="str">
        <f>IF($C$21=TRUE,"②基本的な生活習慣が整っていない","")</f>
        <v/>
      </c>
    </row>
    <row r="23" spans="2:5" ht="15" customHeight="1" x14ac:dyDescent="0.2">
      <c r="B23" s="100"/>
      <c r="C23" s="54"/>
      <c r="D23" s="39" t="str">
        <f>IF($C$21=TRUE,"②必要なものをメモしたり，覚えたりできない","")</f>
        <v/>
      </c>
      <c r="E23" s="41" t="str">
        <f>IF($C$21=TRUE,"③先生の指示がわかりにくい","")</f>
        <v/>
      </c>
    </row>
    <row r="24" spans="2:5" ht="15" customHeight="1" x14ac:dyDescent="0.2">
      <c r="B24" s="107"/>
      <c r="C24" s="57"/>
      <c r="D24" s="39" t="str">
        <f>IF($C$21=TRUE,"③不注意で忘れっぽいところがある","")</f>
        <v/>
      </c>
      <c r="E24" s="41"/>
    </row>
    <row r="25" spans="2:5" ht="15" customHeight="1" x14ac:dyDescent="0.2">
      <c r="B25" s="100"/>
      <c r="C25" s="54"/>
      <c r="D25" s="39" t="str">
        <f>IF($C$21=TRUE,"④自分に注目してほしい気持ちがある","")</f>
        <v/>
      </c>
      <c r="E25" s="41" t="str">
        <f>IF($C$21=TRUE,"
","")</f>
        <v/>
      </c>
    </row>
    <row r="26" spans="2:5" ht="15" customHeight="1" x14ac:dyDescent="0.2">
      <c r="B26" s="100"/>
      <c r="C26" s="54"/>
      <c r="D26" s="38" t="str">
        <f>IF($C$21=TRUE,"⑤学校生活に対して意欲がない","")</f>
        <v/>
      </c>
      <c r="E26" s="41" t="str">
        <f t="shared" ref="E26:E27" si="0">IF($C$21=TRUE,"
","")</f>
        <v/>
      </c>
    </row>
    <row r="27" spans="2:5" ht="15" customHeight="1" x14ac:dyDescent="0.2">
      <c r="B27" s="100"/>
      <c r="C27" s="54"/>
      <c r="D27" s="38" t="str">
        <f>IF($C$21=TRUE,"⑥他人に依存する気持ちが強い","")</f>
        <v/>
      </c>
      <c r="E27" s="41" t="str">
        <f t="shared" si="0"/>
        <v/>
      </c>
    </row>
    <row r="28" spans="2:5" ht="15" customHeight="1" x14ac:dyDescent="0.2">
      <c r="B28" s="99"/>
      <c r="C28" s="56"/>
      <c r="D28" s="31"/>
      <c r="E28" s="31"/>
    </row>
    <row r="29" spans="2:5" ht="15" customHeight="1" x14ac:dyDescent="0.2">
      <c r="B29" s="98" t="str">
        <f>チェックシート!$D$29</f>
        <v>自分の物や学校の備品を粗末に扱う</v>
      </c>
      <c r="C29" s="55" t="b">
        <v>0</v>
      </c>
      <c r="D29" s="7" t="str">
        <f>IF($C$29=TRUE,"①物に対する愛着が少ない","")</f>
        <v/>
      </c>
      <c r="E29" s="6" t="str">
        <f>IF($C$29=TRUE,"①物を大切にすることをしつけられていない","")</f>
        <v/>
      </c>
    </row>
    <row r="30" spans="2:5" ht="15" customHeight="1" x14ac:dyDescent="0.2">
      <c r="B30" s="100"/>
      <c r="C30" s="54"/>
      <c r="D30" s="105" t="str">
        <f>IF($C$29=TRUE,"②感情や怒り，ストレスを他の方法で表現することができない","")</f>
        <v/>
      </c>
      <c r="E30" s="38" t="str">
        <f>IF($C$29=TRUE,"②十分に愛情を注がれて育っていない","")</f>
        <v/>
      </c>
    </row>
    <row r="31" spans="2:5" ht="15" customHeight="1" x14ac:dyDescent="0.2">
      <c r="B31" s="100"/>
      <c r="C31" s="54"/>
      <c r="D31" s="104"/>
      <c r="E31" s="38"/>
    </row>
    <row r="32" spans="2:5" ht="15" customHeight="1" x14ac:dyDescent="0.2">
      <c r="B32" s="100"/>
      <c r="C32" s="54"/>
      <c r="D32" s="38" t="str">
        <f>IF($C$29=TRUE,"③大人の反応を見ている(ためし行動）","")</f>
        <v/>
      </c>
      <c r="E32" s="38"/>
    </row>
    <row r="33" spans="2:5" ht="15" customHeight="1" x14ac:dyDescent="0.2">
      <c r="B33" s="100"/>
      <c r="C33" s="54"/>
      <c r="D33" s="38" t="str">
        <f>IF($C$29=TRUE,"④自分に注目してほしい気持ちがある","")</f>
        <v/>
      </c>
      <c r="E33" s="38"/>
    </row>
    <row r="34" spans="2:5" ht="15" customHeight="1" x14ac:dyDescent="0.2">
      <c r="B34" s="99"/>
      <c r="C34" s="56"/>
      <c r="D34" s="22"/>
      <c r="E34" s="22"/>
    </row>
    <row r="35" spans="2:5" ht="15" customHeight="1" x14ac:dyDescent="0.2">
      <c r="B35" s="98" t="str">
        <f>チェックシート!$D$30</f>
        <v>言葉づかいが乱暴である</v>
      </c>
      <c r="C35" s="55" t="b">
        <v>0</v>
      </c>
      <c r="D35" s="7" t="str">
        <f>IF($C$35=TRUE,"①自分に自信がないと感じている","")</f>
        <v/>
      </c>
      <c r="E35" s="40" t="str">
        <f>IF($C$35=TRUE,"①暴力的な言動が多い環境で生活している","")</f>
        <v/>
      </c>
    </row>
    <row r="36" spans="2:5" ht="15" customHeight="1" x14ac:dyDescent="0.2">
      <c r="B36" s="100"/>
      <c r="C36" s="54"/>
      <c r="D36" s="39" t="str">
        <f>IF($C$35=TRUE,"②乱暴な言葉以外の表現方法を知らない","")</f>
        <v/>
      </c>
      <c r="E36" s="38" t="str">
        <f>IF($C$35=TRUE,"②人とかかわる経験が不足している","")</f>
        <v/>
      </c>
    </row>
    <row r="37" spans="2:5" ht="15" customHeight="1" x14ac:dyDescent="0.2">
      <c r="B37" s="100"/>
      <c r="C37" s="54"/>
      <c r="D37" s="38" t="str">
        <f>IF($C$35=TRUE,"③ストレスの発散をしている","")</f>
        <v/>
      </c>
      <c r="E37" s="105" t="str">
        <f>IF($C$35=TRUE,"③怒られることが多く，ほめられる経験が少ない","")</f>
        <v/>
      </c>
    </row>
    <row r="38" spans="2:5" ht="15" customHeight="1" x14ac:dyDescent="0.2">
      <c r="B38" s="100"/>
      <c r="C38" s="54"/>
      <c r="D38" s="38" t="str">
        <f>IF($C$35=TRUE,"④大人の反応を見ている(ためし行動）","")</f>
        <v/>
      </c>
      <c r="E38" s="104"/>
    </row>
    <row r="39" spans="2:5" ht="15" customHeight="1" x14ac:dyDescent="0.2">
      <c r="B39" s="100"/>
      <c r="C39" s="54"/>
      <c r="D39" s="38"/>
      <c r="E39" s="38" t="str">
        <f>IF($C$35=TRUE,"④家庭環境の影響をうけている","")</f>
        <v/>
      </c>
    </row>
    <row r="40" spans="2:5" ht="15" customHeight="1" x14ac:dyDescent="0.2">
      <c r="B40" s="100"/>
      <c r="C40" s="54"/>
      <c r="D40" s="38"/>
      <c r="E40" s="38" t="str">
        <f>IF($C$35=TRUE,"⑤先生との信頼関係が十分でない","")</f>
        <v/>
      </c>
    </row>
    <row r="41" spans="2:5" ht="15" customHeight="1" x14ac:dyDescent="0.2">
      <c r="B41" s="99"/>
      <c r="C41" s="56"/>
      <c r="D41" s="22"/>
      <c r="E41" s="22"/>
    </row>
    <row r="42" spans="2:5" ht="13.5" hidden="1" customHeight="1" x14ac:dyDescent="0.2">
      <c r="B42" s="98" t="s">
        <v>45</v>
      </c>
      <c r="C42" s="55" t="b">
        <v>1</v>
      </c>
      <c r="D42" s="40" t="str">
        <f>IF($C$42=TRUE,"
","")</f>
        <v xml:space="preserve">
</v>
      </c>
      <c r="E42" s="40" t="str">
        <f>IF($C$42=TRUE,"①家庭でのしつけができていない
","")</f>
        <v xml:space="preserve">①家庭でのしつけができていない
</v>
      </c>
    </row>
    <row r="43" spans="2:5" ht="26.4" hidden="1" x14ac:dyDescent="0.2">
      <c r="B43" s="100"/>
      <c r="C43" s="54"/>
      <c r="D43" s="38" t="str">
        <f>IF($C$42=TRUE,"②ルールを守るということが理解できない
","")</f>
        <v xml:space="preserve">②ルールを守るということが理解できない
</v>
      </c>
      <c r="E43" s="40" t="str">
        <f>IF($C$42=TRUE,"②クラスにルールを守るという雰囲気がない
","")</f>
        <v xml:space="preserve">②クラスにルールを守るという雰囲気がない
</v>
      </c>
    </row>
    <row r="44" spans="2:5" ht="26.4" hidden="1" x14ac:dyDescent="0.2">
      <c r="B44" s="100"/>
      <c r="C44" s="54"/>
      <c r="D44" s="38" t="str">
        <f>IF($C$42=TRUE,"
","")</f>
        <v xml:space="preserve">
</v>
      </c>
      <c r="E44" s="40" t="str">
        <f>IF($C$42=TRUE,"③友だち関係に問題を抱えている
","")</f>
        <v xml:space="preserve">③友だち関係に問題を抱えている
</v>
      </c>
    </row>
    <row r="45" spans="2:5" hidden="1" x14ac:dyDescent="0.2">
      <c r="B45" s="99"/>
      <c r="C45" s="56"/>
      <c r="D45" s="22"/>
      <c r="E45" s="22"/>
    </row>
    <row r="46" spans="2:5" ht="15" customHeight="1" x14ac:dyDescent="0.2">
      <c r="B46" s="98" t="str">
        <f>チェックシート!$G$25</f>
        <v>ルールや順番を守ることができない</v>
      </c>
      <c r="C46" s="59" t="b">
        <v>0</v>
      </c>
      <c r="D46" s="40" t="str">
        <f>IF($C$46=TRUE,"①感情をうまくコントロールできない","")</f>
        <v/>
      </c>
      <c r="E46" s="40" t="str">
        <f>IF($C$46=TRUE,"①家庭環境の影響をうけている","")</f>
        <v/>
      </c>
    </row>
    <row r="47" spans="2:5" ht="15" customHeight="1" x14ac:dyDescent="0.2">
      <c r="B47" s="100"/>
      <c r="C47" s="53"/>
      <c r="D47" s="38" t="str">
        <f>IF($C$46=TRUE,"②ルールを守るということが理解できない","")</f>
        <v/>
      </c>
      <c r="E47" s="38" t="str">
        <f>IF($C$46=TRUE,"②クラスの雰囲気に問題がある","")</f>
        <v/>
      </c>
    </row>
    <row r="48" spans="2:5" ht="15" customHeight="1" x14ac:dyDescent="0.2">
      <c r="B48" s="100"/>
      <c r="C48" s="53"/>
      <c r="D48" s="38" t="str">
        <f>IF($C$46=TRUE,"③自分に注目してほしい気持ちがある","")</f>
        <v/>
      </c>
      <c r="E48" s="38" t="str">
        <f>IF($C$46=TRUE,"③友だち関係に問題を抱えている","")</f>
        <v/>
      </c>
    </row>
    <row r="49" spans="2:5" ht="15" customHeight="1" x14ac:dyDescent="0.2">
      <c r="B49" s="100"/>
      <c r="C49" s="53"/>
      <c r="D49" s="38" t="str">
        <f>IF($C$46=TRUE,"④大人の反応を見ている(ためし行動）","")</f>
        <v/>
      </c>
      <c r="E49" s="41"/>
    </row>
    <row r="50" spans="2:5" ht="15" customHeight="1" x14ac:dyDescent="0.2">
      <c r="B50" s="99"/>
      <c r="C50" s="49"/>
      <c r="D50" s="22"/>
      <c r="E50" s="22"/>
    </row>
    <row r="51" spans="2:5" ht="15" customHeight="1" x14ac:dyDescent="0.2">
      <c r="B51" s="98" t="str">
        <f>チェックシート!$G$26</f>
        <v>異性にさわったり，甘えたりする</v>
      </c>
      <c r="C51" s="55" t="b">
        <v>0</v>
      </c>
      <c r="D51" s="40" t="str">
        <f>IF($C$51=TRUE,"①思春期特有の特徴である","")</f>
        <v/>
      </c>
      <c r="E51" s="40" t="str">
        <f>IF($C$51=TRUE,"①性に関する指導が十分でない","")</f>
        <v/>
      </c>
    </row>
    <row r="52" spans="2:5" ht="15" customHeight="1" x14ac:dyDescent="0.2">
      <c r="B52" s="100"/>
      <c r="C52" s="54"/>
      <c r="D52" s="41" t="str">
        <f>IF($C$51=TRUE,"②性的な興味関心が強い","")</f>
        <v/>
      </c>
      <c r="E52" s="41" t="str">
        <f>IF($C$51=TRUE,"②家庭環境の影響をうけている","")</f>
        <v/>
      </c>
    </row>
    <row r="53" spans="2:5" ht="15" customHeight="1" x14ac:dyDescent="0.2">
      <c r="B53" s="100"/>
      <c r="C53" s="54"/>
      <c r="D53" s="41" t="str">
        <f>IF($C$51=TRUE,"③自分に注目してほしい気持ちがある","")</f>
        <v/>
      </c>
      <c r="E53" s="41" t="str">
        <f>IF($C$51=TRUE,"③性的虐待，性的被害等の可能性がある","")</f>
        <v/>
      </c>
    </row>
    <row r="54" spans="2:5" ht="15" customHeight="1" x14ac:dyDescent="0.2">
      <c r="B54" s="100"/>
      <c r="C54" s="54"/>
      <c r="D54" s="41" t="str">
        <f>IF($C$51=TRUE,"④大人の反応を見ている(ためし行動）","")</f>
        <v/>
      </c>
      <c r="E54" s="41"/>
    </row>
    <row r="55" spans="2:5" ht="15" customHeight="1" x14ac:dyDescent="0.2">
      <c r="B55" s="99"/>
      <c r="C55" s="56"/>
      <c r="D55" s="45"/>
      <c r="E55" s="45"/>
    </row>
    <row r="56" spans="2:5" ht="41.25" customHeight="1" x14ac:dyDescent="0.2">
      <c r="B56" s="1"/>
      <c r="C56" s="60"/>
      <c r="D56" s="48"/>
      <c r="E56" s="48"/>
    </row>
    <row r="57" spans="2:5" x14ac:dyDescent="0.2">
      <c r="B57" s="67" t="s">
        <v>50</v>
      </c>
      <c r="C57" s="51"/>
      <c r="D57" s="68" t="s">
        <v>36</v>
      </c>
      <c r="E57" s="69" t="s">
        <v>37</v>
      </c>
    </row>
    <row r="58" spans="2:5" ht="15" customHeight="1" x14ac:dyDescent="0.2">
      <c r="B58" s="98" t="str">
        <f>チェックシート!$G$27</f>
        <v>パニックになる</v>
      </c>
      <c r="C58" s="55" t="b">
        <v>0</v>
      </c>
      <c r="D58" s="40" t="str">
        <f>IF($C$58=TRUE,"①見通しがもてないことが不安である","")</f>
        <v/>
      </c>
      <c r="E58" s="6" t="str">
        <f>IF($C$58=TRUE,"①友だちから不快な言動を受けている","")</f>
        <v/>
      </c>
    </row>
    <row r="59" spans="2:5" ht="15" customHeight="1" x14ac:dyDescent="0.2">
      <c r="B59" s="100"/>
      <c r="C59" s="54"/>
      <c r="D59" s="41" t="str">
        <f>IF($C$58=TRUE,"②環境の急激な変化があった","")</f>
        <v/>
      </c>
      <c r="E59" s="38" t="str">
        <f>IF($C$58=TRUE,"②クラスの雰囲気が落ち着いていない","")</f>
        <v/>
      </c>
    </row>
    <row r="60" spans="2:5" ht="15" customHeight="1" x14ac:dyDescent="0.2">
      <c r="B60" s="100"/>
      <c r="C60" s="54"/>
      <c r="D60" s="105" t="str">
        <f>IF($C$58=TRUE,"③大勢の人やざわざわした声，放送などの大きな音が苦手である","")</f>
        <v/>
      </c>
      <c r="E60" s="41" t="str">
        <f>IF($C$58=TRUE,"③先生の指示がわかりにくい","")</f>
        <v/>
      </c>
    </row>
    <row r="61" spans="2:5" ht="15" customHeight="1" x14ac:dyDescent="0.2">
      <c r="B61" s="100"/>
      <c r="C61" s="54"/>
      <c r="D61" s="104"/>
      <c r="E61" s="41"/>
    </row>
    <row r="62" spans="2:5" ht="15" customHeight="1" x14ac:dyDescent="0.2">
      <c r="B62" s="100"/>
      <c r="C62" s="54"/>
      <c r="D62" s="41" t="str">
        <f>IF($C$58=TRUE,"④気持ちを言葉でうまく表現できない","")</f>
        <v/>
      </c>
      <c r="E62" s="41"/>
    </row>
    <row r="63" spans="2:5" ht="15" customHeight="1" x14ac:dyDescent="0.2">
      <c r="B63" s="99"/>
      <c r="C63" s="56"/>
      <c r="D63" s="31"/>
      <c r="E63" s="31"/>
    </row>
    <row r="64" spans="2:5" ht="15" customHeight="1" x14ac:dyDescent="0.2">
      <c r="B64" s="98" t="str">
        <f>チェックシート!$G$28</f>
        <v>一人ごとをいったり，奇声を発したりする</v>
      </c>
      <c r="C64" s="55" t="b">
        <v>0</v>
      </c>
      <c r="D64" s="40" t="str">
        <f>IF($C$64=TRUE,"①感情をうまくコントロールできない","")</f>
        <v/>
      </c>
      <c r="E64" s="40" t="str">
        <f>IF($C$64=TRUE,"①友だちから不快な言動を受けている","")</f>
        <v/>
      </c>
    </row>
    <row r="65" spans="2:5" ht="15" customHeight="1" x14ac:dyDescent="0.2">
      <c r="B65" s="100"/>
      <c r="C65" s="54"/>
      <c r="D65" s="38" t="str">
        <f>IF($C$64=TRUE,"②自分に注目してほしい気持ちがある","")</f>
        <v/>
      </c>
      <c r="E65" s="41" t="str">
        <f>IF($C$64=TRUE,"②先生の指示がわかりにくい","")</f>
        <v/>
      </c>
    </row>
    <row r="66" spans="2:5" ht="15" customHeight="1" x14ac:dyDescent="0.2">
      <c r="B66" s="100"/>
      <c r="C66" s="54"/>
      <c r="D66" s="41" t="str">
        <f>IF($C$64=TRUE,"③気持ちを言葉でうまく表現できない","")</f>
        <v/>
      </c>
      <c r="E66" s="38"/>
    </row>
    <row r="67" spans="2:5" ht="15" customHeight="1" x14ac:dyDescent="0.2">
      <c r="B67" s="100"/>
      <c r="C67" s="54"/>
      <c r="D67" s="41" t="str">
        <f>IF($C$64=TRUE,"④不安やストレスを抱えている","")</f>
        <v/>
      </c>
      <c r="E67" s="7"/>
    </row>
    <row r="68" spans="2:5" ht="15" customHeight="1" x14ac:dyDescent="0.2">
      <c r="B68" s="99"/>
      <c r="C68" s="56"/>
      <c r="D68" s="31"/>
      <c r="E68" s="31"/>
    </row>
    <row r="69" spans="2:5" ht="15" customHeight="1" x14ac:dyDescent="0.2">
      <c r="B69" s="98" t="str">
        <f>チェックシート!$G$29</f>
        <v>自分の体を傷つけることがある（リストカット・抜毛等）</v>
      </c>
      <c r="C69" s="55" t="b">
        <v>0</v>
      </c>
      <c r="D69" s="40" t="str">
        <f>IF($C$69=TRUE,"①不安や悩みを抱えている","")</f>
        <v/>
      </c>
      <c r="E69" s="40" t="str">
        <f>IF($C$69=TRUE,"①家庭環境の影響をうけている","")</f>
        <v/>
      </c>
    </row>
    <row r="70" spans="2:5" ht="15" customHeight="1" x14ac:dyDescent="0.2">
      <c r="B70" s="100"/>
      <c r="C70" s="54"/>
      <c r="D70" s="38" t="str">
        <f>IF($C$69=TRUE,"②自分に注目してほしい気持ちがある","")</f>
        <v/>
      </c>
      <c r="E70" s="41" t="str">
        <f>IF($C$69=TRUE,"②友だち関係に問題を抱えている","")</f>
        <v/>
      </c>
    </row>
    <row r="71" spans="2:5" ht="15" customHeight="1" x14ac:dyDescent="0.2">
      <c r="B71" s="100"/>
      <c r="C71" s="54"/>
      <c r="D71" s="41" t="str">
        <f>IF($C$69=TRUE,"③不安や悩みを大人に気づいてほしい","")</f>
        <v/>
      </c>
      <c r="E71" s="41" t="str">
        <f>IF($C$69=TRUE,"③学校生活に問題を抱えている","")</f>
        <v/>
      </c>
    </row>
    <row r="72" spans="2:5" ht="15" customHeight="1" x14ac:dyDescent="0.2">
      <c r="B72" s="100"/>
      <c r="C72" s="54"/>
      <c r="D72" s="7"/>
      <c r="E72" s="41"/>
    </row>
    <row r="73" spans="2:5" ht="15" customHeight="1" x14ac:dyDescent="0.2">
      <c r="B73" s="98" t="str">
        <f>チェックシート!$G$30</f>
        <v>うそをつくことが多い</v>
      </c>
      <c r="C73" s="64" t="b">
        <v>0</v>
      </c>
      <c r="D73" s="40" t="str">
        <f>IF($C$73=TRUE,"①自分に注目してほしい気持ちがある","")</f>
        <v/>
      </c>
      <c r="E73" s="40" t="str">
        <f>IF($C$73=TRUE,"①十分に愛情を注がれて育っていない","")</f>
        <v/>
      </c>
    </row>
    <row r="74" spans="2:5" ht="15" customHeight="1" x14ac:dyDescent="0.2">
      <c r="B74" s="100"/>
      <c r="D74" s="105" t="str">
        <f>IF($C$73=TRUE,"②うそをついている感覚や悪いことだという意識がない","")</f>
        <v/>
      </c>
      <c r="E74" s="105" t="str">
        <f>IF($C$73=TRUE,"②うそをつくことは悪いことだと教えられていない","")</f>
        <v/>
      </c>
    </row>
    <row r="75" spans="2:5" ht="15" customHeight="1" x14ac:dyDescent="0.2">
      <c r="B75" s="100"/>
      <c r="D75" s="104"/>
      <c r="E75" s="108"/>
    </row>
    <row r="76" spans="2:5" ht="15" customHeight="1" x14ac:dyDescent="0.2">
      <c r="B76" s="100"/>
      <c r="D76" s="41" t="str">
        <f>IF($C$73=TRUE,"③きちんと答えることが面倒である","")</f>
        <v/>
      </c>
      <c r="E76" s="38" t="str">
        <f>IF($C$73=TRUE,"③友だち関係に問題を抱えている","")</f>
        <v/>
      </c>
    </row>
    <row r="77" spans="2:5" ht="15" customHeight="1" x14ac:dyDescent="0.2">
      <c r="B77" s="100"/>
      <c r="D77" s="38" t="str">
        <f>IF($C$73=TRUE,"④人との信頼関係をうまく築くことができない","")</f>
        <v/>
      </c>
      <c r="E77" s="41" t="str">
        <f>IF($C$73=TRUE,"④まわりの人のかかわり方が適切でない","")</f>
        <v/>
      </c>
    </row>
    <row r="78" spans="2:5" ht="15" customHeight="1" x14ac:dyDescent="0.2">
      <c r="B78" s="99"/>
      <c r="C78" s="65"/>
      <c r="D78" s="22"/>
      <c r="E78" s="31"/>
    </row>
  </sheetData>
  <sheetProtection password="C7D0" sheet="1" objects="1" scenarios="1"/>
  <mergeCells count="21">
    <mergeCell ref="B42:B45"/>
    <mergeCell ref="B58:B63"/>
    <mergeCell ref="D74:D75"/>
    <mergeCell ref="E74:E75"/>
    <mergeCell ref="B73:B78"/>
    <mergeCell ref="B51:B55"/>
    <mergeCell ref="B46:B50"/>
    <mergeCell ref="B64:B68"/>
    <mergeCell ref="B69:B72"/>
    <mergeCell ref="D60:D61"/>
    <mergeCell ref="E37:E38"/>
    <mergeCell ref="B21:B28"/>
    <mergeCell ref="D21:D22"/>
    <mergeCell ref="D30:D31"/>
    <mergeCell ref="B29:B34"/>
    <mergeCell ref="B35:B41"/>
    <mergeCell ref="B1:D1"/>
    <mergeCell ref="B2:E2"/>
    <mergeCell ref="B4:B8"/>
    <mergeCell ref="B9:B13"/>
    <mergeCell ref="B14:B20"/>
  </mergeCells>
  <phoneticPr fontId="2"/>
  <pageMargins left="0.51181102362204722" right="0.51181102362204722" top="0.55118110236220474" bottom="0.55118110236220474" header="0.31496062992125984" footer="0.31496062992125984"/>
  <pageSetup paperSize="9" scale="99" orientation="portrait" r:id="rId1"/>
  <rowBreaks count="1" manualBreakCount="1">
    <brk id="55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1:E38"/>
  <sheetViews>
    <sheetView view="pageBreakPreview" zoomScale="60" zoomScaleNormal="100" workbookViewId="0">
      <pane ySplit="3" topLeftCell="A4" activePane="bottomLeft" state="frozen"/>
      <selection pane="bottomLeft" activeCell="E20" sqref="E20"/>
    </sheetView>
  </sheetViews>
  <sheetFormatPr defaultRowHeight="13.2" x14ac:dyDescent="0.2"/>
  <cols>
    <col min="1" max="1" width="1.88671875" customWidth="1"/>
    <col min="2" max="2" width="15.21875" customWidth="1"/>
    <col min="3" max="3" width="0.33203125" style="58" customWidth="1"/>
    <col min="4" max="5" width="37.88671875" customWidth="1"/>
  </cols>
  <sheetData>
    <row r="1" spans="2:5" ht="60.75" customHeight="1" x14ac:dyDescent="0.2">
      <c r="B1" s="81"/>
      <c r="C1" s="81"/>
      <c r="D1" s="81"/>
    </row>
    <row r="2" spans="2:5" ht="38.25" customHeight="1" x14ac:dyDescent="0.2">
      <c r="B2" s="109" t="s">
        <v>66</v>
      </c>
      <c r="C2" s="102"/>
      <c r="D2" s="102"/>
      <c r="E2" s="102"/>
    </row>
    <row r="3" spans="2:5" x14ac:dyDescent="0.2">
      <c r="B3" s="67" t="s">
        <v>50</v>
      </c>
      <c r="C3" s="51"/>
      <c r="D3" s="68" t="s">
        <v>36</v>
      </c>
      <c r="E3" s="69" t="s">
        <v>37</v>
      </c>
    </row>
    <row r="4" spans="2:5" ht="15" customHeight="1" x14ac:dyDescent="0.2">
      <c r="B4" s="98" t="str">
        <f>チェックシート!$D$34</f>
        <v>一日の中で気持ちの変動が激しい</v>
      </c>
      <c r="C4" s="55" t="b">
        <v>0</v>
      </c>
      <c r="D4" s="40" t="str">
        <f>IF($C$4=TRUE,"①感情をうまくコントロールできない","")</f>
        <v/>
      </c>
      <c r="E4" s="40" t="str">
        <f>IF($C$4=TRUE,"①十分に愛情を注がれて育っていない","")</f>
        <v/>
      </c>
    </row>
    <row r="5" spans="2:5" ht="15" customHeight="1" x14ac:dyDescent="0.2">
      <c r="B5" s="100"/>
      <c r="C5" s="54"/>
      <c r="D5" s="38" t="str">
        <f>IF($C$4=TRUE,"②気持ちをうまく伝えることができない","")</f>
        <v/>
      </c>
      <c r="E5" s="38" t="str">
        <f>IF($C$4=TRUE,"②家庭環境の影響をうけている","")</f>
        <v/>
      </c>
    </row>
    <row r="6" spans="2:5" ht="15" customHeight="1" x14ac:dyDescent="0.2">
      <c r="B6" s="100"/>
      <c r="C6" s="54"/>
      <c r="D6" s="38" t="str">
        <f>IF($C$4=TRUE,"③不安やストレスを抱えている","")</f>
        <v/>
      </c>
      <c r="E6" s="38" t="str">
        <f>IF($C$4=TRUE,"③暴力的な言動が多い環境で生活している","")</f>
        <v/>
      </c>
    </row>
    <row r="7" spans="2:5" ht="15" customHeight="1" x14ac:dyDescent="0.2">
      <c r="B7" s="100"/>
      <c r="C7" s="54"/>
      <c r="D7" s="41" t="str">
        <f>IF($C$4=TRUE,"④自分に注目してほしい気持ちがある","")</f>
        <v/>
      </c>
      <c r="E7" s="41"/>
    </row>
    <row r="8" spans="2:5" ht="15" customHeight="1" x14ac:dyDescent="0.2">
      <c r="B8" s="99"/>
      <c r="C8" s="56"/>
      <c r="D8" s="31"/>
      <c r="E8" s="31"/>
    </row>
    <row r="9" spans="2:5" ht="15" customHeight="1" x14ac:dyDescent="0.2">
      <c r="B9" s="98" t="str">
        <f>チェックシート!$D$35</f>
        <v>自分の感情をうまく表現できない</v>
      </c>
      <c r="C9" s="55" t="b">
        <v>0</v>
      </c>
      <c r="D9" s="40" t="str">
        <f>IF($C$9=TRUE,"①自分の気持ちを理解できていない","")</f>
        <v/>
      </c>
      <c r="E9" s="40" t="str">
        <f>IF($C$9=TRUE,"①人とかかわる経験が不足している","")</f>
        <v/>
      </c>
    </row>
    <row r="10" spans="2:5" ht="15" customHeight="1" x14ac:dyDescent="0.2">
      <c r="B10" s="100"/>
      <c r="C10" s="54"/>
      <c r="D10" s="105" t="str">
        <f>IF($C$9=TRUE,"②物事を感じたり，理解したりすることが苦手である","")</f>
        <v/>
      </c>
      <c r="E10" s="38" t="str">
        <f>IF($C$9=TRUE,"②十分に愛情を注がれて育っていない","")</f>
        <v/>
      </c>
    </row>
    <row r="11" spans="2:5" ht="15" customHeight="1" x14ac:dyDescent="0.2">
      <c r="B11" s="100"/>
      <c r="C11" s="54"/>
      <c r="D11" s="104"/>
      <c r="E11" s="38" t="str">
        <f>IF($C$9=TRUE,"③家庭環境の影響をうけている","")</f>
        <v/>
      </c>
    </row>
    <row r="12" spans="2:5" ht="15" customHeight="1" x14ac:dyDescent="0.2">
      <c r="B12" s="100"/>
      <c r="C12" s="54"/>
      <c r="D12" s="38" t="str">
        <f>IF($C$9=TRUE,"③先生の話している内容が理解できない","")</f>
        <v/>
      </c>
      <c r="E12" s="41"/>
    </row>
    <row r="13" spans="2:5" ht="15" customHeight="1" x14ac:dyDescent="0.2">
      <c r="B13" s="100"/>
      <c r="C13" s="54"/>
      <c r="D13" s="38" t="str">
        <f>IF($C$9=TRUE,"④表現の仕方がわからない","")</f>
        <v/>
      </c>
      <c r="E13" s="38"/>
    </row>
    <row r="14" spans="2:5" ht="15" customHeight="1" x14ac:dyDescent="0.2">
      <c r="B14" s="99"/>
      <c r="C14" s="54"/>
      <c r="D14" s="24"/>
      <c r="E14" s="24"/>
    </row>
    <row r="15" spans="2:5" ht="15" customHeight="1" x14ac:dyDescent="0.2">
      <c r="B15" s="98" t="str">
        <f>チェックシート!$D$36</f>
        <v>やる気がない</v>
      </c>
      <c r="C15" s="55" t="b">
        <v>0</v>
      </c>
      <c r="D15" s="6" t="str">
        <f>IF($C$15=TRUE,"①体調がすぐれない","")</f>
        <v/>
      </c>
      <c r="E15" s="40" t="str">
        <f>IF($C$15=TRUE,"①人から認められる場面が少ない","")</f>
        <v/>
      </c>
    </row>
    <row r="16" spans="2:5" ht="15" customHeight="1" x14ac:dyDescent="0.2">
      <c r="B16" s="100"/>
      <c r="C16" s="54"/>
      <c r="D16" s="39" t="str">
        <f>IF($C$15=TRUE,"②自分なりの目標をもつことができない","")</f>
        <v/>
      </c>
      <c r="E16" s="38" t="str">
        <f>IF($C$15=TRUE,"②友だち関係に問題を抱えている","")</f>
        <v/>
      </c>
    </row>
    <row r="17" spans="2:5" ht="15" customHeight="1" x14ac:dyDescent="0.2">
      <c r="B17" s="100"/>
      <c r="C17" s="54"/>
      <c r="D17" s="39" t="str">
        <f>IF($C$15=TRUE,"③成功体験が少ない","")</f>
        <v/>
      </c>
      <c r="E17" s="38" t="str">
        <f>IF($C$15=TRUE,"③先生との信頼関係が十分でない","")</f>
        <v/>
      </c>
    </row>
    <row r="18" spans="2:5" ht="15" customHeight="1" x14ac:dyDescent="0.2">
      <c r="B18" s="100"/>
      <c r="C18" s="54"/>
      <c r="D18" s="105" t="str">
        <f>IF($C$15=TRUE,"④学習につまずきがある
（内容が理解できない，黒板がよく見えない，説明がわからない）","")</f>
        <v/>
      </c>
      <c r="E18" s="38"/>
    </row>
    <row r="19" spans="2:5" ht="15" customHeight="1" x14ac:dyDescent="0.2">
      <c r="B19" s="100"/>
      <c r="C19" s="54"/>
      <c r="D19" s="100"/>
      <c r="E19" s="38"/>
    </row>
    <row r="20" spans="2:5" ht="15" customHeight="1" x14ac:dyDescent="0.2">
      <c r="B20" s="100"/>
      <c r="C20" s="54"/>
      <c r="D20" s="104"/>
      <c r="E20" s="38"/>
    </row>
    <row r="21" spans="2:5" ht="15" customHeight="1" x14ac:dyDescent="0.2">
      <c r="B21" s="100"/>
      <c r="C21" s="54"/>
      <c r="D21" s="31"/>
      <c r="E21" s="31"/>
    </row>
    <row r="22" spans="2:5" ht="15" customHeight="1" x14ac:dyDescent="0.2">
      <c r="B22" s="98" t="str">
        <f>チェックシート!$G$34</f>
        <v>いらいらしていることが多い</v>
      </c>
      <c r="C22" s="55" t="b">
        <v>0</v>
      </c>
      <c r="D22" s="6" t="str">
        <f>IF($C$22=TRUE,"①不安やストレスを抱えている","")</f>
        <v/>
      </c>
      <c r="E22" s="40" t="str">
        <f>IF($C$22=TRUE,"①家庭環境の影響をうけている","")</f>
        <v/>
      </c>
    </row>
    <row r="23" spans="2:5" ht="15" customHeight="1" x14ac:dyDescent="0.2">
      <c r="B23" s="100"/>
      <c r="C23" s="54"/>
      <c r="D23" s="105" t="str">
        <f>IF($C$22=TRUE,"②気持ちをうまく表現できず，どうしたらいいかわからない","")</f>
        <v/>
      </c>
      <c r="E23" s="38" t="str">
        <f>IF($C$22=TRUE,"②学校生活に問題を抱えている","")</f>
        <v/>
      </c>
    </row>
    <row r="24" spans="2:5" ht="15" customHeight="1" x14ac:dyDescent="0.2">
      <c r="B24" s="100"/>
      <c r="C24" s="54"/>
      <c r="D24" s="104"/>
      <c r="E24" s="38" t="str">
        <f>IF($C$22=TRUE,"③友だち関係に問題を抱えている","")</f>
        <v/>
      </c>
    </row>
    <row r="25" spans="2:5" ht="15" customHeight="1" x14ac:dyDescent="0.2">
      <c r="B25" s="100"/>
      <c r="C25" s="54"/>
      <c r="D25" s="39" t="str">
        <f>IF($C$22=TRUE,"③小さなことでも気になって仕方がない","")</f>
        <v/>
      </c>
      <c r="E25" s="38" t="str">
        <f>IF($C$22=TRUE,"④クラスの雰囲気が落ち着いていない","")</f>
        <v/>
      </c>
    </row>
    <row r="26" spans="2:5" ht="15" customHeight="1" x14ac:dyDescent="0.2">
      <c r="B26" s="100"/>
      <c r="C26" s="54"/>
      <c r="D26" s="38" t="str">
        <f>IF($C$22=TRUE,"④思い通りのことができない","")</f>
        <v/>
      </c>
      <c r="E26" s="38"/>
    </row>
    <row r="27" spans="2:5" x14ac:dyDescent="0.2">
      <c r="B27" s="99"/>
      <c r="C27" s="56"/>
      <c r="D27" s="22"/>
      <c r="E27" s="22"/>
    </row>
    <row r="28" spans="2:5" ht="15" customHeight="1" x14ac:dyDescent="0.2">
      <c r="B28" s="98" t="str">
        <f>チェックシート!$G$35</f>
        <v>一度怒るとなかなかおさまらない</v>
      </c>
      <c r="C28" s="54" t="b">
        <v>0</v>
      </c>
      <c r="D28" s="103" t="str">
        <f>IF($C$28=TRUE,"①ちょっとしたからかいを必要以上に受け止めてしまう","")</f>
        <v/>
      </c>
      <c r="E28" s="6" t="str">
        <f>IF($C$28=TRUE,"①友だちから不快な言動を受けている","")</f>
        <v/>
      </c>
    </row>
    <row r="29" spans="2:5" ht="15" customHeight="1" x14ac:dyDescent="0.2">
      <c r="B29" s="100"/>
      <c r="C29" s="54"/>
      <c r="D29" s="104"/>
      <c r="E29" s="38" t="str">
        <f>IF($C$28=TRUE,"②家庭環境の影響をうけている","")</f>
        <v/>
      </c>
    </row>
    <row r="30" spans="2:5" ht="15" customHeight="1" x14ac:dyDescent="0.2">
      <c r="B30" s="100"/>
      <c r="C30" s="54"/>
      <c r="D30" s="39" t="str">
        <f>IF($C$28=TRUE,"②怒りの感情をうまくコントロールできない","")</f>
        <v/>
      </c>
      <c r="E30" s="42"/>
    </row>
    <row r="31" spans="2:5" ht="15" customHeight="1" x14ac:dyDescent="0.2">
      <c r="B31" s="100"/>
      <c r="C31" s="54"/>
      <c r="D31" s="38"/>
      <c r="E31" s="42"/>
    </row>
    <row r="32" spans="2:5" ht="15" customHeight="1" x14ac:dyDescent="0.2">
      <c r="B32" s="99"/>
      <c r="C32" s="56"/>
      <c r="D32" s="22"/>
      <c r="E32" s="22"/>
    </row>
    <row r="33" spans="2:5" ht="15" customHeight="1" x14ac:dyDescent="0.2">
      <c r="B33" s="98" t="str">
        <f>チェックシート!$G$36</f>
        <v>何に対してもおどおどしている</v>
      </c>
      <c r="C33" s="55" t="b">
        <v>0</v>
      </c>
      <c r="D33" s="40" t="str">
        <f>IF($C$33=TRUE,"①不安や悩みを抱えている","")</f>
        <v/>
      </c>
      <c r="E33" s="40" t="str">
        <f>IF($C$33=TRUE,"①人とかかわる経験が不足している","")</f>
        <v/>
      </c>
    </row>
    <row r="34" spans="2:5" ht="15" customHeight="1" x14ac:dyDescent="0.2">
      <c r="B34" s="100"/>
      <c r="C34" s="54"/>
      <c r="D34" s="7" t="str">
        <f>IF($C$33=TRUE,"②自分に自信がないと感じている","")</f>
        <v/>
      </c>
      <c r="E34" s="38" t="str">
        <f>IF($C$33=TRUE,"②十分に愛情を注がれて育っていない","")</f>
        <v/>
      </c>
    </row>
    <row r="35" spans="2:5" ht="15" customHeight="1" x14ac:dyDescent="0.2">
      <c r="B35" s="100"/>
      <c r="C35" s="54"/>
      <c r="D35" s="39" t="str">
        <f>IF($C$33=TRUE,"③人間関係をうまく築くことができない","")</f>
        <v/>
      </c>
      <c r="E35" s="105" t="str">
        <f>IF($C$33=TRUE,"③怒られることが多く，ほめられる経験が少ない","")</f>
        <v/>
      </c>
    </row>
    <row r="36" spans="2:5" ht="15" customHeight="1" x14ac:dyDescent="0.2">
      <c r="B36" s="100"/>
      <c r="C36" s="54"/>
      <c r="D36" s="39" t="str">
        <f>IF($C$33=TRUE,"④ひとつの事が長続きしない","")</f>
        <v/>
      </c>
      <c r="E36" s="104"/>
    </row>
    <row r="37" spans="2:5" ht="15" customHeight="1" x14ac:dyDescent="0.2">
      <c r="B37" s="100"/>
      <c r="C37" s="54"/>
      <c r="D37" s="38" t="str">
        <f>IF($C$33=TRUE,"⑤失敗により嫌な経験をしたことがある","")</f>
        <v/>
      </c>
      <c r="E37" s="41" t="str">
        <f>IF($C$33=TRUE,"④友だち関係に問題を抱えている","")</f>
        <v/>
      </c>
    </row>
    <row r="38" spans="2:5" ht="15" customHeight="1" x14ac:dyDescent="0.2">
      <c r="B38" s="99"/>
      <c r="C38" s="56"/>
      <c r="D38" s="22"/>
      <c r="E38" s="22"/>
    </row>
  </sheetData>
  <sheetProtection password="C7D0" sheet="1" objects="1" scenarios="1"/>
  <mergeCells count="13">
    <mergeCell ref="B22:B27"/>
    <mergeCell ref="E35:E36"/>
    <mergeCell ref="B28:B32"/>
    <mergeCell ref="D28:D29"/>
    <mergeCell ref="B33:B38"/>
    <mergeCell ref="D23:D24"/>
    <mergeCell ref="B1:D1"/>
    <mergeCell ref="B2:E2"/>
    <mergeCell ref="B4:B8"/>
    <mergeCell ref="B9:B14"/>
    <mergeCell ref="B15:B21"/>
    <mergeCell ref="D10:D11"/>
    <mergeCell ref="D18:D20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E87"/>
  <sheetViews>
    <sheetView zoomScaleNormal="100" workbookViewId="0">
      <pane ySplit="3" topLeftCell="A22" activePane="bottomLeft" state="frozen"/>
      <selection pane="bottomLeft"/>
    </sheetView>
  </sheetViews>
  <sheetFormatPr defaultRowHeight="13.2" x14ac:dyDescent="0.2"/>
  <cols>
    <col min="1" max="1" width="1.21875" customWidth="1"/>
    <col min="2" max="2" width="12.88671875" customWidth="1"/>
    <col min="3" max="3" width="0.33203125" style="58" customWidth="1"/>
    <col min="4" max="4" width="37.88671875" customWidth="1"/>
    <col min="5" max="5" width="36.77734375" customWidth="1"/>
  </cols>
  <sheetData>
    <row r="1" spans="2:5" ht="60.75" customHeight="1" x14ac:dyDescent="0.2">
      <c r="B1" s="81"/>
      <c r="C1" s="81"/>
      <c r="D1" s="81"/>
    </row>
    <row r="2" spans="2:5" ht="27.75" customHeight="1" x14ac:dyDescent="0.2">
      <c r="B2" s="113" t="s">
        <v>67</v>
      </c>
      <c r="C2" s="114"/>
      <c r="D2" s="114"/>
      <c r="E2" s="114"/>
    </row>
    <row r="3" spans="2:5" x14ac:dyDescent="0.2">
      <c r="B3" s="67" t="s">
        <v>50</v>
      </c>
      <c r="C3" s="51"/>
      <c r="D3" s="68" t="s">
        <v>36</v>
      </c>
      <c r="E3" s="69" t="s">
        <v>37</v>
      </c>
    </row>
    <row r="4" spans="2:5" ht="15" customHeight="1" x14ac:dyDescent="0.2">
      <c r="B4" s="110" t="str">
        <f>チェックシート!$D$40</f>
        <v>ぼんやりしていることが多い</v>
      </c>
      <c r="C4" s="55" t="b">
        <v>0</v>
      </c>
      <c r="D4" s="40" t="str">
        <f>IF($C$4=TRUE,"①睡眠を十分にとれていない","")</f>
        <v/>
      </c>
      <c r="E4" s="103" t="str">
        <f>IF($C$4=TRUE,"①クラスが騒がしくて，先生の話が聞こえない","")</f>
        <v/>
      </c>
    </row>
    <row r="5" spans="2:5" ht="15" customHeight="1" x14ac:dyDescent="0.2">
      <c r="B5" s="111"/>
      <c r="C5" s="54"/>
      <c r="D5" s="38" t="str">
        <f>IF($C$4=TRUE,"②先生の話している内容を理解できない","")</f>
        <v/>
      </c>
      <c r="E5" s="104"/>
    </row>
    <row r="6" spans="2:5" ht="15" customHeight="1" x14ac:dyDescent="0.2">
      <c r="B6" s="111"/>
      <c r="C6" s="54"/>
      <c r="D6" s="38" t="str">
        <f>IF($C$4=TRUE,"③何をすればいいのかわからない","")</f>
        <v/>
      </c>
      <c r="E6" s="39" t="str">
        <f>IF($C$4=TRUE,"②学習内容や教材がおもしろくない","")</f>
        <v/>
      </c>
    </row>
    <row r="7" spans="2:5" ht="15" customHeight="1" x14ac:dyDescent="0.2">
      <c r="B7" s="111"/>
      <c r="C7" s="54"/>
      <c r="D7" s="41" t="str">
        <f>IF($C$4=TRUE,"④学習に興味をもてない","")</f>
        <v/>
      </c>
      <c r="E7" s="39" t="str">
        <f>IF($C$4=TRUE,"③忘れ物や学習への配慮が足りない","")</f>
        <v/>
      </c>
    </row>
    <row r="8" spans="2:5" ht="15" customHeight="1" x14ac:dyDescent="0.2">
      <c r="B8" s="111"/>
      <c r="C8" s="54"/>
      <c r="D8" s="38" t="str">
        <f>IF($C$4=TRUE,"⑤不安や悩みを抱えている","")</f>
        <v/>
      </c>
      <c r="E8" s="39" t="str">
        <f>IF($C$4=TRUE,"④家庭環境の影響をうけている","")</f>
        <v/>
      </c>
    </row>
    <row r="9" spans="2:5" ht="15" customHeight="1" x14ac:dyDescent="0.2">
      <c r="B9" s="111"/>
      <c r="C9" s="54"/>
      <c r="D9" s="41"/>
      <c r="E9" s="38" t="str">
        <f>IF($C$4=TRUE,"⑤友だち関係に問題を抱えている","")</f>
        <v/>
      </c>
    </row>
    <row r="10" spans="2:5" ht="13.5" customHeight="1" x14ac:dyDescent="0.2">
      <c r="B10" s="112"/>
      <c r="C10" s="56"/>
      <c r="D10" s="43"/>
      <c r="E10" s="43"/>
    </row>
    <row r="11" spans="2:5" ht="15" customHeight="1" x14ac:dyDescent="0.2">
      <c r="B11" s="110" t="str">
        <f>チェックシート!$D$41</f>
        <v>学習に集中できない</v>
      </c>
      <c r="C11" s="54" t="b">
        <v>0</v>
      </c>
      <c r="D11" s="40" t="str">
        <f>IF($C$11=TRUE,"①まわりの事がすぐに気になってしまう","")</f>
        <v/>
      </c>
      <c r="E11" s="6" t="str">
        <f>IF($C$11=TRUE,"①友だちから不快な言動を受けている","")</f>
        <v/>
      </c>
    </row>
    <row r="12" spans="2:5" ht="15" customHeight="1" x14ac:dyDescent="0.2">
      <c r="B12" s="111"/>
      <c r="C12" s="54"/>
      <c r="D12" s="38" t="str">
        <f>IF($C$11=TRUE,"②ひとつのことが長続きしない","")</f>
        <v/>
      </c>
      <c r="E12" s="38" t="str">
        <f>IF($C$11=TRUE,"②学習用具がそろっていない","")</f>
        <v/>
      </c>
    </row>
    <row r="13" spans="2:5" ht="15" customHeight="1" x14ac:dyDescent="0.2">
      <c r="B13" s="111"/>
      <c r="C13" s="54"/>
      <c r="D13" s="38" t="str">
        <f>IF($C$11=TRUE,"③学習についていけない","")</f>
        <v/>
      </c>
      <c r="E13" s="38" t="str">
        <f>IF($C$11=TRUE,"③クラスの雰囲気が落ち着いていない","")</f>
        <v/>
      </c>
    </row>
    <row r="14" spans="2:5" ht="15" customHeight="1" x14ac:dyDescent="0.2">
      <c r="B14" s="111"/>
      <c r="C14" s="54"/>
      <c r="D14" s="38" t="str">
        <f>IF($C$11=TRUE,"④文字を書くことや読むことが苦手である","")</f>
        <v/>
      </c>
      <c r="E14" s="38" t="str">
        <f>IF($C$11=TRUE,"④家庭環境の影響をうけている","")</f>
        <v/>
      </c>
    </row>
    <row r="15" spans="2:5" ht="15" customHeight="1" x14ac:dyDescent="0.2">
      <c r="B15" s="111"/>
      <c r="C15" s="54"/>
      <c r="D15" s="105" t="str">
        <f>IF($C$11=TRUE,"⑤黒板が見えにくかったり，説明が聞き取りにくかったりする","")</f>
        <v/>
      </c>
      <c r="E15" s="41" t="str">
        <f>IF($C$11=TRUE,"⑤友だち関係に問題を抱えている","")</f>
        <v/>
      </c>
    </row>
    <row r="16" spans="2:5" ht="15" customHeight="1" x14ac:dyDescent="0.2">
      <c r="B16" s="111"/>
      <c r="C16" s="54"/>
      <c r="D16" s="104"/>
      <c r="E16" s="7"/>
    </row>
    <row r="17" spans="2:5" ht="13.5" customHeight="1" x14ac:dyDescent="0.2">
      <c r="B17" s="112"/>
      <c r="C17" s="56"/>
      <c r="D17" s="35"/>
      <c r="E17" s="35"/>
    </row>
    <row r="18" spans="2:5" ht="15" customHeight="1" x14ac:dyDescent="0.2">
      <c r="B18" s="110" t="str">
        <f>チェックシート!$D$42</f>
        <v>授業中すわっていられない</v>
      </c>
      <c r="C18" s="55" t="b">
        <v>0</v>
      </c>
      <c r="D18" s="38" t="str">
        <f>IF($C$18=TRUE,"①いつも体が動いてしまう","")</f>
        <v/>
      </c>
      <c r="E18" s="40" t="str">
        <f>IF($C$18=TRUE,"①友だちから不快な言動を受けている","")</f>
        <v/>
      </c>
    </row>
    <row r="19" spans="2:5" ht="15" customHeight="1" x14ac:dyDescent="0.2">
      <c r="B19" s="111"/>
      <c r="C19" s="54"/>
      <c r="D19" s="38" t="str">
        <f>IF($C$18=TRUE,"②学習内容や取り組むことがわからない","")</f>
        <v/>
      </c>
      <c r="E19" s="7" t="str">
        <f>IF($C$18=TRUE,"②クラスの雰囲気が落ち着いていない","")</f>
        <v/>
      </c>
    </row>
    <row r="20" spans="2:5" ht="15" customHeight="1" x14ac:dyDescent="0.2">
      <c r="B20" s="111"/>
      <c r="C20" s="54"/>
      <c r="D20" s="38" t="str">
        <f>IF($C$18=TRUE,"③まわりの事がすぐに気になってしまう","")</f>
        <v/>
      </c>
      <c r="E20" s="38" t="str">
        <f>IF($C$18=TRUE,"③家庭環境の影響をうけている","")</f>
        <v/>
      </c>
    </row>
    <row r="21" spans="2:5" ht="15" customHeight="1" x14ac:dyDescent="0.2">
      <c r="B21" s="111"/>
      <c r="C21" s="54"/>
      <c r="D21" s="38" t="str">
        <f>IF($C$18=TRUE,"④学習の積み重ねがない","")</f>
        <v/>
      </c>
      <c r="E21" s="38" t="str">
        <f>IF($C$18=TRUE,"④友だち関係に問題を抱えている","")</f>
        <v/>
      </c>
    </row>
    <row r="22" spans="2:5" ht="15" customHeight="1" x14ac:dyDescent="0.2">
      <c r="B22" s="111"/>
      <c r="C22" s="54"/>
      <c r="D22" s="38" t="str">
        <f>IF($C$18=TRUE,"⑤説明が聞き取りにくい","")</f>
        <v/>
      </c>
      <c r="E22" s="38"/>
    </row>
    <row r="23" spans="2:5" ht="15" customHeight="1" x14ac:dyDescent="0.2">
      <c r="B23" s="111"/>
      <c r="C23" s="54"/>
      <c r="D23" s="38" t="str">
        <f>IF($C$18=TRUE,"⑥自分に注目してほしい気持ちがある","")</f>
        <v/>
      </c>
      <c r="E23" s="39"/>
    </row>
    <row r="24" spans="2:5" ht="13.5" customHeight="1" x14ac:dyDescent="0.2">
      <c r="B24" s="112"/>
      <c r="C24" s="56"/>
      <c r="D24" s="35"/>
      <c r="E24" s="35"/>
    </row>
    <row r="25" spans="2:5" ht="15" customHeight="1" x14ac:dyDescent="0.2">
      <c r="B25" s="110" t="str">
        <f>チェックシート!$D$43</f>
        <v>授業中居眠りをしてしまう</v>
      </c>
      <c r="C25" s="55" t="b">
        <v>0</v>
      </c>
      <c r="D25" s="38" t="str">
        <f>IF($C$25=TRUE,"①睡眠が十分にとれていない","")</f>
        <v/>
      </c>
      <c r="E25" s="38" t="str">
        <f>IF($C$25=TRUE,"①学習内容や教材がおもしろくない","")</f>
        <v/>
      </c>
    </row>
    <row r="26" spans="2:5" ht="15" customHeight="1" x14ac:dyDescent="0.2">
      <c r="B26" s="111"/>
      <c r="C26" s="54"/>
      <c r="D26" s="38" t="str">
        <f>IF($C$25=TRUE,"②学習内容や取り組むことがわからない","")</f>
        <v/>
      </c>
      <c r="E26" s="38" t="str">
        <f>IF($C$25=TRUE,"②生活習慣が乱れている","")</f>
        <v/>
      </c>
    </row>
    <row r="27" spans="2:5" ht="15" customHeight="1" x14ac:dyDescent="0.2">
      <c r="B27" s="111"/>
      <c r="C27" s="54"/>
      <c r="D27" s="38" t="str">
        <f>IF($C$25=TRUE,"③学習に対する意欲が低い","")</f>
        <v/>
      </c>
      <c r="E27" s="38" t="str">
        <f>IF($C$25=TRUE,"③家庭環境の影響をうけている","")</f>
        <v/>
      </c>
    </row>
    <row r="28" spans="2:5" ht="15" customHeight="1" x14ac:dyDescent="0.2">
      <c r="B28" s="111"/>
      <c r="C28" s="54"/>
      <c r="D28" s="105" t="str">
        <f>IF($C$25=TRUE,"④黒板が見えにくかったり，説明が聞き取りにくかったりする","")</f>
        <v/>
      </c>
      <c r="E28" s="38"/>
    </row>
    <row r="29" spans="2:5" ht="15" customHeight="1" x14ac:dyDescent="0.2">
      <c r="B29" s="111"/>
      <c r="C29" s="54"/>
      <c r="D29" s="104"/>
      <c r="E29" s="38"/>
    </row>
    <row r="30" spans="2:5" ht="15" customHeight="1" x14ac:dyDescent="0.2">
      <c r="B30" s="111"/>
      <c r="C30" s="54"/>
      <c r="D30" s="105" t="str">
        <f>IF($C$25=TRUE,"⑤疲れがたまっている
（部活動，習い事等）","")</f>
        <v/>
      </c>
      <c r="E30" s="38"/>
    </row>
    <row r="31" spans="2:5" ht="15" customHeight="1" x14ac:dyDescent="0.2">
      <c r="B31" s="111"/>
      <c r="C31" s="54"/>
      <c r="D31" s="104"/>
      <c r="E31" s="38"/>
    </row>
    <row r="32" spans="2:5" ht="15" customHeight="1" x14ac:dyDescent="0.2">
      <c r="B32" s="111"/>
      <c r="C32" s="54"/>
      <c r="D32" s="38" t="str">
        <f>IF($C$25=TRUE,"⑥薬を飲んでいる","")</f>
        <v/>
      </c>
      <c r="E32" s="38"/>
    </row>
    <row r="33" spans="2:5" ht="13.5" customHeight="1" x14ac:dyDescent="0.2">
      <c r="B33" s="112"/>
      <c r="C33" s="56"/>
      <c r="D33" s="35"/>
      <c r="E33" s="35"/>
    </row>
    <row r="34" spans="2:5" ht="15" customHeight="1" x14ac:dyDescent="0.2">
      <c r="B34" s="110" t="str">
        <f>チェックシート!$D$44</f>
        <v>授業中おしゃべりが多い</v>
      </c>
      <c r="C34" s="55" t="b">
        <v>0</v>
      </c>
      <c r="D34" s="38" t="str">
        <f>IF($C$34=TRUE,"①気になることは黙っていられない","")</f>
        <v/>
      </c>
      <c r="E34" s="38" t="str">
        <f>IF($C$34=TRUE,"①クラスの雰囲気が落ち着いていない","")</f>
        <v/>
      </c>
    </row>
    <row r="35" spans="2:5" ht="15" customHeight="1" x14ac:dyDescent="0.2">
      <c r="B35" s="111"/>
      <c r="C35" s="54"/>
      <c r="D35" s="38" t="str">
        <f>IF($C$34=TRUE,"②自分に注目してほしい気持ちがある","")</f>
        <v/>
      </c>
      <c r="E35" s="38" t="str">
        <f>IF($C$34=TRUE,"
","")</f>
        <v/>
      </c>
    </row>
    <row r="36" spans="2:5" ht="15" customHeight="1" x14ac:dyDescent="0.2">
      <c r="B36" s="111"/>
      <c r="C36" s="54"/>
      <c r="D36" s="38" t="str">
        <f>IF($C$34=TRUE,"③学習内容や取り組むことがわからない","")</f>
        <v/>
      </c>
      <c r="E36" s="38" t="str">
        <f t="shared" ref="E36:E40" si="0">IF($C$34=TRUE,"
","")</f>
        <v/>
      </c>
    </row>
    <row r="37" spans="2:5" ht="15" customHeight="1" x14ac:dyDescent="0.2">
      <c r="B37" s="111"/>
      <c r="C37" s="54"/>
      <c r="D37" s="38" t="str">
        <f>IF($C$34=TRUE,"④学習がやさしすぎてつまらない","")</f>
        <v/>
      </c>
      <c r="E37" s="38" t="str">
        <f t="shared" si="0"/>
        <v/>
      </c>
    </row>
    <row r="38" spans="2:5" ht="15" customHeight="1" x14ac:dyDescent="0.2">
      <c r="B38" s="111"/>
      <c r="C38" s="54"/>
      <c r="D38" s="38" t="str">
        <f>IF($C$34=TRUE,"⑤学習に対する意欲が低い","")</f>
        <v/>
      </c>
      <c r="E38" s="38" t="str">
        <f t="shared" si="0"/>
        <v/>
      </c>
    </row>
    <row r="39" spans="2:5" ht="15" customHeight="1" x14ac:dyDescent="0.2">
      <c r="B39" s="111"/>
      <c r="C39" s="54"/>
      <c r="D39" s="38" t="str">
        <f>IF($C$34=TRUE,"⑥まわりの状況がわからない","")</f>
        <v/>
      </c>
      <c r="E39" s="38" t="str">
        <f t="shared" si="0"/>
        <v/>
      </c>
    </row>
    <row r="40" spans="2:5" ht="15" customHeight="1" x14ac:dyDescent="0.2">
      <c r="B40" s="111"/>
      <c r="C40" s="54"/>
      <c r="D40" s="38" t="str">
        <f>IF($C$34=TRUE,"⑦まわりの友だちにつられて騒いでしまう","")</f>
        <v/>
      </c>
      <c r="E40" s="38" t="str">
        <f t="shared" si="0"/>
        <v/>
      </c>
    </row>
    <row r="41" spans="2:5" ht="15" customHeight="1" x14ac:dyDescent="0.2">
      <c r="B41" s="111"/>
      <c r="C41" s="54"/>
      <c r="D41" s="38" t="str">
        <f>IF($C$34=TRUE,"⑧人の話を聞く態度が身についていない","")</f>
        <v/>
      </c>
      <c r="E41" s="39"/>
    </row>
    <row r="42" spans="2:5" ht="13.5" customHeight="1" x14ac:dyDescent="0.2">
      <c r="B42" s="112"/>
      <c r="C42" s="56"/>
      <c r="D42" s="35"/>
      <c r="E42" s="35"/>
    </row>
    <row r="43" spans="2:5" ht="15" customHeight="1" x14ac:dyDescent="0.2">
      <c r="B43" s="110" t="str">
        <f>チェックシート!$G$40</f>
        <v>人の話を聞くことができない</v>
      </c>
      <c r="C43" s="55" t="b">
        <v>0</v>
      </c>
      <c r="D43" s="40" t="str">
        <f>IF($C$43=TRUE,"①人との信頼関係をうまく築くことができない","")</f>
        <v/>
      </c>
      <c r="E43" s="6" t="str">
        <f>IF($C$43=TRUE,"①クラスの雰囲気が落ち着いていない","")</f>
        <v/>
      </c>
    </row>
    <row r="44" spans="2:5" ht="15" customHeight="1" x14ac:dyDescent="0.2">
      <c r="B44" s="111"/>
      <c r="C44" s="54"/>
      <c r="D44" s="38" t="str">
        <f>IF($C$43=TRUE,"②人の話を聞く態度が身についていない","")</f>
        <v/>
      </c>
      <c r="E44" s="105" t="str">
        <f>IF($C$43=TRUE,"②話を聞いてもらったり，認めてもらったりする経験が少ない","")</f>
        <v/>
      </c>
    </row>
    <row r="45" spans="2:5" ht="15" customHeight="1" x14ac:dyDescent="0.2">
      <c r="B45" s="111"/>
      <c r="C45" s="54"/>
      <c r="D45" s="38" t="str">
        <f>IF($C$43=TRUE,"③聴覚的に情報を得ることが苦手である","")</f>
        <v/>
      </c>
      <c r="E45" s="100"/>
    </row>
    <row r="46" spans="2:5" ht="15" customHeight="1" x14ac:dyDescent="0.2">
      <c r="B46" s="111"/>
      <c r="C46" s="54"/>
      <c r="D46" s="38" t="str">
        <f>IF($C$43=TRUE,"④話したいことだけを話す","")</f>
        <v/>
      </c>
      <c r="E46" s="38" t="str">
        <f>IF($C$43=TRUE,"③相手の話し方がわかりにくい","")</f>
        <v/>
      </c>
    </row>
    <row r="47" spans="2:5" ht="15" customHeight="1" x14ac:dyDescent="0.2">
      <c r="B47" s="111"/>
      <c r="C47" s="54"/>
      <c r="D47" s="38" t="str">
        <f>IF($C$43=TRUE,"⑤話の内容がすぐに理解できない","")</f>
        <v/>
      </c>
      <c r="E47" s="105" t="str">
        <f>IF($C$43=TRUE,"④怒られることが多く，ほめられる経験が少ない","")</f>
        <v/>
      </c>
    </row>
    <row r="48" spans="2:5" ht="15" customHeight="1" x14ac:dyDescent="0.2">
      <c r="B48" s="111"/>
      <c r="C48" s="54"/>
      <c r="D48" s="39"/>
      <c r="E48" s="104"/>
    </row>
    <row r="49" spans="2:5" ht="13.5" customHeight="1" x14ac:dyDescent="0.2">
      <c r="B49" s="112"/>
      <c r="C49" s="56"/>
      <c r="D49" s="35"/>
      <c r="E49" s="35"/>
    </row>
    <row r="50" spans="2:5" ht="13.5" customHeight="1" x14ac:dyDescent="0.2">
      <c r="B50" s="66"/>
      <c r="C50" s="60"/>
      <c r="D50" s="66"/>
      <c r="E50" s="66"/>
    </row>
    <row r="51" spans="2:5" ht="36" customHeight="1" x14ac:dyDescent="0.2">
      <c r="B51" s="74"/>
      <c r="C51" s="75"/>
      <c r="D51" s="74"/>
      <c r="E51" s="74"/>
    </row>
    <row r="52" spans="2:5" x14ac:dyDescent="0.2">
      <c r="B52" s="70" t="s">
        <v>50</v>
      </c>
      <c r="C52" s="71"/>
      <c r="D52" s="72" t="s">
        <v>36</v>
      </c>
      <c r="E52" s="73" t="s">
        <v>37</v>
      </c>
    </row>
    <row r="53" spans="2:5" ht="15" customHeight="1" x14ac:dyDescent="0.2">
      <c r="B53" s="110" t="str">
        <f>チェックシート!$G$41</f>
        <v>先生の指示に従わない</v>
      </c>
      <c r="C53" s="55" t="b">
        <v>0</v>
      </c>
      <c r="D53" s="40" t="str">
        <f>IF($C$53=TRUE,"①自分に注目してほしい気持ちがある","")</f>
        <v/>
      </c>
      <c r="E53" s="103" t="str">
        <f>IF($C$53=TRUE,"①怒られることが多く，ほめられる経験が少ない","")</f>
        <v/>
      </c>
    </row>
    <row r="54" spans="2:5" ht="15" customHeight="1" x14ac:dyDescent="0.2">
      <c r="B54" s="111"/>
      <c r="C54" s="54"/>
      <c r="D54" s="105" t="str">
        <f>IF($C$53=TRUE,"②具体的に何をしたらよいか，どう答えたらよいかわからない","")</f>
        <v/>
      </c>
      <c r="E54" s="104"/>
    </row>
    <row r="55" spans="2:5" ht="15" customHeight="1" x14ac:dyDescent="0.2">
      <c r="B55" s="111"/>
      <c r="C55" s="54"/>
      <c r="D55" s="104"/>
      <c r="E55" s="38" t="str">
        <f>IF($C$53=TRUE,"②十分に愛情を注がれて育っていない","")</f>
        <v/>
      </c>
    </row>
    <row r="56" spans="2:5" ht="15" customHeight="1" x14ac:dyDescent="0.2">
      <c r="B56" s="111"/>
      <c r="C56" s="54"/>
      <c r="D56" s="38" t="str">
        <f>IF($C$53=TRUE,"③言葉での注意や声かけが理解できない","")</f>
        <v/>
      </c>
      <c r="E56" s="38" t="str">
        <f>IF($C$53=TRUE,"③先生との信頼関係が十分でない","")</f>
        <v/>
      </c>
    </row>
    <row r="57" spans="2:5" ht="15" customHeight="1" x14ac:dyDescent="0.2">
      <c r="B57" s="111"/>
      <c r="C57" s="54"/>
      <c r="D57" s="42"/>
      <c r="E57" s="38" t="str">
        <f>IF($C$53=TRUE,"④友だち関係に問題を抱えている","")</f>
        <v/>
      </c>
    </row>
    <row r="58" spans="2:5" ht="13.5" customHeight="1" x14ac:dyDescent="0.2">
      <c r="B58" s="112"/>
      <c r="C58" s="56"/>
      <c r="D58" s="43"/>
      <c r="E58" s="43"/>
    </row>
    <row r="59" spans="2:5" ht="15" customHeight="1" x14ac:dyDescent="0.2">
      <c r="B59" s="110" t="str">
        <f>チェックシート!$G$42</f>
        <v>黒板の文字を写すことが苦手である</v>
      </c>
      <c r="C59" s="55" t="b">
        <v>0</v>
      </c>
      <c r="D59" s="40" t="str">
        <f>IF($C$59=TRUE,"①黒板が見えにくい","")</f>
        <v/>
      </c>
      <c r="E59" s="40" t="str">
        <f>IF($C$59=TRUE,"①書くための十分な状況が整っていない","")</f>
        <v/>
      </c>
    </row>
    <row r="60" spans="2:5" ht="15" customHeight="1" x14ac:dyDescent="0.2">
      <c r="B60" s="111"/>
      <c r="C60" s="54"/>
      <c r="D60" s="38" t="str">
        <f>IF($C$59=TRUE,"②視力に問題がある","")</f>
        <v/>
      </c>
      <c r="E60" s="42"/>
    </row>
    <row r="61" spans="2:5" ht="15" customHeight="1" x14ac:dyDescent="0.2">
      <c r="B61" s="111"/>
      <c r="C61" s="54"/>
      <c r="D61" s="38" t="str">
        <f>IF($C$59=TRUE,"③読み書きが苦手である","")</f>
        <v/>
      </c>
      <c r="E61" s="47"/>
    </row>
    <row r="62" spans="2:5" ht="15" customHeight="1" x14ac:dyDescent="0.2">
      <c r="B62" s="111"/>
      <c r="C62" s="54"/>
      <c r="D62" s="38" t="str">
        <f>IF($C$59=TRUE,"④文字をきちんと認識できない","")</f>
        <v/>
      </c>
      <c r="E62" s="47"/>
    </row>
    <row r="63" spans="2:5" ht="15" customHeight="1" x14ac:dyDescent="0.2">
      <c r="B63" s="111"/>
      <c r="C63" s="54"/>
      <c r="D63" s="38" t="str">
        <f>IF($C$59=TRUE,"⑤学習に対する意欲が低い","")</f>
        <v/>
      </c>
      <c r="E63" s="34"/>
    </row>
    <row r="64" spans="2:5" ht="15" customHeight="1" x14ac:dyDescent="0.2">
      <c r="B64" s="112"/>
      <c r="C64" s="56"/>
      <c r="D64" s="45"/>
      <c r="E64" s="35"/>
    </row>
    <row r="65" spans="2:5" ht="15" customHeight="1" x14ac:dyDescent="0.2">
      <c r="B65" s="110" t="str">
        <f>チェックシート!$G$43</f>
        <v>成績が急に下がり始めた</v>
      </c>
      <c r="C65" s="55" t="b">
        <v>0</v>
      </c>
      <c r="D65" s="41" t="str">
        <f>IF($C$65=TRUE,"①学習に対する意欲がなくなってしまった","")</f>
        <v/>
      </c>
      <c r="E65" s="40" t="str">
        <f>IF($C$65=TRUE,"①家庭環境の影響をうけている","")</f>
        <v/>
      </c>
    </row>
    <row r="66" spans="2:5" ht="15" customHeight="1" x14ac:dyDescent="0.2">
      <c r="B66" s="111"/>
      <c r="C66" s="54"/>
      <c r="D66" s="105" t="str">
        <f>IF($C$65=TRUE,"②自分の力以上に頑張りすぎて，疲れてしまった","")</f>
        <v/>
      </c>
      <c r="E66" s="7" t="str">
        <f>IF($C$65=TRUE,"②友だち関係に問題を抱えている","")</f>
        <v/>
      </c>
    </row>
    <row r="67" spans="2:5" ht="15" customHeight="1" x14ac:dyDescent="0.2">
      <c r="B67" s="111"/>
      <c r="C67" s="54"/>
      <c r="D67" s="104"/>
      <c r="E67" s="39" t="str">
        <f>IF($C$65=TRUE,"③生活習慣が乱れている","")</f>
        <v/>
      </c>
    </row>
    <row r="68" spans="2:5" ht="15" customHeight="1" x14ac:dyDescent="0.2">
      <c r="B68" s="111"/>
      <c r="C68" s="54"/>
      <c r="D68" s="38" t="str">
        <f>IF($C$65=TRUE,"③他のものに興味関心が移ってしまった","")</f>
        <v/>
      </c>
      <c r="E68" s="39"/>
    </row>
    <row r="69" spans="2:5" ht="15" customHeight="1" x14ac:dyDescent="0.2">
      <c r="B69" s="111"/>
      <c r="C69" s="54"/>
      <c r="D69" s="105" t="str">
        <f>IF($C$65=TRUE,"④視力や聴力の低下等，体の問題を抱えている","")</f>
        <v/>
      </c>
      <c r="E69" s="39"/>
    </row>
    <row r="70" spans="2:5" ht="15" customHeight="1" x14ac:dyDescent="0.2">
      <c r="B70" s="111"/>
      <c r="C70" s="54"/>
      <c r="D70" s="104"/>
      <c r="E70" s="39"/>
    </row>
    <row r="71" spans="2:5" ht="15" customHeight="1" x14ac:dyDescent="0.2">
      <c r="B71" s="111"/>
      <c r="C71" s="54"/>
      <c r="D71" s="38" t="str">
        <f>IF($C$65=TRUE,"⑤不安や悩みを抱えている","")</f>
        <v/>
      </c>
      <c r="E71" s="38"/>
    </row>
    <row r="72" spans="2:5" ht="15" customHeight="1" x14ac:dyDescent="0.2">
      <c r="B72" s="112"/>
      <c r="C72" s="56"/>
      <c r="D72" s="35"/>
      <c r="E72" s="35"/>
    </row>
    <row r="73" spans="2:5" ht="15" customHeight="1" x14ac:dyDescent="0.2">
      <c r="B73" s="110" t="str">
        <f>チェックシート!$G$44</f>
        <v>教科によって学習態度が異なる</v>
      </c>
      <c r="C73" s="55" t="b">
        <v>0</v>
      </c>
      <c r="D73" s="40" t="str">
        <f>IF($C$73=TRUE,"①興味関心にばらつきがある","")</f>
        <v/>
      </c>
      <c r="E73" s="6" t="str">
        <f>IF($C$73=TRUE,"①友だちから不快な言動を受けている","")</f>
        <v/>
      </c>
    </row>
    <row r="74" spans="2:5" ht="15" customHeight="1" x14ac:dyDescent="0.2">
      <c r="B74" s="111"/>
      <c r="C74" s="54"/>
      <c r="D74" s="39" t="str">
        <f>IF($C$73=TRUE,"②できるものとできないものとの差が激しい","")</f>
        <v/>
      </c>
      <c r="E74" s="38" t="str">
        <f>IF($C$73=TRUE,"②先生との信頼関係が十分でない","")</f>
        <v/>
      </c>
    </row>
    <row r="75" spans="2:5" ht="15" customHeight="1" x14ac:dyDescent="0.2">
      <c r="B75" s="111"/>
      <c r="C75" s="54"/>
      <c r="D75" s="38" t="str">
        <f>IF($C$73=TRUE,"③嫌なことから逃げる傾向がある","")</f>
        <v/>
      </c>
      <c r="E75" s="38"/>
    </row>
    <row r="76" spans="2:5" ht="15" customHeight="1" x14ac:dyDescent="0.2">
      <c r="B76" s="111"/>
      <c r="C76" s="54"/>
      <c r="D76" s="38" t="str">
        <f>IF($C$73=TRUE,"④できない自分を見せたくない","")</f>
        <v/>
      </c>
      <c r="E76" s="38"/>
    </row>
    <row r="77" spans="2:5" ht="15" customHeight="1" x14ac:dyDescent="0.2">
      <c r="B77" s="111"/>
      <c r="C77" s="54"/>
      <c r="D77" s="38" t="str">
        <f>IF($C$73=TRUE,"⑤苦手な学習形態がある","")</f>
        <v/>
      </c>
      <c r="E77" s="38"/>
    </row>
    <row r="78" spans="2:5" ht="15" customHeight="1" x14ac:dyDescent="0.2">
      <c r="B78" s="112"/>
      <c r="C78" s="56"/>
      <c r="D78" s="39"/>
      <c r="E78" s="35"/>
    </row>
    <row r="79" spans="2:5" ht="15" customHeight="1" x14ac:dyDescent="0.2">
      <c r="B79" s="1"/>
      <c r="C79" s="61"/>
      <c r="D79" s="46"/>
      <c r="E79" s="1"/>
    </row>
    <row r="80" spans="2:5" x14ac:dyDescent="0.2">
      <c r="B80" s="1"/>
      <c r="C80" s="61"/>
      <c r="D80" s="1"/>
      <c r="E80" s="1"/>
    </row>
    <row r="81" spans="2:5" x14ac:dyDescent="0.2">
      <c r="B81" s="1"/>
      <c r="C81" s="61"/>
      <c r="D81" s="1"/>
      <c r="E81" s="1"/>
    </row>
    <row r="82" spans="2:5" x14ac:dyDescent="0.2">
      <c r="B82" s="1"/>
      <c r="C82" s="61"/>
      <c r="D82" s="1"/>
      <c r="E82" s="1"/>
    </row>
    <row r="83" spans="2:5" x14ac:dyDescent="0.2">
      <c r="B83" s="1"/>
      <c r="C83" s="61"/>
      <c r="D83" s="1"/>
      <c r="E83" s="1"/>
    </row>
    <row r="84" spans="2:5" x14ac:dyDescent="0.2">
      <c r="B84" s="1"/>
      <c r="C84" s="61"/>
      <c r="D84" s="1"/>
      <c r="E84" s="1"/>
    </row>
    <row r="85" spans="2:5" x14ac:dyDescent="0.2">
      <c r="B85" s="1"/>
      <c r="C85" s="61"/>
      <c r="D85" s="1"/>
      <c r="E85" s="1"/>
    </row>
    <row r="86" spans="2:5" x14ac:dyDescent="0.2">
      <c r="B86" s="1"/>
      <c r="C86" s="61"/>
      <c r="D86" s="1"/>
      <c r="E86" s="1"/>
    </row>
    <row r="87" spans="2:5" x14ac:dyDescent="0.2">
      <c r="B87" s="1"/>
      <c r="C87" s="61"/>
      <c r="D87" s="1"/>
      <c r="E87" s="1"/>
    </row>
  </sheetData>
  <sheetProtection password="C7D0" sheet="1" objects="1" scenarios="1"/>
  <mergeCells count="22">
    <mergeCell ref="E53:E54"/>
    <mergeCell ref="E4:E5"/>
    <mergeCell ref="E44:E45"/>
    <mergeCell ref="E47:E48"/>
    <mergeCell ref="D15:D16"/>
    <mergeCell ref="B1:D1"/>
    <mergeCell ref="B2:E2"/>
    <mergeCell ref="B4:B10"/>
    <mergeCell ref="B11:B17"/>
    <mergeCell ref="B18:B24"/>
    <mergeCell ref="B73:B78"/>
    <mergeCell ref="D28:D29"/>
    <mergeCell ref="D30:D31"/>
    <mergeCell ref="B53:B58"/>
    <mergeCell ref="B59:B64"/>
    <mergeCell ref="B65:B72"/>
    <mergeCell ref="B25:B33"/>
    <mergeCell ref="D66:D67"/>
    <mergeCell ref="D69:D70"/>
    <mergeCell ref="B34:B42"/>
    <mergeCell ref="B43:B49"/>
    <mergeCell ref="D54:D55"/>
  </mergeCells>
  <phoneticPr fontId="2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E59"/>
  <sheetViews>
    <sheetView tabSelected="1" zoomScaleNormal="100" workbookViewId="0">
      <pane ySplit="3" topLeftCell="A4" activePane="bottomLeft" state="frozen"/>
      <selection pane="bottomLeft" activeCell="G13" sqref="G13"/>
    </sheetView>
  </sheetViews>
  <sheetFormatPr defaultRowHeight="13.2" x14ac:dyDescent="0.2"/>
  <cols>
    <col min="1" max="1" width="1.109375" customWidth="1"/>
    <col min="2" max="2" width="12.33203125" customWidth="1"/>
    <col min="3" max="3" width="0.33203125" style="58" customWidth="1"/>
    <col min="4" max="4" width="37.44140625" customWidth="1"/>
    <col min="5" max="5" width="37.88671875" customWidth="1"/>
  </cols>
  <sheetData>
    <row r="1" spans="2:5" ht="52.5" customHeight="1" x14ac:dyDescent="0.2">
      <c r="B1" s="81"/>
      <c r="C1" s="81"/>
      <c r="D1" s="81"/>
    </row>
    <row r="2" spans="2:5" ht="45.75" customHeight="1" x14ac:dyDescent="0.2">
      <c r="B2" s="115" t="s">
        <v>68</v>
      </c>
      <c r="C2" s="116"/>
      <c r="D2" s="116"/>
      <c r="E2" s="116"/>
    </row>
    <row r="3" spans="2:5" ht="15" customHeight="1" x14ac:dyDescent="0.2">
      <c r="B3" s="67" t="s">
        <v>50</v>
      </c>
      <c r="C3" s="51"/>
      <c r="D3" s="68" t="s">
        <v>36</v>
      </c>
      <c r="E3" s="69" t="s">
        <v>37</v>
      </c>
    </row>
    <row r="4" spans="2:5" ht="15" customHeight="1" x14ac:dyDescent="0.2">
      <c r="B4" s="110" t="str">
        <f>チェックシート!$D$48</f>
        <v>先生に過剰に甘える</v>
      </c>
      <c r="C4" s="54" t="b">
        <v>0</v>
      </c>
      <c r="D4" s="40" t="str">
        <f>IF($C$4=TRUE,"①自分に注目してほしい気持ちがある","")</f>
        <v/>
      </c>
      <c r="E4" s="6" t="str">
        <f>IF($C$4=TRUE,"①家庭環境の影響をうけている","")</f>
        <v/>
      </c>
    </row>
    <row r="5" spans="2:5" ht="15" customHeight="1" x14ac:dyDescent="0.2">
      <c r="B5" s="111"/>
      <c r="C5" s="54"/>
      <c r="D5" s="41" t="str">
        <f>IF($C$4=TRUE,"②先生を独占したい気持ちがある","")</f>
        <v/>
      </c>
      <c r="E5" s="38" t="str">
        <f>IF($C$4=TRUE,"②十分に愛情を注がれて育っていない","")</f>
        <v/>
      </c>
    </row>
    <row r="6" spans="2:5" ht="15" customHeight="1" x14ac:dyDescent="0.2">
      <c r="B6" s="111"/>
      <c r="C6" s="54"/>
      <c r="D6" s="39" t="str">
        <f>IF($C$4=TRUE,"③友だち関係をうまく築くことができない","")</f>
        <v/>
      </c>
      <c r="E6" s="38"/>
    </row>
    <row r="7" spans="2:5" ht="15" customHeight="1" x14ac:dyDescent="0.2">
      <c r="B7" s="111"/>
      <c r="C7" s="54"/>
      <c r="D7" s="39" t="str">
        <f>IF($C$4=TRUE,"④自分に自信がないと感じている","")</f>
        <v/>
      </c>
      <c r="E7" s="38"/>
    </row>
    <row r="8" spans="2:5" ht="15" customHeight="1" x14ac:dyDescent="0.2">
      <c r="B8" s="111"/>
      <c r="C8" s="54"/>
      <c r="D8" s="39" t="str">
        <f>IF($C$4=TRUE,"⑤不安やストレスを抱えている","")</f>
        <v/>
      </c>
      <c r="E8" s="41"/>
    </row>
    <row r="9" spans="2:5" ht="15" customHeight="1" x14ac:dyDescent="0.2">
      <c r="B9" s="112"/>
      <c r="C9" s="56"/>
      <c r="D9" s="35"/>
      <c r="E9" s="44"/>
    </row>
    <row r="10" spans="2:5" ht="15" customHeight="1" x14ac:dyDescent="0.2">
      <c r="B10" s="110" t="str">
        <f>チェックシート!$D$49</f>
        <v>先生を極端にさける
先生の顔色や様子を見ながら行動する</v>
      </c>
      <c r="C10" s="55" t="b">
        <v>0</v>
      </c>
      <c r="D10" s="103" t="str">
        <f>IF($C$10=TRUE,"①人との信頼関係をうまく築くことができない","")</f>
        <v/>
      </c>
      <c r="E10" s="6" t="str">
        <f>IF($C$10=TRUE,"①先生に厳しく指導されたことがある","")</f>
        <v/>
      </c>
    </row>
    <row r="11" spans="2:5" ht="15" customHeight="1" x14ac:dyDescent="0.2">
      <c r="B11" s="111"/>
      <c r="C11" s="54"/>
      <c r="D11" s="104"/>
      <c r="E11" s="38" t="str">
        <f>IF($C$10=TRUE,"②家庭環境の影響をうけている","")</f>
        <v/>
      </c>
    </row>
    <row r="12" spans="2:5" ht="15" customHeight="1" x14ac:dyDescent="0.2">
      <c r="B12" s="111"/>
      <c r="C12" s="54"/>
      <c r="D12" s="39" t="str">
        <f>IF($C$10=TRUE,"②自分に自信がないと感じている","")</f>
        <v/>
      </c>
      <c r="E12" s="105" t="str">
        <f>IF($C$10=TRUE,"③人から恐怖心をあおるような叱られ方，注意をされたことがある","")</f>
        <v/>
      </c>
    </row>
    <row r="13" spans="2:5" ht="15" customHeight="1" x14ac:dyDescent="0.2">
      <c r="B13" s="111"/>
      <c r="C13" s="54"/>
      <c r="D13" s="38" t="str">
        <f>IF($C$10=TRUE,"③人に対する恐怖心，警戒心が強い","")</f>
        <v/>
      </c>
      <c r="E13" s="100"/>
    </row>
    <row r="14" spans="2:5" ht="15" customHeight="1" x14ac:dyDescent="0.2">
      <c r="B14" s="111"/>
      <c r="C14" s="54"/>
      <c r="D14" s="38"/>
      <c r="E14" s="39" t="str">
        <f>IF($C$10=TRUE,"④先生と保護者の信頼関係が十分でない","")</f>
        <v/>
      </c>
    </row>
    <row r="15" spans="2:5" ht="15" customHeight="1" x14ac:dyDescent="0.2">
      <c r="B15" s="111"/>
      <c r="C15" s="54"/>
      <c r="D15" s="38"/>
      <c r="E15" s="38" t="str">
        <f>IF($C$10=TRUE,"⑤先生との信頼関係が十分でない","")</f>
        <v/>
      </c>
    </row>
    <row r="16" spans="2:5" ht="15" customHeight="1" x14ac:dyDescent="0.2">
      <c r="B16" s="111"/>
      <c r="C16" s="54"/>
      <c r="D16" s="35"/>
      <c r="E16" s="35"/>
    </row>
    <row r="17" spans="2:5" ht="15" customHeight="1" x14ac:dyDescent="0.2">
      <c r="B17" s="110" t="str">
        <f>チェックシート!$D$51</f>
        <v>先生に反抗したり，抵抗したりする</v>
      </c>
      <c r="C17" s="55" t="b">
        <v>0</v>
      </c>
      <c r="D17" s="38" t="str">
        <f>IF($C$17=TRUE,"①不安やストレスを抱えている","")</f>
        <v/>
      </c>
      <c r="E17" s="38" t="str">
        <f>IF($C$17=TRUE,"①先生との信頼関係が十分でない","")</f>
        <v/>
      </c>
    </row>
    <row r="18" spans="2:5" ht="15" customHeight="1" x14ac:dyDescent="0.2">
      <c r="B18" s="111"/>
      <c r="C18" s="54"/>
      <c r="D18" s="38" t="str">
        <f>IF($C$17=TRUE,"②大人の反応を見ている（ためし行動）","")</f>
        <v/>
      </c>
      <c r="E18" s="38" t="str">
        <f>IF($C$17=TRUE,"②十分に愛情を注がれて育っていない","")</f>
        <v/>
      </c>
    </row>
    <row r="19" spans="2:5" ht="15" customHeight="1" x14ac:dyDescent="0.2">
      <c r="B19" s="111"/>
      <c r="C19" s="54"/>
      <c r="D19" s="38"/>
      <c r="E19" s="38" t="str">
        <f>IF($C$17=TRUE,"③家庭環境の影響をうけている","")</f>
        <v/>
      </c>
    </row>
    <row r="20" spans="2:5" ht="15" customHeight="1" x14ac:dyDescent="0.2">
      <c r="B20" s="111"/>
      <c r="C20" s="54"/>
      <c r="D20" s="38"/>
      <c r="E20" s="38" t="str">
        <f>IF($C$17=TRUE,"④友だち関係に問題を抱えている","")</f>
        <v/>
      </c>
    </row>
    <row r="21" spans="2:5" ht="15" customHeight="1" x14ac:dyDescent="0.2">
      <c r="B21" s="112"/>
      <c r="C21" s="62"/>
      <c r="D21" s="36"/>
      <c r="E21" s="36"/>
    </row>
    <row r="22" spans="2:5" ht="15" customHeight="1" x14ac:dyDescent="0.2">
      <c r="B22" s="110" t="str">
        <f>チェックシート!$D$52</f>
        <v>友だちに対して攻撃的な態度を示す</v>
      </c>
      <c r="C22" s="55" t="b">
        <v>0</v>
      </c>
      <c r="D22" s="38" t="str">
        <f>IF($C$22=TRUE,"①気持ちをうまく表現することができない","")</f>
        <v/>
      </c>
      <c r="E22" s="6" t="str">
        <f>IF($C$22=TRUE,"①暴力的な言動が多い環境で生活している","")</f>
        <v/>
      </c>
    </row>
    <row r="23" spans="2:5" ht="15" customHeight="1" x14ac:dyDescent="0.2">
      <c r="B23" s="111"/>
      <c r="C23" s="54"/>
      <c r="D23" s="38" t="str">
        <f>IF($C$22=TRUE,"②感情をうまくコントロールできない","")</f>
        <v/>
      </c>
      <c r="E23" s="38" t="str">
        <f>IF($C$22=TRUE,"②親子関係が影響している","")</f>
        <v/>
      </c>
    </row>
    <row r="24" spans="2:5" ht="15" customHeight="1" x14ac:dyDescent="0.2">
      <c r="B24" s="111"/>
      <c r="C24" s="54"/>
      <c r="D24" s="38" t="str">
        <f>IF($C$22=TRUE,"③自分に自信がないと感じている","")</f>
        <v/>
      </c>
      <c r="E24" s="38" t="str">
        <f>IF($C$22=TRUE,"③友だち関係に問題を抱えている","")</f>
        <v/>
      </c>
    </row>
    <row r="25" spans="2:5" ht="15" customHeight="1" x14ac:dyDescent="0.2">
      <c r="B25" s="111"/>
      <c r="C25" s="54"/>
      <c r="D25" s="38" t="str">
        <f>IF($C$22=TRUE,"④不安やストレスを抱えている","")</f>
        <v/>
      </c>
      <c r="E25" s="38"/>
    </row>
    <row r="26" spans="2:5" ht="15" customHeight="1" x14ac:dyDescent="0.2">
      <c r="B26" s="111"/>
      <c r="C26" s="54"/>
      <c r="D26" s="39" t="str">
        <f>IF($C$22=TRUE,"⑤相手の気持ちを考えることができない","")</f>
        <v/>
      </c>
      <c r="E26" s="38"/>
    </row>
    <row r="27" spans="2:5" ht="15" customHeight="1" x14ac:dyDescent="0.2">
      <c r="B27" s="112"/>
      <c r="C27" s="56"/>
      <c r="D27" s="35"/>
      <c r="E27" s="35"/>
    </row>
    <row r="28" spans="2:5" ht="15" customHeight="1" x14ac:dyDescent="0.2">
      <c r="B28" s="110" t="str">
        <f>チェックシート!$G$48</f>
        <v>友だちと一緒に遊べない
友だちとのトラブルが多い</v>
      </c>
      <c r="C28" s="55" t="b">
        <v>0</v>
      </c>
      <c r="D28" s="38" t="str">
        <f>IF($C$28=TRUE,"①ルールを守ることができない","")</f>
        <v/>
      </c>
      <c r="E28" s="38" t="str">
        <f>IF($C$28=TRUE,"①子ども同士で遊ぶ経験が少ない","")</f>
        <v/>
      </c>
    </row>
    <row r="29" spans="2:5" ht="15" customHeight="1" x14ac:dyDescent="0.2">
      <c r="B29" s="111"/>
      <c r="C29" s="54"/>
      <c r="D29" s="38" t="str">
        <f>IF($C$28=TRUE,"②感情をうまくコントロールできない","")</f>
        <v/>
      </c>
      <c r="E29" s="38" t="str">
        <f>IF($C$28=TRUE,"②甘やかされていることが多い","")</f>
        <v/>
      </c>
    </row>
    <row r="30" spans="2:5" ht="15" customHeight="1" x14ac:dyDescent="0.2">
      <c r="B30" s="111"/>
      <c r="C30" s="54"/>
      <c r="D30" s="38" t="str">
        <f>IF($C$28=TRUE,"③自分に自信がないと感じている","")</f>
        <v/>
      </c>
      <c r="E30" s="38" t="str">
        <f>IF($C$28=TRUE,"③友だち関係に問題を抱えている","")</f>
        <v/>
      </c>
    </row>
    <row r="31" spans="2:5" ht="15" customHeight="1" x14ac:dyDescent="0.2">
      <c r="B31" s="111"/>
      <c r="C31" s="54"/>
      <c r="D31" s="39" t="str">
        <f>IF($C$28=TRUE,"④相手の気持ちを考えることができない","")</f>
        <v/>
      </c>
      <c r="E31" s="38"/>
    </row>
    <row r="32" spans="2:5" ht="15" customHeight="1" x14ac:dyDescent="0.2">
      <c r="B32" s="112"/>
      <c r="C32" s="56"/>
      <c r="D32" s="35"/>
      <c r="E32" s="35"/>
    </row>
    <row r="33" spans="2:5" ht="15" customHeight="1" x14ac:dyDescent="0.2">
      <c r="B33" s="110" t="str">
        <f>チェックシート!$G$49</f>
        <v>人に嫌われるような言動が見られる</v>
      </c>
      <c r="C33" s="55" t="b">
        <v>0</v>
      </c>
      <c r="D33" s="38" t="str">
        <f>IF($C$33=TRUE,"①自分に自信がないと感じている","")</f>
        <v/>
      </c>
      <c r="E33" s="38" t="str">
        <f>IF($C$33=TRUE,"①十分に愛情を注がれて育っていない","")</f>
        <v/>
      </c>
    </row>
    <row r="34" spans="2:5" ht="15" customHeight="1" x14ac:dyDescent="0.2">
      <c r="B34" s="111"/>
      <c r="C34" s="54"/>
      <c r="D34" s="38" t="str">
        <f>IF($C$33=TRUE,"②相手の気持ちを考えることができない","")</f>
        <v/>
      </c>
      <c r="E34" s="105" t="str">
        <f>IF($C$33=TRUE,"②ほめられたり，認められたりする経験が少ない","")</f>
        <v/>
      </c>
    </row>
    <row r="35" spans="2:5" ht="15" customHeight="1" x14ac:dyDescent="0.2">
      <c r="B35" s="111"/>
      <c r="C35" s="54"/>
      <c r="D35" s="38" t="str">
        <f>IF($C$33=TRUE,"③わざと人を怒らせて，楽しんでいる","")</f>
        <v/>
      </c>
      <c r="E35" s="104"/>
    </row>
    <row r="36" spans="2:5" ht="15" customHeight="1" x14ac:dyDescent="0.2">
      <c r="B36" s="111"/>
      <c r="C36" s="54"/>
      <c r="D36" s="105" t="str">
        <f>IF($C$33=TRUE,"④人との信頼関係をうまく築くことができない","")</f>
        <v/>
      </c>
      <c r="E36" s="38" t="str">
        <f>IF($C$33=TRUE,"③家庭環境の影響をうけている","")</f>
        <v/>
      </c>
    </row>
    <row r="37" spans="2:5" ht="15" customHeight="1" x14ac:dyDescent="0.2">
      <c r="B37" s="111"/>
      <c r="C37" s="63"/>
      <c r="D37" s="108"/>
      <c r="E37" s="38"/>
    </row>
    <row r="38" spans="2:5" ht="15" customHeight="1" x14ac:dyDescent="0.2">
      <c r="B38" s="111"/>
      <c r="C38" s="63"/>
      <c r="D38" s="38" t="str">
        <f>IF($C$33=TRUE,"⑤自分に注目してほしい気持ちがある","")</f>
        <v/>
      </c>
      <c r="E38" s="38"/>
    </row>
    <row r="39" spans="2:5" ht="15" customHeight="1" x14ac:dyDescent="0.2">
      <c r="B39" s="111"/>
      <c r="C39" s="63"/>
      <c r="D39" s="38" t="str">
        <f>IF($C$33=TRUE,"⑥大人の反応を見ている（ためし行動）","")</f>
        <v/>
      </c>
      <c r="E39" s="39"/>
    </row>
    <row r="40" spans="2:5" ht="15" customHeight="1" x14ac:dyDescent="0.2">
      <c r="B40" s="112"/>
      <c r="C40" s="56"/>
      <c r="D40" s="35"/>
      <c r="E40" s="35"/>
    </row>
    <row r="41" spans="2:5" ht="15" customHeight="1" x14ac:dyDescent="0.2">
      <c r="B41" s="110" t="str">
        <f>チェックシート!$G$50</f>
        <v>友だち関係をうまく作れない</v>
      </c>
      <c r="C41" s="55" t="b">
        <v>0</v>
      </c>
      <c r="D41" s="6" t="str">
        <f>IF($C$41=TRUE,"①友だちとのかかわり方がわからない","")</f>
        <v/>
      </c>
      <c r="E41" s="40" t="str">
        <f>IF($C$41=TRUE,"①十分に愛情を注がれて育っていない","")</f>
        <v/>
      </c>
    </row>
    <row r="42" spans="2:5" ht="15" customHeight="1" x14ac:dyDescent="0.2">
      <c r="B42" s="111"/>
      <c r="C42" s="54"/>
      <c r="D42" s="38" t="str">
        <f>IF($C$41=TRUE,"②相手の気持ちを考えることができない","")</f>
        <v/>
      </c>
      <c r="E42" s="38" t="str">
        <f>IF($C$41=TRUE,"②遊ぶ体験が不足している","")</f>
        <v/>
      </c>
    </row>
    <row r="43" spans="2:5" ht="15" customHeight="1" x14ac:dyDescent="0.2">
      <c r="B43" s="111"/>
      <c r="C43" s="54"/>
      <c r="D43" s="38" t="str">
        <f>IF($C$41=TRUE,"③自分に自信がないと感じている","")</f>
        <v/>
      </c>
      <c r="E43" s="38" t="str">
        <f>IF($C$41=TRUE,"③友だち関係に問題を抱えている","")</f>
        <v/>
      </c>
    </row>
    <row r="44" spans="2:5" ht="15" customHeight="1" x14ac:dyDescent="0.2">
      <c r="B44" s="111"/>
      <c r="C44" s="54"/>
      <c r="D44" s="105" t="str">
        <f>IF($C$41=TRUE,"④人との信頼関係をうまく築くことができない","")</f>
        <v/>
      </c>
      <c r="E44" s="38" t="str">
        <f>IF($C$41=TRUE,"④人とかかわる経験が不足している","")</f>
        <v/>
      </c>
    </row>
    <row r="45" spans="2:5" ht="15" customHeight="1" x14ac:dyDescent="0.2">
      <c r="B45" s="111"/>
      <c r="C45" s="54"/>
      <c r="D45" s="108"/>
      <c r="E45" s="38"/>
    </row>
    <row r="46" spans="2:5" ht="15" customHeight="1" x14ac:dyDescent="0.2">
      <c r="B46" s="111"/>
      <c r="C46" s="54"/>
      <c r="D46" s="38" t="str">
        <f>IF($C$41=TRUE,"⑤まわりの状況がよく理解できない","")</f>
        <v/>
      </c>
      <c r="E46" s="38"/>
    </row>
    <row r="47" spans="2:5" ht="15" customHeight="1" x14ac:dyDescent="0.2">
      <c r="B47" s="112"/>
      <c r="C47" s="56"/>
      <c r="D47" s="35"/>
      <c r="E47" s="35"/>
    </row>
    <row r="48" spans="2:5" ht="35.25" customHeight="1" x14ac:dyDescent="0.2">
      <c r="B48" s="66"/>
      <c r="C48" s="60"/>
      <c r="D48" s="66"/>
      <c r="E48" s="66"/>
    </row>
    <row r="49" spans="2:5" ht="15" customHeight="1" x14ac:dyDescent="0.2">
      <c r="B49" s="67" t="s">
        <v>50</v>
      </c>
      <c r="C49" s="51"/>
      <c r="D49" s="68" t="s">
        <v>36</v>
      </c>
      <c r="E49" s="69" t="s">
        <v>37</v>
      </c>
    </row>
    <row r="50" spans="2:5" ht="15" customHeight="1" x14ac:dyDescent="0.2">
      <c r="B50" s="110" t="str">
        <f>チェックシート!$G$51</f>
        <v>集団活動，グループ活動が苦手である</v>
      </c>
      <c r="C50" s="55" t="b">
        <v>0</v>
      </c>
      <c r="D50" s="6" t="str">
        <f>IF($C$50=TRUE,"①人間関係をうまく築くことができない","")</f>
        <v/>
      </c>
      <c r="E50" s="103" t="str">
        <f>IF($C$50=TRUE,"①ほめられたり，認められたりする経験が少ない","")</f>
        <v/>
      </c>
    </row>
    <row r="51" spans="2:5" ht="15" customHeight="1" x14ac:dyDescent="0.2">
      <c r="B51" s="111"/>
      <c r="C51" s="54"/>
      <c r="D51" s="38" t="str">
        <f>IF($C$50=TRUE,"②自分に自信がないと感じている","")</f>
        <v/>
      </c>
      <c r="E51" s="104"/>
    </row>
    <row r="52" spans="2:5" ht="15" customHeight="1" x14ac:dyDescent="0.2">
      <c r="B52" s="111"/>
      <c r="C52" s="54"/>
      <c r="D52" s="39" t="str">
        <f>IF($C$50=TRUE,"③相手の気持ちを考えることができない","")</f>
        <v/>
      </c>
      <c r="E52" s="38" t="str">
        <f>IF($C$50=TRUE,"②集団で活動する経験が少ない","")</f>
        <v/>
      </c>
    </row>
    <row r="53" spans="2:5" ht="15" customHeight="1" x14ac:dyDescent="0.2">
      <c r="B53" s="112"/>
      <c r="C53" s="56"/>
      <c r="D53" s="35"/>
      <c r="E53" s="35"/>
    </row>
    <row r="54" spans="2:5" x14ac:dyDescent="0.2">
      <c r="B54" s="1"/>
      <c r="C54" s="61"/>
      <c r="D54" s="1"/>
      <c r="E54" s="1"/>
    </row>
    <row r="55" spans="2:5" x14ac:dyDescent="0.2">
      <c r="B55" s="1"/>
      <c r="C55" s="61"/>
      <c r="D55" s="1"/>
      <c r="E55" s="1"/>
    </row>
    <row r="56" spans="2:5" x14ac:dyDescent="0.2">
      <c r="B56" s="1"/>
      <c r="C56" s="61"/>
      <c r="D56" s="1"/>
      <c r="E56" s="1"/>
    </row>
    <row r="57" spans="2:5" x14ac:dyDescent="0.2">
      <c r="B57" s="1"/>
      <c r="C57" s="61"/>
      <c r="D57" s="1"/>
      <c r="E57" s="1"/>
    </row>
    <row r="58" spans="2:5" x14ac:dyDescent="0.2">
      <c r="B58" s="1"/>
      <c r="C58" s="61"/>
      <c r="D58" s="1"/>
      <c r="E58" s="1"/>
    </row>
    <row r="59" spans="2:5" x14ac:dyDescent="0.2">
      <c r="B59" s="1"/>
      <c r="C59" s="61"/>
      <c r="D59" s="1"/>
      <c r="E59" s="1"/>
    </row>
  </sheetData>
  <sheetProtection password="C7D0" sheet="1" objects="1" scenarios="1"/>
  <mergeCells count="16">
    <mergeCell ref="B50:B53"/>
    <mergeCell ref="E50:E51"/>
    <mergeCell ref="E12:E13"/>
    <mergeCell ref="D10:D11"/>
    <mergeCell ref="B1:D1"/>
    <mergeCell ref="B2:E2"/>
    <mergeCell ref="D36:D37"/>
    <mergeCell ref="D44:D45"/>
    <mergeCell ref="E34:E35"/>
    <mergeCell ref="B4:B9"/>
    <mergeCell ref="B10:B16"/>
    <mergeCell ref="B17:B21"/>
    <mergeCell ref="B22:B27"/>
    <mergeCell ref="B28:B32"/>
    <mergeCell ref="B33:B40"/>
    <mergeCell ref="B41:B47"/>
  </mergeCells>
  <phoneticPr fontId="2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チェックシート</vt:lpstr>
      <vt:lpstr>生活面</vt:lpstr>
      <vt:lpstr>行動面</vt:lpstr>
      <vt:lpstr>情緒面</vt:lpstr>
      <vt:lpstr>学習面</vt:lpstr>
      <vt:lpstr>人間関係面</vt:lpstr>
      <vt:lpstr>チェックシート!Print_Area</vt:lpstr>
      <vt:lpstr>行動面!Print_Area</vt:lpstr>
      <vt:lpstr>生活面!Print_Area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2026-04-20T03:53:00Z</cp:lastPrinted>
  <dcterms:created xsi:type="dcterms:W3CDTF">2010-11-01T01:15:34Z</dcterms:created>
  <dcterms:modified xsi:type="dcterms:W3CDTF">2026-04-20T03:53:17Z</dcterms:modified>
</cp:coreProperties>
</file>